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4-07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I172" i="1" l="1"/>
  <c r="G121" i="1" l="1"/>
  <c r="A154" i="1" l="1"/>
  <c r="D153" i="1"/>
  <c r="G120" i="1"/>
  <c r="G127" i="1"/>
  <c r="G126" i="1"/>
  <c r="G125" i="1"/>
  <c r="G119" i="1"/>
  <c r="D188" i="1"/>
  <c r="D187" i="1"/>
  <c r="D186" i="1"/>
  <c r="D185" i="1"/>
  <c r="D184" i="1"/>
  <c r="D183" i="1"/>
  <c r="G183" i="1"/>
  <c r="G184" i="1" s="1"/>
  <c r="G185" i="1" s="1"/>
  <c r="G186" i="1" s="1"/>
  <c r="G187" i="1" s="1"/>
  <c r="G188" i="1" s="1"/>
  <c r="P182" i="1"/>
  <c r="P183" i="1" s="1"/>
  <c r="P184" i="1" s="1"/>
  <c r="P185" i="1" s="1"/>
  <c r="P186" i="1" s="1"/>
  <c r="O182" i="1"/>
  <c r="O183" i="1" s="1"/>
  <c r="D180" i="1"/>
  <c r="D179" i="1"/>
  <c r="D178" i="1"/>
  <c r="D177" i="1"/>
  <c r="D176" i="1"/>
  <c r="D175" i="1"/>
  <c r="G175" i="1"/>
  <c r="G176" i="1" s="1"/>
  <c r="G177" i="1" s="1"/>
  <c r="G178" i="1" s="1"/>
  <c r="G179" i="1" s="1"/>
  <c r="G180" i="1" s="1"/>
  <c r="P174" i="1"/>
  <c r="P175" i="1" s="1"/>
  <c r="P176" i="1" s="1"/>
  <c r="P177" i="1" s="1"/>
  <c r="O174" i="1"/>
  <c r="O175" i="1" s="1"/>
  <c r="O176" i="1" s="1"/>
  <c r="O177" i="1" s="1"/>
  <c r="O178" i="1" s="1"/>
  <c r="D172" i="1"/>
  <c r="D171" i="1"/>
  <c r="D170" i="1"/>
  <c r="D169" i="1"/>
  <c r="D168" i="1"/>
  <c r="D167" i="1"/>
  <c r="G167" i="1"/>
  <c r="G168" i="1" s="1"/>
  <c r="G169" i="1" s="1"/>
  <c r="G170" i="1" s="1"/>
  <c r="G171" i="1" s="1"/>
  <c r="G172" i="1" s="1"/>
  <c r="P166" i="1"/>
  <c r="O166" i="1"/>
  <c r="O167" i="1" s="1"/>
  <c r="O168" i="1" s="1"/>
  <c r="G153" i="1"/>
  <c r="G146" i="1"/>
  <c r="D162" i="1"/>
  <c r="D161" i="1"/>
  <c r="D160" i="1"/>
  <c r="D159" i="1"/>
  <c r="D158" i="1"/>
  <c r="D157" i="1"/>
  <c r="D156" i="1"/>
  <c r="D155" i="1"/>
  <c r="D154" i="1"/>
  <c r="D149" i="1"/>
  <c r="D150" i="1"/>
  <c r="D148" i="1"/>
  <c r="D147" i="1"/>
  <c r="D146" i="1"/>
  <c r="D143" i="1"/>
  <c r="D142" i="1"/>
  <c r="D141" i="1"/>
  <c r="D140" i="1"/>
  <c r="D139" i="1"/>
  <c r="D138" i="1"/>
  <c r="D137" i="1"/>
  <c r="D136" i="1"/>
  <c r="D135" i="1"/>
  <c r="D134" i="1"/>
  <c r="G47" i="1"/>
  <c r="C120" i="1" l="1"/>
  <c r="C121" i="1"/>
  <c r="E121" i="1"/>
  <c r="C119" i="1"/>
  <c r="E119" i="1"/>
  <c r="E127" i="1"/>
  <c r="C125" i="1"/>
  <c r="E120" i="1"/>
  <c r="E125" i="1"/>
  <c r="E126" i="1"/>
  <c r="C126" i="1"/>
  <c r="I134" i="1"/>
  <c r="C127" i="1"/>
  <c r="G128" i="1"/>
  <c r="G122" i="1"/>
  <c r="N174" i="1"/>
  <c r="N182" i="1"/>
  <c r="N183" i="1"/>
  <c r="O184" i="1"/>
  <c r="N175" i="1"/>
  <c r="P178" i="1"/>
  <c r="N178" i="1" s="1"/>
  <c r="N177" i="1"/>
  <c r="N176" i="1"/>
  <c r="N166" i="1"/>
  <c r="O169" i="1"/>
  <c r="P167" i="1"/>
  <c r="A191" i="1"/>
  <c r="A192" i="1" s="1"/>
  <c r="A193" i="1" s="1"/>
  <c r="A194" i="1" s="1"/>
  <c r="A197" i="1" l="1"/>
  <c r="E122" i="1"/>
  <c r="E128" i="1"/>
  <c r="C128" i="1"/>
  <c r="C122" i="1"/>
  <c r="O185" i="1"/>
  <c r="N184" i="1"/>
  <c r="P168" i="1"/>
  <c r="N167" i="1"/>
  <c r="O170" i="1"/>
  <c r="N185" i="1" l="1"/>
  <c r="O186" i="1"/>
  <c r="N186" i="1" s="1"/>
  <c r="P169" i="1"/>
  <c r="N168" i="1"/>
  <c r="C90" i="1"/>
  <c r="H91" i="1"/>
  <c r="H63" i="1"/>
  <c r="H77" i="1"/>
  <c r="P170" i="1" l="1"/>
  <c r="N170" i="1" s="1"/>
  <c r="N169" i="1"/>
  <c r="D103" i="1"/>
  <c r="D96" i="1"/>
  <c r="D102" i="1"/>
  <c r="D100" i="1"/>
  <c r="D101" i="1"/>
  <c r="D99" i="1"/>
  <c r="D98" i="1"/>
  <c r="D97" i="1"/>
  <c r="D88" i="1"/>
  <c r="D87" i="1"/>
  <c r="D86" i="1"/>
  <c r="D85" i="1"/>
  <c r="D82" i="1"/>
  <c r="D84" i="1"/>
  <c r="D83" i="1"/>
  <c r="D89" i="1"/>
  <c r="D68" i="1"/>
  <c r="K93" i="1"/>
  <c r="K95" i="1"/>
  <c r="C94" i="1" s="1"/>
  <c r="K94" i="1"/>
  <c r="K96" i="1"/>
  <c r="K97" i="1" s="1"/>
  <c r="K81" i="1"/>
  <c r="C80" i="1" s="1"/>
  <c r="D80" i="1" s="1"/>
  <c r="K80" i="1"/>
  <c r="K82" i="1"/>
  <c r="K83" i="1" s="1"/>
  <c r="K84" i="1" s="1"/>
  <c r="K85" i="1" s="1"/>
  <c r="K86" i="1" s="1"/>
  <c r="K87" i="1" s="1"/>
  <c r="K79" i="1"/>
  <c r="D75" i="1"/>
  <c r="D71" i="1"/>
  <c r="K67" i="1"/>
  <c r="C66" i="1" s="1"/>
  <c r="D74" i="1"/>
  <c r="D70" i="1"/>
  <c r="K66" i="1"/>
  <c r="D73" i="1"/>
  <c r="D69" i="1"/>
  <c r="K65" i="1"/>
  <c r="K68" i="1"/>
  <c r="K69" i="1" s="1"/>
  <c r="D72" i="1"/>
  <c r="D94" i="1" l="1"/>
  <c r="D66" i="1"/>
  <c r="K98" i="1"/>
  <c r="K99" i="1" s="1"/>
  <c r="K100" i="1" s="1"/>
  <c r="K101" i="1" s="1"/>
  <c r="K88" i="1"/>
  <c r="K89" i="1" s="1"/>
  <c r="C81" i="1" s="1"/>
  <c r="D81" i="1" s="1"/>
  <c r="K70" i="1"/>
  <c r="K71" i="1" s="1"/>
  <c r="K72" i="1" s="1"/>
  <c r="K73" i="1" s="1"/>
  <c r="G80" i="1" l="1"/>
  <c r="I76" i="1"/>
  <c r="C78" i="1" s="1"/>
  <c r="E80" i="1" s="1"/>
  <c r="K102" i="1"/>
  <c r="K74" i="1"/>
  <c r="K103" i="1" l="1"/>
  <c r="K75" i="1"/>
  <c r="D95" i="1" l="1"/>
  <c r="G94" i="1"/>
  <c r="C67" i="1"/>
  <c r="G66" i="1" s="1"/>
  <c r="D61" i="1" l="1"/>
  <c r="F104" i="1"/>
  <c r="I90" i="1"/>
  <c r="C92" i="1" s="1"/>
  <c r="E94" i="1" s="1"/>
  <c r="D67" i="1"/>
  <c r="I62" i="1"/>
  <c r="E66" i="1" l="1"/>
  <c r="C14" i="1"/>
  <c r="E41" i="1" l="1"/>
  <c r="E42" i="1" s="1"/>
  <c r="G134" i="1" l="1"/>
  <c r="A135" i="1"/>
  <c r="A136" i="1" s="1"/>
  <c r="A137" i="1" s="1"/>
  <c r="A138" i="1" s="1"/>
  <c r="A139" i="1" s="1"/>
  <c r="A140" i="1" s="1"/>
  <c r="A141" i="1" s="1"/>
  <c r="A142" i="1" s="1"/>
  <c r="A143" i="1" s="1"/>
  <c r="A146" i="1" s="1"/>
  <c r="A147" i="1" s="1"/>
  <c r="A148" i="1" s="1"/>
  <c r="A149" i="1" s="1"/>
  <c r="A150" i="1" s="1"/>
  <c r="A155" i="1" s="1"/>
  <c r="A156" i="1" s="1"/>
  <c r="A157" i="1" s="1"/>
  <c r="A158" i="1" s="1"/>
  <c r="A159" i="1" s="1"/>
  <c r="A160" i="1" s="1"/>
  <c r="A161" i="1" s="1"/>
  <c r="A162" i="1" s="1"/>
  <c r="D59" i="1"/>
  <c r="E25" i="1" l="1"/>
  <c r="E23" i="1"/>
  <c r="F6" i="5" l="1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G12" i="5" l="1"/>
  <c r="E7" i="1" l="1"/>
  <c r="D211" i="1" l="1"/>
  <c r="F116" i="1"/>
  <c r="C47" i="1"/>
  <c r="D52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<sst xmlns="http://schemas.openxmlformats.org/spreadsheetml/2006/main" count="459" uniqueCount="258">
  <si>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</si>
  <si>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</si>
  <si>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</si>
  <si>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</si>
  <si>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</si>
  <si>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</si>
  <si>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</si>
  <si>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</si>
  <si>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</si>
  <si>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</si>
  <si>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</si>
  <si>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</si>
  <si>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</si>
  <si>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</si>
  <si>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</si>
  <si>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</si>
  <si>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</si>
  <si>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</si>
  <si>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</si>
  <si>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</si>
  <si>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</si>
  <si>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</si>
  <si>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</si>
  <si>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</si>
  <si>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</si>
  <si>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</si>
  <si>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</si>
  <si>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</si>
  <si>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</si>
  <si>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</si>
  <si>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</si>
  <si>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</si>
  <si>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</si>
  <si>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</si>
  <si>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</si>
  <si>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</si>
  <si>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</si>
  <si>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</si>
  <si>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</si>
  <si>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</si>
  <si>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</si>
  <si>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</si>
  <si>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</si>
  <si>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</si>
  <si>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</si>
  <si>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</si>
  <si>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</si>
  <si>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</si>
  <si>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</si>
  <si>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</si>
  <si>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</si>
  <si>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</si>
  <si>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</si>
  <si>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</si>
  <si>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</si>
  <si>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</si>
  <si>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</si>
  <si>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</si>
  <si>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</si>
  <si>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</si>
  <si>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</si>
  <si>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</si>
  <si>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</si>
  <si>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</si>
  <si>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</si>
  <si>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</si>
  <si>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</si>
  <si>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</si>
  <si>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</si>
  <si>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</si>
  <si>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</si>
  <si>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</si>
  <si>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</si>
  <si>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</si>
  <si>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</si>
  <si>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</si>
  <si>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</si>
  <si>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</si>
  <si>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</si>
  <si>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</si>
  <si>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</si>
  <si>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</si>
  <si>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</si>
  <si>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</si>
  <si>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</si>
  <si>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</si>
  <si>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</si>
  <si>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</si>
  <si>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</si>
  <si>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</si>
  <si>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</si>
  <si>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</si>
  <si>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</si>
  <si>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</si>
  <si>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</si>
  <si>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</si>
  <si>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</si>
  <si>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</si>
  <si>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</si>
  <si>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</si>
  <si>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</si>
  <si>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</si>
  <si>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</si>
  <si>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</si>
  <si>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</si>
  <si>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</si>
  <si>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</si>
  <si>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</si>
  <si>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</si>
  <si>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</si>
  <si>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</si>
  <si>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</si>
  <si>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</si>
  <si>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</si>
  <si>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</si>
  <si>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</si>
  <si>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</si>
  <si>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</si>
  <si>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</si>
  <si>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</si>
  <si>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</si>
  <si>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</si>
  <si>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</si>
  <si>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</si>
  <si>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</si>
  <si>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</si>
  <si>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</si>
  <si>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</si>
  <si>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</si>
  <si>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</si>
  <si>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</si>
  <si>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</si>
  <si>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</si>
  <si>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</si>
  <si>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</si>
  <si>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</si>
  <si>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</si>
  <si>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</si>
  <si>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</si>
  <si>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</si>
  <si>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</si>
  <si>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</si>
  <si>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</si>
  <si>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</si>
  <si>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</si>
  <si>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</si>
  <si>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</si>
  <si>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</si>
  <si>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</si>
  <si>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</si>
  <si>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</si>
  <si>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</si>
  <si>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>All work Completed. Provide OC.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</si>
  <si>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</si>
  <si>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</si>
  <si>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</si>
  <si>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</si>
  <si>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</si>
  <si>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</si>
  <si>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</si>
  <si>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</si>
  <si>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</si>
  <si>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</si>
  <si>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</si>
  <si>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</si>
  <si>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</si>
  <si>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</si>
  <si>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</si>
  <si>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</si>
  <si>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</si>
  <si>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</si>
  <si>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</si>
  <si>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</si>
  <si>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</si>
  <si>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</si>
  <si>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</si>
  <si>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</si>
  <si>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</si>
  <si>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</si>
  <si>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1</t>
  </si>
  <si>
    <t>Basement 2</t>
  </si>
  <si>
    <t>Basement 3</t>
  </si>
  <si>
    <t>Basement 4</t>
  </si>
  <si>
    <t xml:space="preserve">P52000026957
</t>
  </si>
  <si>
    <t>M/s.Vaastu Enteprises</t>
  </si>
  <si>
    <t>Vaastu Sankalp</t>
  </si>
  <si>
    <t>Wing A, B &amp; C</t>
  </si>
  <si>
    <t>Pashane</t>
  </si>
  <si>
    <t>Raigad</t>
  </si>
  <si>
    <t>Karjat</t>
  </si>
  <si>
    <t>Pashane Road</t>
  </si>
  <si>
    <t>Valid Up to:  Wing A, B &amp; C = Gr + 1st to 4th Floor</t>
  </si>
  <si>
    <t>168, H.No.1A + 2A + 3A/3</t>
  </si>
  <si>
    <t>MASHA/LNA1B/SR/P.No.02</t>
  </si>
  <si>
    <t>03 Wings</t>
  </si>
  <si>
    <t>Ground Floor for Commercial &amp; Parking</t>
  </si>
  <si>
    <t>Shop</t>
  </si>
  <si>
    <t>Wing B</t>
  </si>
  <si>
    <t>Wing C</t>
  </si>
  <si>
    <t>Wing A</t>
  </si>
  <si>
    <t>1st to 4th Floor</t>
  </si>
  <si>
    <t>1st to 4th Floor for Residential</t>
  </si>
  <si>
    <t>107 to 407</t>
  </si>
  <si>
    <t>108 to 408</t>
  </si>
  <si>
    <t>101 to 401</t>
  </si>
  <si>
    <t>102 to 402</t>
  </si>
  <si>
    <t>103 to 403</t>
  </si>
  <si>
    <t>104 to 404</t>
  </si>
  <si>
    <t>105 to 405</t>
  </si>
  <si>
    <t>106 to 406</t>
  </si>
  <si>
    <t>1BHK</t>
  </si>
  <si>
    <t>1RK</t>
  </si>
  <si>
    <t>Commercial Area Details :Shop</t>
  </si>
  <si>
    <t>Flats - 72, Shops - 25</t>
  </si>
  <si>
    <t>Legal Fee</t>
  </si>
  <si>
    <t>10,000/-</t>
  </si>
  <si>
    <t>Axis Sanpada</t>
  </si>
  <si>
    <t>We considered  Saleable area  as per Builder area sheet.</t>
  </si>
  <si>
    <t>Wing A = Gr + 1st to 4th Floor</t>
  </si>
  <si>
    <t>Wing C = Gr + 1st to 4th Floor</t>
  </si>
  <si>
    <t>Wing A, B &amp; C = Gr + 1st to 4th Floor</t>
  </si>
  <si>
    <t>Himalaya Complex</t>
  </si>
  <si>
    <t>1,00,000/-</t>
  </si>
  <si>
    <t>Survey No</t>
  </si>
  <si>
    <t>Open Plot</t>
  </si>
  <si>
    <t>Vangani</t>
  </si>
  <si>
    <t>Shop No.
(Sale Plan)</t>
  </si>
  <si>
    <t>Builder Saleable area</t>
  </si>
  <si>
    <t>2.6 Km from Vangani  Railway Station</t>
  </si>
  <si>
    <t xml:space="preserve">1,75,000/-
</t>
  </si>
  <si>
    <t>24,000/-</t>
  </si>
  <si>
    <t>Society Charges</t>
  </si>
  <si>
    <t>40,000/-</t>
  </si>
  <si>
    <t>Electricity Charges</t>
  </si>
  <si>
    <t>20,000/-</t>
  </si>
  <si>
    <t>Asmi</t>
  </si>
  <si>
    <t>Abhishek</t>
  </si>
  <si>
    <t>We considered Gross carpet area = Net carpet + E.P Area.</t>
  </si>
  <si>
    <t xml:space="preserve">Recommended rate should be considered as all inclusive rate if other charges are not mentioned. (Excluding GST &amp; other government Taxes).
</t>
  </si>
  <si>
    <t>2850 to 3300</t>
  </si>
  <si>
    <t>IGR</t>
  </si>
  <si>
    <t>On Site, we meet Mr. Amol - 8693865186.</t>
  </si>
  <si>
    <t>Wing B &amp; C = Gr + 1st to 4th Floor</t>
  </si>
  <si>
    <t xml:space="preserve">Location Link: </t>
  </si>
  <si>
    <t>https://goo.gl/maps/T3Vhdh1txtrctDyU9</t>
  </si>
  <si>
    <t>Office No. 1031, Wing J, Akshar Business Park, Plot No. 03 Sector 25, Near APMC Market, 
Vashi, Navi Mumbai, Maharashtra 400703 TEL: 022-46090378/79/8
E mail : vsjcapf@gmail.com. Web site : www.vsjadon.com</t>
  </si>
  <si>
    <t>Site Meet Person Contact Details ( Name &amp; Contact No.)</t>
  </si>
  <si>
    <t>Mr. Amol Kolekar 8693865186</t>
  </si>
  <si>
    <t>Latitude,Longitude</t>
  </si>
  <si>
    <t>19.106574,73.316254</t>
  </si>
  <si>
    <t>Mr. Bhaskar - 8080904210</t>
  </si>
  <si>
    <t>Naynesh Sunil Lovanshi</t>
  </si>
  <si>
    <t>All work completed. Finishing work is in process.</t>
  </si>
  <si>
    <t>Wing B = Gr + 1st to 4th Floor</t>
  </si>
  <si>
    <t>As per RERA - 29/06/2025</t>
  </si>
  <si>
    <t>Wing A = Lift work is pending. Work is same as last visit dtd.15/07/2024
Wing B &amp; C = Work is same as last visit (dtd.09/01/2025).
Wing C = Construction work is in process at the time of Visit.</t>
  </si>
  <si>
    <t>Pooja</t>
  </si>
  <si>
    <t>As per RERA, completion period of project Vaastu Sankalp is expired on 29/06/2025 but still project is under construction.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</si>
</sst>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b/>
      <sz val="11.5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/>
  </cellStyleXfs>
  <cellXfs count="176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2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1" fillId="0" borderId="0" xfId="1" applyFont="1"/>
    <xf numFmtId="0" fontId="14" fillId="0" borderId="0" xfId="1" applyFont="1"/>
    <xf numFmtId="0" fontId="15" fillId="0" borderId="0" xfId="1" applyFont="1"/>
    <xf numFmtId="0" fontId="7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9" fontId="16" fillId="0" borderId="0" xfId="0" applyNumberFormat="1" applyFont="1" applyProtection="1">
      <protection hidden="1"/>
    </xf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16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6" fillId="0" borderId="13" xfId="0" applyFont="1" applyBorder="1" applyProtection="1">
      <protection hidden="1"/>
    </xf>
    <xf numFmtId="0" fontId="16" fillId="0" borderId="14" xfId="0" applyFont="1" applyBorder="1" applyProtection="1">
      <protection hidden="1"/>
    </xf>
    <xf numFmtId="9" fontId="16" fillId="0" borderId="14" xfId="0" applyNumberFormat="1" applyFont="1" applyBorder="1" applyProtection="1">
      <protection hidden="1"/>
    </xf>
    <xf numFmtId="165" fontId="0" fillId="0" borderId="0" xfId="0" applyNumberFormat="1"/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0" fillId="0" borderId="13" xfId="0" applyBorder="1"/>
    <xf numFmtId="1" fontId="0" fillId="0" borderId="0" xfId="0" applyNumberFormat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5" xfId="1" applyFont="1" applyBorder="1" applyAlignment="1" applyProtection="1">
      <alignment horizontal="center"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4" fontId="0" fillId="0" borderId="0" xfId="0" applyNumberFormat="1"/>
    <xf numFmtId="0" fontId="11" fillId="0" borderId="1" xfId="1" applyFont="1" applyBorder="1" applyAlignment="1" applyProtection="1">
      <alignment horizontal="center" vertical="top" wrapText="1"/>
      <protection locked="0"/>
    </xf>
    <xf numFmtId="0" fontId="11" fillId="0" borderId="4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wrapText="1"/>
      <protection locked="0"/>
    </xf>
    <xf numFmtId="9" fontId="11" fillId="0" borderId="1" xfId="1" applyNumberFormat="1" applyFont="1" applyBorder="1" applyAlignment="1" applyProtection="1">
      <alignment horizontal="center" vertical="center" wrapText="1"/>
      <protection hidden="1"/>
    </xf>
    <xf numFmtId="1" fontId="11" fillId="0" borderId="1" xfId="1" applyNumberFormat="1" applyFont="1" applyBorder="1" applyAlignment="1" applyProtection="1">
      <alignment horizontal="center" wrapText="1"/>
      <protection locked="0"/>
    </xf>
    <xf numFmtId="0" fontId="11" fillId="0" borderId="7" xfId="1" applyFont="1" applyBorder="1" applyAlignment="1" applyProtection="1">
      <alignment horizontal="center" wrapText="1"/>
      <protection locked="0"/>
    </xf>
    <xf numFmtId="9" fontId="11" fillId="0" borderId="7" xfId="1" applyNumberFormat="1" applyFont="1" applyBorder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10" fillId="0" borderId="0" xfId="1" applyFont="1" applyProtection="1"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2" fillId="0" borderId="9" xfId="0" applyNumberFormat="1" applyFont="1" applyBorder="1" applyAlignment="1" applyProtection="1">
      <alignment vertical="top" wrapText="1"/>
      <protection locked="0"/>
    </xf>
    <xf numFmtId="1" fontId="12" fillId="0" borderId="24" xfId="0" applyNumberFormat="1" applyFont="1" applyBorder="1" applyAlignment="1" applyProtection="1">
      <alignment vertical="top" wrapText="1"/>
      <protection locked="0"/>
    </xf>
    <xf numFmtId="1" fontId="12" fillId="0" borderId="10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1" fillId="0" borderId="9" xfId="1" applyFont="1" applyBorder="1" applyAlignment="1" applyProtection="1">
      <alignment horizontal="left" vertical="top" wrapText="1"/>
      <protection locked="0"/>
    </xf>
    <xf numFmtId="0" fontId="11" fillId="0" borderId="24" xfId="1" applyFont="1" applyBorder="1" applyAlignment="1" applyProtection="1">
      <alignment horizontal="left" vertical="top" wrapText="1"/>
      <protection locked="0"/>
    </xf>
    <xf numFmtId="0" fontId="11" fillId="0" borderId="10" xfId="1" applyFont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left" vertical="top"/>
      <protection locked="0"/>
    </xf>
    <xf numFmtId="0" fontId="8" fillId="0" borderId="25" xfId="1" applyFont="1" applyBorder="1" applyAlignment="1" applyProtection="1">
      <alignment horizontal="center" vertical="top" wrapText="1"/>
      <protection locked="0"/>
    </xf>
    <xf numFmtId="0" fontId="8" fillId="0" borderId="18" xfId="1" applyFont="1" applyBorder="1" applyAlignment="1" applyProtection="1">
      <alignment horizontal="center" vertical="top" wrapText="1"/>
      <protection locked="0"/>
    </xf>
    <xf numFmtId="14" fontId="8" fillId="0" borderId="16" xfId="1" applyNumberFormat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26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center" vertical="top" wrapText="1"/>
      <protection locked="0"/>
    </xf>
    <xf numFmtId="0" fontId="12" fillId="0" borderId="18" xfId="1" applyFont="1" applyBorder="1" applyAlignment="1" applyProtection="1">
      <alignment horizontal="center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1" fillId="0" borderId="4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1" fillId="0" borderId="16" xfId="1" applyFont="1" applyBorder="1" applyAlignment="1" applyProtection="1">
      <alignment horizontal="left" vertical="top"/>
      <protection locked="0"/>
    </xf>
    <xf numFmtId="0" fontId="11" fillId="0" borderId="17" xfId="1" applyFont="1" applyBorder="1" applyAlignment="1" applyProtection="1">
      <alignment horizontal="left" vertical="top"/>
      <protection locked="0"/>
    </xf>
    <xf numFmtId="0" fontId="11" fillId="0" borderId="18" xfId="1" applyFont="1" applyBorder="1" applyAlignment="1" applyProtection="1">
      <alignment horizontal="left" vertical="top"/>
      <protection locked="0"/>
    </xf>
    <xf numFmtId="0" fontId="11" fillId="0" borderId="6" xfId="1" applyFont="1" applyBorder="1" applyAlignment="1" applyProtection="1">
      <alignment horizontal="center" vertical="top" wrapText="1"/>
      <protection locked="0"/>
    </xf>
    <xf numFmtId="0" fontId="11" fillId="0" borderId="7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1" fillId="0" borderId="5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165" fontId="11" fillId="0" borderId="1" xfId="1" applyNumberFormat="1" applyFont="1" applyBorder="1" applyAlignment="1" applyProtection="1">
      <alignment horizontal="left" vertical="top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1" fillId="0" borderId="20" xfId="1" applyFont="1" applyBorder="1" applyAlignment="1" applyProtection="1">
      <alignment horizontal="left" vertical="top" wrapText="1"/>
      <protection locked="0"/>
    </xf>
    <xf numFmtId="0" fontId="11" fillId="0" borderId="27" xfId="1" applyFont="1" applyBorder="1" applyAlignment="1" applyProtection="1">
      <alignment horizontal="left" vertical="top" wrapText="1"/>
      <protection locked="0"/>
    </xf>
    <xf numFmtId="0" fontId="11" fillId="0" borderId="21" xfId="1" applyFont="1" applyBorder="1" applyAlignment="1" applyProtection="1">
      <alignment horizontal="left" vertical="top" wrapText="1"/>
      <protection locked="0"/>
    </xf>
    <xf numFmtId="167" fontId="11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4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9" fontId="11" fillId="0" borderId="1" xfId="1" applyNumberFormat="1" applyFont="1" applyBorder="1" applyAlignment="1" applyProtection="1">
      <alignment horizontal="center" vertical="center" wrapText="1"/>
      <protection hidden="1"/>
    </xf>
    <xf numFmtId="9" fontId="11" fillId="0" borderId="7" xfId="1" applyNumberFormat="1" applyFont="1" applyBorder="1" applyAlignment="1" applyProtection="1">
      <alignment horizontal="center" vertical="center" wrapText="1"/>
      <protection hidden="1"/>
    </xf>
    <xf numFmtId="9" fontId="11" fillId="0" borderId="5" xfId="1" applyNumberFormat="1" applyFont="1" applyBorder="1" applyAlignment="1" applyProtection="1">
      <alignment horizontal="center" vertical="center" wrapText="1"/>
      <protection hidden="1"/>
    </xf>
    <xf numFmtId="9" fontId="11" fillId="0" borderId="8" xfId="1" applyNumberFormat="1" applyFont="1" applyBorder="1" applyAlignment="1" applyProtection="1">
      <alignment horizontal="center" vertical="center" wrapText="1"/>
      <protection hidden="1"/>
    </xf>
    <xf numFmtId="0" fontId="2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67" fontId="11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1" fillId="0" borderId="3" xfId="1" applyFont="1" applyBorder="1" applyAlignment="1" applyProtection="1">
      <alignment horizontal="left" vertical="top" wrapText="1"/>
      <protection locked="0"/>
    </xf>
    <xf numFmtId="2" fontId="11" fillId="0" borderId="1" xfId="1" applyNumberFormat="1" applyFont="1" applyBorder="1" applyAlignment="1" applyProtection="1">
      <alignment horizontal="left" vertical="top"/>
      <protection locked="0"/>
    </xf>
    <xf numFmtId="0" fontId="11" fillId="0" borderId="28" xfId="1" applyFont="1" applyBorder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11" fillId="0" borderId="22" xfId="1" applyFont="1" applyBorder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22" fillId="0" borderId="9" xfId="8" applyBorder="1" applyAlignment="1" applyProtection="1">
      <alignment horizontal="left"/>
      <protection locked="0"/>
    </xf>
    <xf numFmtId="0" fontId="11" fillId="0" borderId="24" xfId="1" applyFont="1" applyBorder="1" applyAlignment="1" applyProtection="1">
      <alignment horizontal="left"/>
      <protection locked="0"/>
    </xf>
    <xf numFmtId="0" fontId="11" fillId="0" borderId="10" xfId="1" applyFont="1" applyBorder="1" applyAlignment="1" applyProtection="1">
      <alignment horizontal="left"/>
      <protection locked="0"/>
    </xf>
    <xf numFmtId="0" fontId="12" fillId="0" borderId="9" xfId="1" applyFont="1" applyBorder="1" applyAlignment="1" applyProtection="1">
      <alignment horizontal="left"/>
      <protection locked="0"/>
    </xf>
    <xf numFmtId="0" fontId="12" fillId="0" borderId="24" xfId="1" applyFont="1" applyBorder="1" applyAlignment="1" applyProtection="1">
      <alignment horizontal="left"/>
      <protection locked="0"/>
    </xf>
    <xf numFmtId="0" fontId="12" fillId="0" borderId="10" xfId="1" applyFont="1" applyBorder="1" applyAlignment="1" applyProtection="1">
      <alignment horizontal="left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2" fontId="11" fillId="0" borderId="1" xfId="1" applyNumberFormat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  <xf numFmtId="1" fontId="23" fillId="0" borderId="9" xfId="0" applyNumberFormat="1" applyFont="1" applyBorder="1" applyAlignment="1" applyProtection="1">
      <alignment vertical="top" wrapText="1"/>
      <protection locked="0"/>
    </xf>
    <xf numFmtId="1" fontId="23" fillId="0" borderId="24" xfId="0" applyNumberFormat="1" applyFont="1" applyBorder="1" applyAlignment="1" applyProtection="1">
      <alignment vertical="top" wrapText="1"/>
      <protection locked="0"/>
    </xf>
    <xf numFmtId="1" fontId="23" fillId="0" borderId="10" xfId="0" applyNumberFormat="1" applyFont="1" applyBorder="1" applyAlignment="1" applyProtection="1">
      <alignment vertical="top" wrapText="1"/>
      <protection locked="0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392210</xdr:colOff>
      <xdr:row>269</xdr:row>
      <xdr:rowOff>33099</xdr:rowOff>
    </xdr:from>
    <xdr:to>
      <xdr:col>6</xdr:col>
      <xdr:colOff>504265</xdr:colOff>
      <xdr:row>283</xdr:row>
      <xdr:rowOff>89216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0239" y="54011834"/>
          <a:ext cx="4583202" cy="28799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403413</xdr:colOff>
      <xdr:row>253</xdr:row>
      <xdr:rowOff>201704</xdr:rowOff>
    </xdr:from>
    <xdr:to>
      <xdr:col>6</xdr:col>
      <xdr:colOff>515473</xdr:colOff>
      <xdr:row>268</xdr:row>
      <xdr:rowOff>56114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21442" y="50953145"/>
          <a:ext cx="4583207" cy="287999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26844</xdr:colOff>
      <xdr:row>235</xdr:row>
      <xdr:rowOff>42350</xdr:rowOff>
    </xdr:from>
    <xdr:to>
      <xdr:col>9</xdr:col>
      <xdr:colOff>329912</xdr:colOff>
      <xdr:row>236</xdr:row>
      <xdr:rowOff>125555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7599219" y="49753325"/>
          <a:ext cx="303068" cy="2832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C</a:t>
          </a:r>
        </a:p>
      </xdr:txBody>
    </xdr:sp>
    <xdr:clientData/>
  </xdr:twoCellAnchor>
  <xdr:twoCellAnchor>
    <xdr:from>
      <xdr:col>10</xdr:col>
      <xdr:colOff>742950</xdr:colOff>
      <xdr:row>210</xdr:row>
      <xdr:rowOff>133350</xdr:rowOff>
    </xdr:from>
    <xdr:to>
      <xdr:col>11</xdr:col>
      <xdr:colOff>212148</xdr:colOff>
      <xdr:row>212</xdr:row>
      <xdr:rowOff>47624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9525000" y="42214800"/>
          <a:ext cx="259773" cy="30479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B</a:t>
          </a:r>
        </a:p>
      </xdr:txBody>
    </xdr:sp>
    <xdr:clientData/>
  </xdr:twoCellAnchor>
  <xdr:twoCellAnchor>
    <xdr:from>
      <xdr:col>12</xdr:col>
      <xdr:colOff>552450</xdr:colOff>
      <xdr:row>213</xdr:row>
      <xdr:rowOff>180975</xdr:rowOff>
    </xdr:from>
    <xdr:to>
      <xdr:col>16</xdr:col>
      <xdr:colOff>47625</xdr:colOff>
      <xdr:row>215</xdr:row>
      <xdr:rowOff>85724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829925" y="42852975"/>
          <a:ext cx="285750" cy="30479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C</a:t>
          </a:r>
        </a:p>
      </xdr:txBody>
    </xdr:sp>
    <xdr:clientData/>
  </xdr:twoCellAnchor>
  <xdr:twoCellAnchor>
    <xdr:from>
      <xdr:col>12</xdr:col>
      <xdr:colOff>681968</xdr:colOff>
      <xdr:row>210</xdr:row>
      <xdr:rowOff>47625</xdr:rowOff>
    </xdr:from>
    <xdr:to>
      <xdr:col>16</xdr:col>
      <xdr:colOff>400050</xdr:colOff>
      <xdr:row>211</xdr:row>
      <xdr:rowOff>152399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0959443" y="42129075"/>
          <a:ext cx="508657" cy="30479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/>
            <a:t>A</a:t>
          </a:r>
        </a:p>
      </xdr:txBody>
    </xdr:sp>
    <xdr:clientData/>
  </xdr:twoCellAnchor>
  <xdr:twoCellAnchor>
    <xdr:from>
      <xdr:col>9</xdr:col>
      <xdr:colOff>111714</xdr:colOff>
      <xdr:row>210</xdr:row>
      <xdr:rowOff>197224</xdr:rowOff>
    </xdr:from>
    <xdr:to>
      <xdr:col>9</xdr:col>
      <xdr:colOff>782728</xdr:colOff>
      <xdr:row>213</xdr:row>
      <xdr:rowOff>109486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347176" y="41333501"/>
          <a:ext cx="671014" cy="504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2800" b="1">
              <a:solidFill>
                <a:srgbClr val="C00000"/>
              </a:solidFill>
            </a:rPr>
            <a:t>C</a:t>
          </a:r>
        </a:p>
      </xdr:txBody>
    </xdr:sp>
    <xdr:clientData/>
  </xdr:twoCellAnchor>
  <xdr:twoCellAnchor>
    <xdr:from>
      <xdr:col>8</xdr:col>
      <xdr:colOff>863600</xdr:colOff>
      <xdr:row>209</xdr:row>
      <xdr:rowOff>174625</xdr:rowOff>
    </xdr:from>
    <xdr:to>
      <xdr:col>20</xdr:col>
      <xdr:colOff>478387</xdr:colOff>
      <xdr:row>249</xdr:row>
      <xdr:rowOff>171839</xdr:rowOff>
    </xdr:to>
    <xdr:grpSp>
      <xdr:nvGrpSpPr>
        <xdr:cNvPr id="2" name="Group 1"/>
        <xdr:cNvGrpSpPr/>
      </xdr:nvGrpSpPr>
      <xdr:grpSpPr>
        <a:xfrm>
          <a:off x="8128000" y="43970575"/>
          <a:ext cx="6453737" cy="7864864"/>
          <a:chOff x="387350" y="44069000"/>
          <a:chExt cx="6425162" cy="7864864"/>
        </a:xfrm>
      </xdr:grpSpPr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90773" y="4977386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7350" y="4692143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7351" y="440690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75000" y="440690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62649" y="440690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74999" y="4692143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62648" y="4692143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7" name="TextBox 4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3413200" y="44183300"/>
            <a:ext cx="395206" cy="5539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2800" b="1">
                <a:solidFill>
                  <a:srgbClr val="C00000"/>
                </a:solidFill>
              </a:rPr>
              <a:t>B</a:t>
            </a:r>
          </a:p>
        </xdr:txBody>
      </xdr:sp>
      <xdr:sp macro="" textlink="">
        <xdr:nvSpPr>
          <xdr:cNvPr id="48" name="TextBox 47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996951" y="44208700"/>
            <a:ext cx="395206" cy="5539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2800" b="1">
                <a:solidFill>
                  <a:srgbClr val="C00000"/>
                </a:solidFill>
              </a:rPr>
              <a:t>A</a:t>
            </a:r>
          </a:p>
        </xdr:txBody>
      </xdr:sp>
      <xdr:sp macro="" textlink="">
        <xdr:nvSpPr>
          <xdr:cNvPr id="49" name="TextBox 48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5804049" y="44246800"/>
            <a:ext cx="395206" cy="5539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2800" b="1">
                <a:solidFill>
                  <a:srgbClr val="C00000"/>
                </a:solidFill>
              </a:rPr>
              <a:t>C</a:t>
            </a:r>
          </a:p>
        </xdr:txBody>
      </xdr:sp>
    </xdr:grpSp>
    <xdr:clientData/>
  </xdr:twoCellAnchor>
  <xdr:twoCellAnchor>
    <xdr:from>
      <xdr:col>0</xdr:col>
      <xdr:colOff>361950</xdr:colOff>
      <xdr:row>211</xdr:row>
      <xdr:rowOff>139700</xdr:rowOff>
    </xdr:from>
    <xdr:to>
      <xdr:col>7</xdr:col>
      <xdr:colOff>927147</xdr:colOff>
      <xdr:row>247</xdr:row>
      <xdr:rowOff>34244</xdr:rowOff>
    </xdr:to>
    <xdr:grpSp>
      <xdr:nvGrpSpPr>
        <xdr:cNvPr id="3" name="Group 2"/>
        <xdr:cNvGrpSpPr/>
      </xdr:nvGrpSpPr>
      <xdr:grpSpPr>
        <a:xfrm>
          <a:off x="361950" y="44329350"/>
          <a:ext cx="6489747" cy="6974794"/>
          <a:chOff x="361950" y="43922950"/>
          <a:chExt cx="6489747" cy="6974794"/>
        </a:xfrm>
      </xdr:grpSpPr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05613" y="48917744"/>
            <a:ext cx="1483454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8859" y="46798347"/>
            <a:ext cx="2637555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1950" y="439229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81892" y="439229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01834" y="439229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65793" y="48917744"/>
            <a:ext cx="1483454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15210" y="46798347"/>
            <a:ext cx="1483454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6" name="Picture 65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5703" y="48917744"/>
            <a:ext cx="1483454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47460" y="46798347"/>
            <a:ext cx="1483454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5883" y="48917744"/>
            <a:ext cx="1483454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9" name="TextBox 68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793750" y="44119800"/>
            <a:ext cx="67945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rgbClr val="C00000"/>
                </a:solidFill>
              </a:rPr>
              <a:t>Wing A</a:t>
            </a:r>
          </a:p>
        </xdr:txBody>
      </xdr:sp>
      <xdr:sp macro="" textlink="">
        <xdr:nvSpPr>
          <xdr:cNvPr id="70" name="TextBox 69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3058142" y="44227750"/>
            <a:ext cx="67945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rgbClr val="C00000"/>
                </a:solidFill>
              </a:rPr>
              <a:t>Wing B</a:t>
            </a:r>
          </a:p>
        </xdr:txBody>
      </xdr:sp>
      <xdr:sp macro="" textlink="">
        <xdr:nvSpPr>
          <xdr:cNvPr id="71" name="TextBox 70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5614634" y="44138850"/>
            <a:ext cx="67945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rgbClr val="C00000"/>
                </a:solidFill>
              </a:rPr>
              <a:t>Wing C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311625</xdr:colOff>
      <xdr:row>0</xdr:row>
      <xdr:rowOff>0</xdr:rowOff>
    </xdr:from>
    <xdr:to>
      <xdr:col>8</xdr:col>
      <xdr:colOff>143625</xdr:colOff>
      <xdr:row>26</xdr:row>
      <xdr:rowOff>10275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203562" y="1041638"/>
          <a:ext cx="4963275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249038</xdr:colOff>
      <xdr:row>0</xdr:row>
      <xdr:rowOff>0</xdr:rowOff>
    </xdr:from>
    <xdr:to>
      <xdr:col>13</xdr:col>
      <xdr:colOff>81038</xdr:colOff>
      <xdr:row>23</xdr:row>
      <xdr:rowOff>69330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4445198" y="785415"/>
          <a:ext cx="4450830" cy="28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T3Vhdh1txtrctDyU9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91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13" customWidth="1"/>
    <col min="2" max="2" width="12" style="13" customWidth="1"/>
    <col min="3" max="3" width="12.54296875" style="13" customWidth="1"/>
    <col min="4" max="4" width="14.1796875" style="13" customWidth="1"/>
    <col min="5" max="7" width="11.54296875" style="13" customWidth="1"/>
    <col min="8" max="8" width="19.1796875" style="13" customWidth="1"/>
    <col min="9" max="9" width="15.54296875" style="8" customWidth="1"/>
    <col min="10" max="10" width="11.453125" style="8" customWidth="1"/>
    <col min="11" max="11" width="11.81640625" style="8" bestFit="1" customWidth="1"/>
    <col min="12" max="12" width="10.54296875" style="8" customWidth="1"/>
    <col min="13" max="13" width="11.81640625" style="8" customWidth="1"/>
    <col min="14" max="14" width="12.54296875" style="8" hidden="1" customWidth="1"/>
    <col min="15" max="15" width="4.54296875" style="8" hidden="1" customWidth="1"/>
    <col min="16" max="16" width="5.54296875" style="8" hidden="1" customWidth="1"/>
    <col min="17" max="247" width="9.1796875" style="8"/>
    <col min="248" max="248" width="8.54296875" style="8" customWidth="1"/>
    <col min="249" max="249" width="9.81640625" style="8" customWidth="1"/>
    <col min="250" max="250" width="14.453125" style="8" customWidth="1"/>
    <col min="251" max="251" width="7.453125" style="8" customWidth="1"/>
    <col min="252" max="252" width="5.54296875" style="8" customWidth="1"/>
    <col min="253" max="253" width="9" style="8" customWidth="1"/>
    <col min="254" max="255" width="9.81640625" style="8" customWidth="1"/>
    <col min="256" max="256" width="11.1796875" style="8" customWidth="1"/>
    <col min="257" max="257" width="2.81640625" style="8" customWidth="1"/>
    <col min="258" max="258" width="3.54296875" style="8" customWidth="1"/>
    <col min="259" max="503" width="9.1796875" style="8"/>
    <col min="504" max="504" width="8.54296875" style="8" customWidth="1"/>
    <col min="505" max="505" width="9.81640625" style="8" customWidth="1"/>
    <col min="506" max="506" width="14.453125" style="8" customWidth="1"/>
    <col min="507" max="507" width="7.453125" style="8" customWidth="1"/>
    <col min="508" max="508" width="5.54296875" style="8" customWidth="1"/>
    <col min="509" max="509" width="9" style="8" customWidth="1"/>
    <col min="510" max="511" width="9.81640625" style="8" customWidth="1"/>
    <col min="512" max="512" width="11.1796875" style="8" customWidth="1"/>
    <col min="513" max="513" width="2.81640625" style="8" customWidth="1"/>
    <col min="514" max="514" width="3.54296875" style="8" customWidth="1"/>
    <col min="515" max="759" width="9.1796875" style="8"/>
    <col min="760" max="760" width="8.54296875" style="8" customWidth="1"/>
    <col min="761" max="761" width="9.81640625" style="8" customWidth="1"/>
    <col min="762" max="762" width="14.453125" style="8" customWidth="1"/>
    <col min="763" max="763" width="7.453125" style="8" customWidth="1"/>
    <col min="764" max="764" width="5.54296875" style="8" customWidth="1"/>
    <col min="765" max="765" width="9" style="8" customWidth="1"/>
    <col min="766" max="767" width="9.81640625" style="8" customWidth="1"/>
    <col min="768" max="768" width="11.1796875" style="8" customWidth="1"/>
    <col min="769" max="769" width="2.81640625" style="8" customWidth="1"/>
    <col min="770" max="770" width="3.54296875" style="8" customWidth="1"/>
    <col min="771" max="1015" width="9.1796875" style="8"/>
    <col min="1016" max="1016" width="8.54296875" style="8" customWidth="1"/>
    <col min="1017" max="1017" width="9.81640625" style="8" customWidth="1"/>
    <col min="1018" max="1018" width="14.453125" style="8" customWidth="1"/>
    <col min="1019" max="1019" width="7.453125" style="8" customWidth="1"/>
    <col min="1020" max="1020" width="5.54296875" style="8" customWidth="1"/>
    <col min="1021" max="1021" width="9" style="8" customWidth="1"/>
    <col min="1022" max="1023" width="9.81640625" style="8" customWidth="1"/>
    <col min="1024" max="1024" width="11.1796875" style="8" customWidth="1"/>
    <col min="1025" max="1025" width="2.81640625" style="8" customWidth="1"/>
    <col min="1026" max="1026" width="3.54296875" style="8" customWidth="1"/>
    <col min="1027" max="1271" width="9.1796875" style="8"/>
    <col min="1272" max="1272" width="8.54296875" style="8" customWidth="1"/>
    <col min="1273" max="1273" width="9.81640625" style="8" customWidth="1"/>
    <col min="1274" max="1274" width="14.453125" style="8" customWidth="1"/>
    <col min="1275" max="1275" width="7.453125" style="8" customWidth="1"/>
    <col min="1276" max="1276" width="5.54296875" style="8" customWidth="1"/>
    <col min="1277" max="1277" width="9" style="8" customWidth="1"/>
    <col min="1278" max="1279" width="9.81640625" style="8" customWidth="1"/>
    <col min="1280" max="1280" width="11.1796875" style="8" customWidth="1"/>
    <col min="1281" max="1281" width="2.81640625" style="8" customWidth="1"/>
    <col min="1282" max="1282" width="3.54296875" style="8" customWidth="1"/>
    <col min="1283" max="1527" width="9.1796875" style="8"/>
    <col min="1528" max="1528" width="8.54296875" style="8" customWidth="1"/>
    <col min="1529" max="1529" width="9.81640625" style="8" customWidth="1"/>
    <col min="1530" max="1530" width="14.453125" style="8" customWidth="1"/>
    <col min="1531" max="1531" width="7.453125" style="8" customWidth="1"/>
    <col min="1532" max="1532" width="5.54296875" style="8" customWidth="1"/>
    <col min="1533" max="1533" width="9" style="8" customWidth="1"/>
    <col min="1534" max="1535" width="9.81640625" style="8" customWidth="1"/>
    <col min="1536" max="1536" width="11.1796875" style="8" customWidth="1"/>
    <col min="1537" max="1537" width="2.81640625" style="8" customWidth="1"/>
    <col min="1538" max="1538" width="3.54296875" style="8" customWidth="1"/>
    <col min="1539" max="1783" width="9.1796875" style="8"/>
    <col min="1784" max="1784" width="8.54296875" style="8" customWidth="1"/>
    <col min="1785" max="1785" width="9.81640625" style="8" customWidth="1"/>
    <col min="1786" max="1786" width="14.453125" style="8" customWidth="1"/>
    <col min="1787" max="1787" width="7.453125" style="8" customWidth="1"/>
    <col min="1788" max="1788" width="5.54296875" style="8" customWidth="1"/>
    <col min="1789" max="1789" width="9" style="8" customWidth="1"/>
    <col min="1790" max="1791" width="9.81640625" style="8" customWidth="1"/>
    <col min="1792" max="1792" width="11.1796875" style="8" customWidth="1"/>
    <col min="1793" max="1793" width="2.81640625" style="8" customWidth="1"/>
    <col min="1794" max="1794" width="3.54296875" style="8" customWidth="1"/>
    <col min="1795" max="2039" width="9.1796875" style="8"/>
    <col min="2040" max="2040" width="8.54296875" style="8" customWidth="1"/>
    <col min="2041" max="2041" width="9.81640625" style="8" customWidth="1"/>
    <col min="2042" max="2042" width="14.453125" style="8" customWidth="1"/>
    <col min="2043" max="2043" width="7.453125" style="8" customWidth="1"/>
    <col min="2044" max="2044" width="5.54296875" style="8" customWidth="1"/>
    <col min="2045" max="2045" width="9" style="8" customWidth="1"/>
    <col min="2046" max="2047" width="9.81640625" style="8" customWidth="1"/>
    <col min="2048" max="2048" width="11.1796875" style="8" customWidth="1"/>
    <col min="2049" max="2049" width="2.81640625" style="8" customWidth="1"/>
    <col min="2050" max="2050" width="3.54296875" style="8" customWidth="1"/>
    <col min="2051" max="2295" width="9.1796875" style="8"/>
    <col min="2296" max="2296" width="8.54296875" style="8" customWidth="1"/>
    <col min="2297" max="2297" width="9.81640625" style="8" customWidth="1"/>
    <col min="2298" max="2298" width="14.453125" style="8" customWidth="1"/>
    <col min="2299" max="2299" width="7.453125" style="8" customWidth="1"/>
    <col min="2300" max="2300" width="5.54296875" style="8" customWidth="1"/>
    <col min="2301" max="2301" width="9" style="8" customWidth="1"/>
    <col min="2302" max="2303" width="9.81640625" style="8" customWidth="1"/>
    <col min="2304" max="2304" width="11.1796875" style="8" customWidth="1"/>
    <col min="2305" max="2305" width="2.81640625" style="8" customWidth="1"/>
    <col min="2306" max="2306" width="3.54296875" style="8" customWidth="1"/>
    <col min="2307" max="2551" width="9.1796875" style="8"/>
    <col min="2552" max="2552" width="8.54296875" style="8" customWidth="1"/>
    <col min="2553" max="2553" width="9.81640625" style="8" customWidth="1"/>
    <col min="2554" max="2554" width="14.453125" style="8" customWidth="1"/>
    <col min="2555" max="2555" width="7.453125" style="8" customWidth="1"/>
    <col min="2556" max="2556" width="5.54296875" style="8" customWidth="1"/>
    <col min="2557" max="2557" width="9" style="8" customWidth="1"/>
    <col min="2558" max="2559" width="9.81640625" style="8" customWidth="1"/>
    <col min="2560" max="2560" width="11.1796875" style="8" customWidth="1"/>
    <col min="2561" max="2561" width="2.81640625" style="8" customWidth="1"/>
    <col min="2562" max="2562" width="3.54296875" style="8" customWidth="1"/>
    <col min="2563" max="2807" width="9.1796875" style="8"/>
    <col min="2808" max="2808" width="8.54296875" style="8" customWidth="1"/>
    <col min="2809" max="2809" width="9.81640625" style="8" customWidth="1"/>
    <col min="2810" max="2810" width="14.453125" style="8" customWidth="1"/>
    <col min="2811" max="2811" width="7.453125" style="8" customWidth="1"/>
    <col min="2812" max="2812" width="5.54296875" style="8" customWidth="1"/>
    <col min="2813" max="2813" width="9" style="8" customWidth="1"/>
    <col min="2814" max="2815" width="9.81640625" style="8" customWidth="1"/>
    <col min="2816" max="2816" width="11.1796875" style="8" customWidth="1"/>
    <col min="2817" max="2817" width="2.81640625" style="8" customWidth="1"/>
    <col min="2818" max="2818" width="3.54296875" style="8" customWidth="1"/>
    <col min="2819" max="3063" width="9.1796875" style="8"/>
    <col min="3064" max="3064" width="8.54296875" style="8" customWidth="1"/>
    <col min="3065" max="3065" width="9.81640625" style="8" customWidth="1"/>
    <col min="3066" max="3066" width="14.453125" style="8" customWidth="1"/>
    <col min="3067" max="3067" width="7.453125" style="8" customWidth="1"/>
    <col min="3068" max="3068" width="5.54296875" style="8" customWidth="1"/>
    <col min="3069" max="3069" width="9" style="8" customWidth="1"/>
    <col min="3070" max="3071" width="9.81640625" style="8" customWidth="1"/>
    <col min="3072" max="3072" width="11.1796875" style="8" customWidth="1"/>
    <col min="3073" max="3073" width="2.81640625" style="8" customWidth="1"/>
    <col min="3074" max="3074" width="3.54296875" style="8" customWidth="1"/>
    <col min="3075" max="3319" width="9.1796875" style="8"/>
    <col min="3320" max="3320" width="8.54296875" style="8" customWidth="1"/>
    <col min="3321" max="3321" width="9.81640625" style="8" customWidth="1"/>
    <col min="3322" max="3322" width="14.453125" style="8" customWidth="1"/>
    <col min="3323" max="3323" width="7.453125" style="8" customWidth="1"/>
    <col min="3324" max="3324" width="5.54296875" style="8" customWidth="1"/>
    <col min="3325" max="3325" width="9" style="8" customWidth="1"/>
    <col min="3326" max="3327" width="9.81640625" style="8" customWidth="1"/>
    <col min="3328" max="3328" width="11.1796875" style="8" customWidth="1"/>
    <col min="3329" max="3329" width="2.81640625" style="8" customWidth="1"/>
    <col min="3330" max="3330" width="3.54296875" style="8" customWidth="1"/>
    <col min="3331" max="3575" width="9.1796875" style="8"/>
    <col min="3576" max="3576" width="8.54296875" style="8" customWidth="1"/>
    <col min="3577" max="3577" width="9.81640625" style="8" customWidth="1"/>
    <col min="3578" max="3578" width="14.453125" style="8" customWidth="1"/>
    <col min="3579" max="3579" width="7.453125" style="8" customWidth="1"/>
    <col min="3580" max="3580" width="5.54296875" style="8" customWidth="1"/>
    <col min="3581" max="3581" width="9" style="8" customWidth="1"/>
    <col min="3582" max="3583" width="9.81640625" style="8" customWidth="1"/>
    <col min="3584" max="3584" width="11.1796875" style="8" customWidth="1"/>
    <col min="3585" max="3585" width="2.81640625" style="8" customWidth="1"/>
    <col min="3586" max="3586" width="3.54296875" style="8" customWidth="1"/>
    <col min="3587" max="3831" width="9.1796875" style="8"/>
    <col min="3832" max="3832" width="8.54296875" style="8" customWidth="1"/>
    <col min="3833" max="3833" width="9.81640625" style="8" customWidth="1"/>
    <col min="3834" max="3834" width="14.453125" style="8" customWidth="1"/>
    <col min="3835" max="3835" width="7.453125" style="8" customWidth="1"/>
    <col min="3836" max="3836" width="5.54296875" style="8" customWidth="1"/>
    <col min="3837" max="3837" width="9" style="8" customWidth="1"/>
    <col min="3838" max="3839" width="9.81640625" style="8" customWidth="1"/>
    <col min="3840" max="3840" width="11.1796875" style="8" customWidth="1"/>
    <col min="3841" max="3841" width="2.81640625" style="8" customWidth="1"/>
    <col min="3842" max="3842" width="3.54296875" style="8" customWidth="1"/>
    <col min="3843" max="4087" width="9.1796875" style="8"/>
    <col min="4088" max="4088" width="8.54296875" style="8" customWidth="1"/>
    <col min="4089" max="4089" width="9.81640625" style="8" customWidth="1"/>
    <col min="4090" max="4090" width="14.453125" style="8" customWidth="1"/>
    <col min="4091" max="4091" width="7.453125" style="8" customWidth="1"/>
    <col min="4092" max="4092" width="5.54296875" style="8" customWidth="1"/>
    <col min="4093" max="4093" width="9" style="8" customWidth="1"/>
    <col min="4094" max="4095" width="9.81640625" style="8" customWidth="1"/>
    <col min="4096" max="4096" width="11.1796875" style="8" customWidth="1"/>
    <col min="4097" max="4097" width="2.81640625" style="8" customWidth="1"/>
    <col min="4098" max="4098" width="3.54296875" style="8" customWidth="1"/>
    <col min="4099" max="4343" width="9.1796875" style="8"/>
    <col min="4344" max="4344" width="8.54296875" style="8" customWidth="1"/>
    <col min="4345" max="4345" width="9.81640625" style="8" customWidth="1"/>
    <col min="4346" max="4346" width="14.453125" style="8" customWidth="1"/>
    <col min="4347" max="4347" width="7.453125" style="8" customWidth="1"/>
    <col min="4348" max="4348" width="5.54296875" style="8" customWidth="1"/>
    <col min="4349" max="4349" width="9" style="8" customWidth="1"/>
    <col min="4350" max="4351" width="9.81640625" style="8" customWidth="1"/>
    <col min="4352" max="4352" width="11.1796875" style="8" customWidth="1"/>
    <col min="4353" max="4353" width="2.81640625" style="8" customWidth="1"/>
    <col min="4354" max="4354" width="3.54296875" style="8" customWidth="1"/>
    <col min="4355" max="4599" width="9.1796875" style="8"/>
    <col min="4600" max="4600" width="8.54296875" style="8" customWidth="1"/>
    <col min="4601" max="4601" width="9.81640625" style="8" customWidth="1"/>
    <col min="4602" max="4602" width="14.453125" style="8" customWidth="1"/>
    <col min="4603" max="4603" width="7.453125" style="8" customWidth="1"/>
    <col min="4604" max="4604" width="5.54296875" style="8" customWidth="1"/>
    <col min="4605" max="4605" width="9" style="8" customWidth="1"/>
    <col min="4606" max="4607" width="9.81640625" style="8" customWidth="1"/>
    <col min="4608" max="4608" width="11.1796875" style="8" customWidth="1"/>
    <col min="4609" max="4609" width="2.81640625" style="8" customWidth="1"/>
    <col min="4610" max="4610" width="3.54296875" style="8" customWidth="1"/>
    <col min="4611" max="4855" width="9.1796875" style="8"/>
    <col min="4856" max="4856" width="8.54296875" style="8" customWidth="1"/>
    <col min="4857" max="4857" width="9.81640625" style="8" customWidth="1"/>
    <col min="4858" max="4858" width="14.453125" style="8" customWidth="1"/>
    <col min="4859" max="4859" width="7.453125" style="8" customWidth="1"/>
    <col min="4860" max="4860" width="5.54296875" style="8" customWidth="1"/>
    <col min="4861" max="4861" width="9" style="8" customWidth="1"/>
    <col min="4862" max="4863" width="9.81640625" style="8" customWidth="1"/>
    <col min="4864" max="4864" width="11.1796875" style="8" customWidth="1"/>
    <col min="4865" max="4865" width="2.81640625" style="8" customWidth="1"/>
    <col min="4866" max="4866" width="3.54296875" style="8" customWidth="1"/>
    <col min="4867" max="5111" width="9.1796875" style="8"/>
    <col min="5112" max="5112" width="8.54296875" style="8" customWidth="1"/>
    <col min="5113" max="5113" width="9.81640625" style="8" customWidth="1"/>
    <col min="5114" max="5114" width="14.453125" style="8" customWidth="1"/>
    <col min="5115" max="5115" width="7.453125" style="8" customWidth="1"/>
    <col min="5116" max="5116" width="5.54296875" style="8" customWidth="1"/>
    <col min="5117" max="5117" width="9" style="8" customWidth="1"/>
    <col min="5118" max="5119" width="9.81640625" style="8" customWidth="1"/>
    <col min="5120" max="5120" width="11.1796875" style="8" customWidth="1"/>
    <col min="5121" max="5121" width="2.81640625" style="8" customWidth="1"/>
    <col min="5122" max="5122" width="3.54296875" style="8" customWidth="1"/>
    <col min="5123" max="5367" width="9.1796875" style="8"/>
    <col min="5368" max="5368" width="8.54296875" style="8" customWidth="1"/>
    <col min="5369" max="5369" width="9.81640625" style="8" customWidth="1"/>
    <col min="5370" max="5370" width="14.453125" style="8" customWidth="1"/>
    <col min="5371" max="5371" width="7.453125" style="8" customWidth="1"/>
    <col min="5372" max="5372" width="5.54296875" style="8" customWidth="1"/>
    <col min="5373" max="5373" width="9" style="8" customWidth="1"/>
    <col min="5374" max="5375" width="9.81640625" style="8" customWidth="1"/>
    <col min="5376" max="5376" width="11.1796875" style="8" customWidth="1"/>
    <col min="5377" max="5377" width="2.81640625" style="8" customWidth="1"/>
    <col min="5378" max="5378" width="3.54296875" style="8" customWidth="1"/>
    <col min="5379" max="5623" width="9.1796875" style="8"/>
    <col min="5624" max="5624" width="8.54296875" style="8" customWidth="1"/>
    <col min="5625" max="5625" width="9.81640625" style="8" customWidth="1"/>
    <col min="5626" max="5626" width="14.453125" style="8" customWidth="1"/>
    <col min="5627" max="5627" width="7.453125" style="8" customWidth="1"/>
    <col min="5628" max="5628" width="5.54296875" style="8" customWidth="1"/>
    <col min="5629" max="5629" width="9" style="8" customWidth="1"/>
    <col min="5630" max="5631" width="9.81640625" style="8" customWidth="1"/>
    <col min="5632" max="5632" width="11.1796875" style="8" customWidth="1"/>
    <col min="5633" max="5633" width="2.81640625" style="8" customWidth="1"/>
    <col min="5634" max="5634" width="3.54296875" style="8" customWidth="1"/>
    <col min="5635" max="5879" width="9.1796875" style="8"/>
    <col min="5880" max="5880" width="8.54296875" style="8" customWidth="1"/>
    <col min="5881" max="5881" width="9.81640625" style="8" customWidth="1"/>
    <col min="5882" max="5882" width="14.453125" style="8" customWidth="1"/>
    <col min="5883" max="5883" width="7.453125" style="8" customWidth="1"/>
    <col min="5884" max="5884" width="5.54296875" style="8" customWidth="1"/>
    <col min="5885" max="5885" width="9" style="8" customWidth="1"/>
    <col min="5886" max="5887" width="9.81640625" style="8" customWidth="1"/>
    <col min="5888" max="5888" width="11.1796875" style="8" customWidth="1"/>
    <col min="5889" max="5889" width="2.81640625" style="8" customWidth="1"/>
    <col min="5890" max="5890" width="3.54296875" style="8" customWidth="1"/>
    <col min="5891" max="6135" width="9.1796875" style="8"/>
    <col min="6136" max="6136" width="8.54296875" style="8" customWidth="1"/>
    <col min="6137" max="6137" width="9.81640625" style="8" customWidth="1"/>
    <col min="6138" max="6138" width="14.453125" style="8" customWidth="1"/>
    <col min="6139" max="6139" width="7.453125" style="8" customWidth="1"/>
    <col min="6140" max="6140" width="5.54296875" style="8" customWidth="1"/>
    <col min="6141" max="6141" width="9" style="8" customWidth="1"/>
    <col min="6142" max="6143" width="9.81640625" style="8" customWidth="1"/>
    <col min="6144" max="6144" width="11.1796875" style="8" customWidth="1"/>
    <col min="6145" max="6145" width="2.81640625" style="8" customWidth="1"/>
    <col min="6146" max="6146" width="3.54296875" style="8" customWidth="1"/>
    <col min="6147" max="6391" width="9.1796875" style="8"/>
    <col min="6392" max="6392" width="8.54296875" style="8" customWidth="1"/>
    <col min="6393" max="6393" width="9.81640625" style="8" customWidth="1"/>
    <col min="6394" max="6394" width="14.453125" style="8" customWidth="1"/>
    <col min="6395" max="6395" width="7.453125" style="8" customWidth="1"/>
    <col min="6396" max="6396" width="5.54296875" style="8" customWidth="1"/>
    <col min="6397" max="6397" width="9" style="8" customWidth="1"/>
    <col min="6398" max="6399" width="9.81640625" style="8" customWidth="1"/>
    <col min="6400" max="6400" width="11.1796875" style="8" customWidth="1"/>
    <col min="6401" max="6401" width="2.81640625" style="8" customWidth="1"/>
    <col min="6402" max="6402" width="3.54296875" style="8" customWidth="1"/>
    <col min="6403" max="6647" width="9.1796875" style="8"/>
    <col min="6648" max="6648" width="8.54296875" style="8" customWidth="1"/>
    <col min="6649" max="6649" width="9.81640625" style="8" customWidth="1"/>
    <col min="6650" max="6650" width="14.453125" style="8" customWidth="1"/>
    <col min="6651" max="6651" width="7.453125" style="8" customWidth="1"/>
    <col min="6652" max="6652" width="5.54296875" style="8" customWidth="1"/>
    <col min="6653" max="6653" width="9" style="8" customWidth="1"/>
    <col min="6654" max="6655" width="9.81640625" style="8" customWidth="1"/>
    <col min="6656" max="6656" width="11.1796875" style="8" customWidth="1"/>
    <col min="6657" max="6657" width="2.81640625" style="8" customWidth="1"/>
    <col min="6658" max="6658" width="3.54296875" style="8" customWidth="1"/>
    <col min="6659" max="6903" width="9.1796875" style="8"/>
    <col min="6904" max="6904" width="8.54296875" style="8" customWidth="1"/>
    <col min="6905" max="6905" width="9.81640625" style="8" customWidth="1"/>
    <col min="6906" max="6906" width="14.453125" style="8" customWidth="1"/>
    <col min="6907" max="6907" width="7.453125" style="8" customWidth="1"/>
    <col min="6908" max="6908" width="5.54296875" style="8" customWidth="1"/>
    <col min="6909" max="6909" width="9" style="8" customWidth="1"/>
    <col min="6910" max="6911" width="9.81640625" style="8" customWidth="1"/>
    <col min="6912" max="6912" width="11.1796875" style="8" customWidth="1"/>
    <col min="6913" max="6913" width="2.81640625" style="8" customWidth="1"/>
    <col min="6914" max="6914" width="3.54296875" style="8" customWidth="1"/>
    <col min="6915" max="7159" width="9.1796875" style="8"/>
    <col min="7160" max="7160" width="8.54296875" style="8" customWidth="1"/>
    <col min="7161" max="7161" width="9.81640625" style="8" customWidth="1"/>
    <col min="7162" max="7162" width="14.453125" style="8" customWidth="1"/>
    <col min="7163" max="7163" width="7.453125" style="8" customWidth="1"/>
    <col min="7164" max="7164" width="5.54296875" style="8" customWidth="1"/>
    <col min="7165" max="7165" width="9" style="8" customWidth="1"/>
    <col min="7166" max="7167" width="9.81640625" style="8" customWidth="1"/>
    <col min="7168" max="7168" width="11.1796875" style="8" customWidth="1"/>
    <col min="7169" max="7169" width="2.81640625" style="8" customWidth="1"/>
    <col min="7170" max="7170" width="3.54296875" style="8" customWidth="1"/>
    <col min="7171" max="7415" width="9.1796875" style="8"/>
    <col min="7416" max="7416" width="8.54296875" style="8" customWidth="1"/>
    <col min="7417" max="7417" width="9.81640625" style="8" customWidth="1"/>
    <col min="7418" max="7418" width="14.453125" style="8" customWidth="1"/>
    <col min="7419" max="7419" width="7.453125" style="8" customWidth="1"/>
    <col min="7420" max="7420" width="5.54296875" style="8" customWidth="1"/>
    <col min="7421" max="7421" width="9" style="8" customWidth="1"/>
    <col min="7422" max="7423" width="9.81640625" style="8" customWidth="1"/>
    <col min="7424" max="7424" width="11.1796875" style="8" customWidth="1"/>
    <col min="7425" max="7425" width="2.81640625" style="8" customWidth="1"/>
    <col min="7426" max="7426" width="3.54296875" style="8" customWidth="1"/>
    <col min="7427" max="7671" width="9.1796875" style="8"/>
    <col min="7672" max="7672" width="8.54296875" style="8" customWidth="1"/>
    <col min="7673" max="7673" width="9.81640625" style="8" customWidth="1"/>
    <col min="7674" max="7674" width="14.453125" style="8" customWidth="1"/>
    <col min="7675" max="7675" width="7.453125" style="8" customWidth="1"/>
    <col min="7676" max="7676" width="5.54296875" style="8" customWidth="1"/>
    <col min="7677" max="7677" width="9" style="8" customWidth="1"/>
    <col min="7678" max="7679" width="9.81640625" style="8" customWidth="1"/>
    <col min="7680" max="7680" width="11.1796875" style="8" customWidth="1"/>
    <col min="7681" max="7681" width="2.81640625" style="8" customWidth="1"/>
    <col min="7682" max="7682" width="3.54296875" style="8" customWidth="1"/>
    <col min="7683" max="7927" width="9.1796875" style="8"/>
    <col min="7928" max="7928" width="8.54296875" style="8" customWidth="1"/>
    <col min="7929" max="7929" width="9.81640625" style="8" customWidth="1"/>
    <col min="7930" max="7930" width="14.453125" style="8" customWidth="1"/>
    <col min="7931" max="7931" width="7.453125" style="8" customWidth="1"/>
    <col min="7932" max="7932" width="5.54296875" style="8" customWidth="1"/>
    <col min="7933" max="7933" width="9" style="8" customWidth="1"/>
    <col min="7934" max="7935" width="9.81640625" style="8" customWidth="1"/>
    <col min="7936" max="7936" width="11.1796875" style="8" customWidth="1"/>
    <col min="7937" max="7937" width="2.81640625" style="8" customWidth="1"/>
    <col min="7938" max="7938" width="3.54296875" style="8" customWidth="1"/>
    <col min="7939" max="8183" width="9.1796875" style="8"/>
    <col min="8184" max="8184" width="8.54296875" style="8" customWidth="1"/>
    <col min="8185" max="8185" width="9.81640625" style="8" customWidth="1"/>
    <col min="8186" max="8186" width="14.453125" style="8" customWidth="1"/>
    <col min="8187" max="8187" width="7.453125" style="8" customWidth="1"/>
    <col min="8188" max="8188" width="5.54296875" style="8" customWidth="1"/>
    <col min="8189" max="8189" width="9" style="8" customWidth="1"/>
    <col min="8190" max="8191" width="9.81640625" style="8" customWidth="1"/>
    <col min="8192" max="8192" width="11.1796875" style="8" customWidth="1"/>
    <col min="8193" max="8193" width="2.81640625" style="8" customWidth="1"/>
    <col min="8194" max="8194" width="3.54296875" style="8" customWidth="1"/>
    <col min="8195" max="8439" width="9.1796875" style="8"/>
    <col min="8440" max="8440" width="8.54296875" style="8" customWidth="1"/>
    <col min="8441" max="8441" width="9.81640625" style="8" customWidth="1"/>
    <col min="8442" max="8442" width="14.453125" style="8" customWidth="1"/>
    <col min="8443" max="8443" width="7.453125" style="8" customWidth="1"/>
    <col min="8444" max="8444" width="5.54296875" style="8" customWidth="1"/>
    <col min="8445" max="8445" width="9" style="8" customWidth="1"/>
    <col min="8446" max="8447" width="9.81640625" style="8" customWidth="1"/>
    <col min="8448" max="8448" width="11.1796875" style="8" customWidth="1"/>
    <col min="8449" max="8449" width="2.81640625" style="8" customWidth="1"/>
    <col min="8450" max="8450" width="3.54296875" style="8" customWidth="1"/>
    <col min="8451" max="8695" width="9.1796875" style="8"/>
    <col min="8696" max="8696" width="8.54296875" style="8" customWidth="1"/>
    <col min="8697" max="8697" width="9.81640625" style="8" customWidth="1"/>
    <col min="8698" max="8698" width="14.453125" style="8" customWidth="1"/>
    <col min="8699" max="8699" width="7.453125" style="8" customWidth="1"/>
    <col min="8700" max="8700" width="5.54296875" style="8" customWidth="1"/>
    <col min="8701" max="8701" width="9" style="8" customWidth="1"/>
    <col min="8702" max="8703" width="9.81640625" style="8" customWidth="1"/>
    <col min="8704" max="8704" width="11.1796875" style="8" customWidth="1"/>
    <col min="8705" max="8705" width="2.81640625" style="8" customWidth="1"/>
    <col min="8706" max="8706" width="3.54296875" style="8" customWidth="1"/>
    <col min="8707" max="8951" width="9.1796875" style="8"/>
    <col min="8952" max="8952" width="8.54296875" style="8" customWidth="1"/>
    <col min="8953" max="8953" width="9.81640625" style="8" customWidth="1"/>
    <col min="8954" max="8954" width="14.453125" style="8" customWidth="1"/>
    <col min="8955" max="8955" width="7.453125" style="8" customWidth="1"/>
    <col min="8956" max="8956" width="5.54296875" style="8" customWidth="1"/>
    <col min="8957" max="8957" width="9" style="8" customWidth="1"/>
    <col min="8958" max="8959" width="9.81640625" style="8" customWidth="1"/>
    <col min="8960" max="8960" width="11.1796875" style="8" customWidth="1"/>
    <col min="8961" max="8961" width="2.81640625" style="8" customWidth="1"/>
    <col min="8962" max="8962" width="3.54296875" style="8" customWidth="1"/>
    <col min="8963" max="9207" width="9.1796875" style="8"/>
    <col min="9208" max="9208" width="8.54296875" style="8" customWidth="1"/>
    <col min="9209" max="9209" width="9.81640625" style="8" customWidth="1"/>
    <col min="9210" max="9210" width="14.453125" style="8" customWidth="1"/>
    <col min="9211" max="9211" width="7.453125" style="8" customWidth="1"/>
    <col min="9212" max="9212" width="5.54296875" style="8" customWidth="1"/>
    <col min="9213" max="9213" width="9" style="8" customWidth="1"/>
    <col min="9214" max="9215" width="9.81640625" style="8" customWidth="1"/>
    <col min="9216" max="9216" width="11.1796875" style="8" customWidth="1"/>
    <col min="9217" max="9217" width="2.81640625" style="8" customWidth="1"/>
    <col min="9218" max="9218" width="3.54296875" style="8" customWidth="1"/>
    <col min="9219" max="9463" width="9.1796875" style="8"/>
    <col min="9464" max="9464" width="8.54296875" style="8" customWidth="1"/>
    <col min="9465" max="9465" width="9.81640625" style="8" customWidth="1"/>
    <col min="9466" max="9466" width="14.453125" style="8" customWidth="1"/>
    <col min="9467" max="9467" width="7.453125" style="8" customWidth="1"/>
    <col min="9468" max="9468" width="5.54296875" style="8" customWidth="1"/>
    <col min="9469" max="9469" width="9" style="8" customWidth="1"/>
    <col min="9470" max="9471" width="9.81640625" style="8" customWidth="1"/>
    <col min="9472" max="9472" width="11.1796875" style="8" customWidth="1"/>
    <col min="9473" max="9473" width="2.81640625" style="8" customWidth="1"/>
    <col min="9474" max="9474" width="3.54296875" style="8" customWidth="1"/>
    <col min="9475" max="9719" width="9.1796875" style="8"/>
    <col min="9720" max="9720" width="8.54296875" style="8" customWidth="1"/>
    <col min="9721" max="9721" width="9.81640625" style="8" customWidth="1"/>
    <col min="9722" max="9722" width="14.453125" style="8" customWidth="1"/>
    <col min="9723" max="9723" width="7.453125" style="8" customWidth="1"/>
    <col min="9724" max="9724" width="5.54296875" style="8" customWidth="1"/>
    <col min="9725" max="9725" width="9" style="8" customWidth="1"/>
    <col min="9726" max="9727" width="9.81640625" style="8" customWidth="1"/>
    <col min="9728" max="9728" width="11.1796875" style="8" customWidth="1"/>
    <col min="9729" max="9729" width="2.81640625" style="8" customWidth="1"/>
    <col min="9730" max="9730" width="3.54296875" style="8" customWidth="1"/>
    <col min="9731" max="9975" width="9.1796875" style="8"/>
    <col min="9976" max="9976" width="8.54296875" style="8" customWidth="1"/>
    <col min="9977" max="9977" width="9.81640625" style="8" customWidth="1"/>
    <col min="9978" max="9978" width="14.453125" style="8" customWidth="1"/>
    <col min="9979" max="9979" width="7.453125" style="8" customWidth="1"/>
    <col min="9980" max="9980" width="5.54296875" style="8" customWidth="1"/>
    <col min="9981" max="9981" width="9" style="8" customWidth="1"/>
    <col min="9982" max="9983" width="9.81640625" style="8" customWidth="1"/>
    <col min="9984" max="9984" width="11.1796875" style="8" customWidth="1"/>
    <col min="9985" max="9985" width="2.81640625" style="8" customWidth="1"/>
    <col min="9986" max="9986" width="3.54296875" style="8" customWidth="1"/>
    <col min="9987" max="10231" width="9.1796875" style="8"/>
    <col min="10232" max="10232" width="8.54296875" style="8" customWidth="1"/>
    <col min="10233" max="10233" width="9.81640625" style="8" customWidth="1"/>
    <col min="10234" max="10234" width="14.453125" style="8" customWidth="1"/>
    <col min="10235" max="10235" width="7.453125" style="8" customWidth="1"/>
    <col min="10236" max="10236" width="5.54296875" style="8" customWidth="1"/>
    <col min="10237" max="10237" width="9" style="8" customWidth="1"/>
    <col min="10238" max="10239" width="9.81640625" style="8" customWidth="1"/>
    <col min="10240" max="10240" width="11.1796875" style="8" customWidth="1"/>
    <col min="10241" max="10241" width="2.81640625" style="8" customWidth="1"/>
    <col min="10242" max="10242" width="3.54296875" style="8" customWidth="1"/>
    <col min="10243" max="10487" width="9.1796875" style="8"/>
    <col min="10488" max="10488" width="8.54296875" style="8" customWidth="1"/>
    <col min="10489" max="10489" width="9.81640625" style="8" customWidth="1"/>
    <col min="10490" max="10490" width="14.453125" style="8" customWidth="1"/>
    <col min="10491" max="10491" width="7.453125" style="8" customWidth="1"/>
    <col min="10492" max="10492" width="5.54296875" style="8" customWidth="1"/>
    <col min="10493" max="10493" width="9" style="8" customWidth="1"/>
    <col min="10494" max="10495" width="9.81640625" style="8" customWidth="1"/>
    <col min="10496" max="10496" width="11.1796875" style="8" customWidth="1"/>
    <col min="10497" max="10497" width="2.81640625" style="8" customWidth="1"/>
    <col min="10498" max="10498" width="3.54296875" style="8" customWidth="1"/>
    <col min="10499" max="10743" width="9.1796875" style="8"/>
    <col min="10744" max="10744" width="8.54296875" style="8" customWidth="1"/>
    <col min="10745" max="10745" width="9.81640625" style="8" customWidth="1"/>
    <col min="10746" max="10746" width="14.453125" style="8" customWidth="1"/>
    <col min="10747" max="10747" width="7.453125" style="8" customWidth="1"/>
    <col min="10748" max="10748" width="5.54296875" style="8" customWidth="1"/>
    <col min="10749" max="10749" width="9" style="8" customWidth="1"/>
    <col min="10750" max="10751" width="9.81640625" style="8" customWidth="1"/>
    <col min="10752" max="10752" width="11.1796875" style="8" customWidth="1"/>
    <col min="10753" max="10753" width="2.81640625" style="8" customWidth="1"/>
    <col min="10754" max="10754" width="3.54296875" style="8" customWidth="1"/>
    <col min="10755" max="10999" width="9.1796875" style="8"/>
    <col min="11000" max="11000" width="8.54296875" style="8" customWidth="1"/>
    <col min="11001" max="11001" width="9.81640625" style="8" customWidth="1"/>
    <col min="11002" max="11002" width="14.453125" style="8" customWidth="1"/>
    <col min="11003" max="11003" width="7.453125" style="8" customWidth="1"/>
    <col min="11004" max="11004" width="5.54296875" style="8" customWidth="1"/>
    <col min="11005" max="11005" width="9" style="8" customWidth="1"/>
    <col min="11006" max="11007" width="9.81640625" style="8" customWidth="1"/>
    <col min="11008" max="11008" width="11.1796875" style="8" customWidth="1"/>
    <col min="11009" max="11009" width="2.81640625" style="8" customWidth="1"/>
    <col min="11010" max="11010" width="3.54296875" style="8" customWidth="1"/>
    <col min="11011" max="11255" width="9.1796875" style="8"/>
    <col min="11256" max="11256" width="8.54296875" style="8" customWidth="1"/>
    <col min="11257" max="11257" width="9.81640625" style="8" customWidth="1"/>
    <col min="11258" max="11258" width="14.453125" style="8" customWidth="1"/>
    <col min="11259" max="11259" width="7.453125" style="8" customWidth="1"/>
    <col min="11260" max="11260" width="5.54296875" style="8" customWidth="1"/>
    <col min="11261" max="11261" width="9" style="8" customWidth="1"/>
    <col min="11262" max="11263" width="9.81640625" style="8" customWidth="1"/>
    <col min="11264" max="11264" width="11.1796875" style="8" customWidth="1"/>
    <col min="11265" max="11265" width="2.81640625" style="8" customWidth="1"/>
    <col min="11266" max="11266" width="3.54296875" style="8" customWidth="1"/>
    <col min="11267" max="11511" width="9.1796875" style="8"/>
    <col min="11512" max="11512" width="8.54296875" style="8" customWidth="1"/>
    <col min="11513" max="11513" width="9.81640625" style="8" customWidth="1"/>
    <col min="11514" max="11514" width="14.453125" style="8" customWidth="1"/>
    <col min="11515" max="11515" width="7.453125" style="8" customWidth="1"/>
    <col min="11516" max="11516" width="5.54296875" style="8" customWidth="1"/>
    <col min="11517" max="11517" width="9" style="8" customWidth="1"/>
    <col min="11518" max="11519" width="9.81640625" style="8" customWidth="1"/>
    <col min="11520" max="11520" width="11.1796875" style="8" customWidth="1"/>
    <col min="11521" max="11521" width="2.81640625" style="8" customWidth="1"/>
    <col min="11522" max="11522" width="3.54296875" style="8" customWidth="1"/>
    <col min="11523" max="11767" width="9.1796875" style="8"/>
    <col min="11768" max="11768" width="8.54296875" style="8" customWidth="1"/>
    <col min="11769" max="11769" width="9.81640625" style="8" customWidth="1"/>
    <col min="11770" max="11770" width="14.453125" style="8" customWidth="1"/>
    <col min="11771" max="11771" width="7.453125" style="8" customWidth="1"/>
    <col min="11772" max="11772" width="5.54296875" style="8" customWidth="1"/>
    <col min="11773" max="11773" width="9" style="8" customWidth="1"/>
    <col min="11774" max="11775" width="9.81640625" style="8" customWidth="1"/>
    <col min="11776" max="11776" width="11.1796875" style="8" customWidth="1"/>
    <col min="11777" max="11777" width="2.81640625" style="8" customWidth="1"/>
    <col min="11778" max="11778" width="3.54296875" style="8" customWidth="1"/>
    <col min="11779" max="12023" width="9.1796875" style="8"/>
    <col min="12024" max="12024" width="8.54296875" style="8" customWidth="1"/>
    <col min="12025" max="12025" width="9.81640625" style="8" customWidth="1"/>
    <col min="12026" max="12026" width="14.453125" style="8" customWidth="1"/>
    <col min="12027" max="12027" width="7.453125" style="8" customWidth="1"/>
    <col min="12028" max="12028" width="5.54296875" style="8" customWidth="1"/>
    <col min="12029" max="12029" width="9" style="8" customWidth="1"/>
    <col min="12030" max="12031" width="9.81640625" style="8" customWidth="1"/>
    <col min="12032" max="12032" width="11.1796875" style="8" customWidth="1"/>
    <col min="12033" max="12033" width="2.81640625" style="8" customWidth="1"/>
    <col min="12034" max="12034" width="3.54296875" style="8" customWidth="1"/>
    <col min="12035" max="12279" width="9.1796875" style="8"/>
    <col min="12280" max="12280" width="8.54296875" style="8" customWidth="1"/>
    <col min="12281" max="12281" width="9.81640625" style="8" customWidth="1"/>
    <col min="12282" max="12282" width="14.453125" style="8" customWidth="1"/>
    <col min="12283" max="12283" width="7.453125" style="8" customWidth="1"/>
    <col min="12284" max="12284" width="5.54296875" style="8" customWidth="1"/>
    <col min="12285" max="12285" width="9" style="8" customWidth="1"/>
    <col min="12286" max="12287" width="9.81640625" style="8" customWidth="1"/>
    <col min="12288" max="12288" width="11.1796875" style="8" customWidth="1"/>
    <col min="12289" max="12289" width="2.81640625" style="8" customWidth="1"/>
    <col min="12290" max="12290" width="3.54296875" style="8" customWidth="1"/>
    <col min="12291" max="12535" width="9.1796875" style="8"/>
    <col min="12536" max="12536" width="8.54296875" style="8" customWidth="1"/>
    <col min="12537" max="12537" width="9.81640625" style="8" customWidth="1"/>
    <col min="12538" max="12538" width="14.453125" style="8" customWidth="1"/>
    <col min="12539" max="12539" width="7.453125" style="8" customWidth="1"/>
    <col min="12540" max="12540" width="5.54296875" style="8" customWidth="1"/>
    <col min="12541" max="12541" width="9" style="8" customWidth="1"/>
    <col min="12542" max="12543" width="9.81640625" style="8" customWidth="1"/>
    <col min="12544" max="12544" width="11.1796875" style="8" customWidth="1"/>
    <col min="12545" max="12545" width="2.81640625" style="8" customWidth="1"/>
    <col min="12546" max="12546" width="3.54296875" style="8" customWidth="1"/>
    <col min="12547" max="12791" width="9.1796875" style="8"/>
    <col min="12792" max="12792" width="8.54296875" style="8" customWidth="1"/>
    <col min="12793" max="12793" width="9.81640625" style="8" customWidth="1"/>
    <col min="12794" max="12794" width="14.453125" style="8" customWidth="1"/>
    <col min="12795" max="12795" width="7.453125" style="8" customWidth="1"/>
    <col min="12796" max="12796" width="5.54296875" style="8" customWidth="1"/>
    <col min="12797" max="12797" width="9" style="8" customWidth="1"/>
    <col min="12798" max="12799" width="9.81640625" style="8" customWidth="1"/>
    <col min="12800" max="12800" width="11.1796875" style="8" customWidth="1"/>
    <col min="12801" max="12801" width="2.81640625" style="8" customWidth="1"/>
    <col min="12802" max="12802" width="3.54296875" style="8" customWidth="1"/>
    <col min="12803" max="13047" width="9.1796875" style="8"/>
    <col min="13048" max="13048" width="8.54296875" style="8" customWidth="1"/>
    <col min="13049" max="13049" width="9.81640625" style="8" customWidth="1"/>
    <col min="13050" max="13050" width="14.453125" style="8" customWidth="1"/>
    <col min="13051" max="13051" width="7.453125" style="8" customWidth="1"/>
    <col min="13052" max="13052" width="5.54296875" style="8" customWidth="1"/>
    <col min="13053" max="13053" width="9" style="8" customWidth="1"/>
    <col min="13054" max="13055" width="9.81640625" style="8" customWidth="1"/>
    <col min="13056" max="13056" width="11.1796875" style="8" customWidth="1"/>
    <col min="13057" max="13057" width="2.81640625" style="8" customWidth="1"/>
    <col min="13058" max="13058" width="3.54296875" style="8" customWidth="1"/>
    <col min="13059" max="13303" width="9.1796875" style="8"/>
    <col min="13304" max="13304" width="8.54296875" style="8" customWidth="1"/>
    <col min="13305" max="13305" width="9.81640625" style="8" customWidth="1"/>
    <col min="13306" max="13306" width="14.453125" style="8" customWidth="1"/>
    <col min="13307" max="13307" width="7.453125" style="8" customWidth="1"/>
    <col min="13308" max="13308" width="5.54296875" style="8" customWidth="1"/>
    <col min="13309" max="13309" width="9" style="8" customWidth="1"/>
    <col min="13310" max="13311" width="9.81640625" style="8" customWidth="1"/>
    <col min="13312" max="13312" width="11.1796875" style="8" customWidth="1"/>
    <col min="13313" max="13313" width="2.81640625" style="8" customWidth="1"/>
    <col min="13314" max="13314" width="3.54296875" style="8" customWidth="1"/>
    <col min="13315" max="13559" width="9.1796875" style="8"/>
    <col min="13560" max="13560" width="8.54296875" style="8" customWidth="1"/>
    <col min="13561" max="13561" width="9.81640625" style="8" customWidth="1"/>
    <col min="13562" max="13562" width="14.453125" style="8" customWidth="1"/>
    <col min="13563" max="13563" width="7.453125" style="8" customWidth="1"/>
    <col min="13564" max="13564" width="5.54296875" style="8" customWidth="1"/>
    <col min="13565" max="13565" width="9" style="8" customWidth="1"/>
    <col min="13566" max="13567" width="9.81640625" style="8" customWidth="1"/>
    <col min="13568" max="13568" width="11.1796875" style="8" customWidth="1"/>
    <col min="13569" max="13569" width="2.81640625" style="8" customWidth="1"/>
    <col min="13570" max="13570" width="3.54296875" style="8" customWidth="1"/>
    <col min="13571" max="13815" width="9.1796875" style="8"/>
    <col min="13816" max="13816" width="8.54296875" style="8" customWidth="1"/>
    <col min="13817" max="13817" width="9.81640625" style="8" customWidth="1"/>
    <col min="13818" max="13818" width="14.453125" style="8" customWidth="1"/>
    <col min="13819" max="13819" width="7.453125" style="8" customWidth="1"/>
    <col min="13820" max="13820" width="5.54296875" style="8" customWidth="1"/>
    <col min="13821" max="13821" width="9" style="8" customWidth="1"/>
    <col min="13822" max="13823" width="9.81640625" style="8" customWidth="1"/>
    <col min="13824" max="13824" width="11.1796875" style="8" customWidth="1"/>
    <col min="13825" max="13825" width="2.81640625" style="8" customWidth="1"/>
    <col min="13826" max="13826" width="3.54296875" style="8" customWidth="1"/>
    <col min="13827" max="14071" width="9.1796875" style="8"/>
    <col min="14072" max="14072" width="8.54296875" style="8" customWidth="1"/>
    <col min="14073" max="14073" width="9.81640625" style="8" customWidth="1"/>
    <col min="14074" max="14074" width="14.453125" style="8" customWidth="1"/>
    <col min="14075" max="14075" width="7.453125" style="8" customWidth="1"/>
    <col min="14076" max="14076" width="5.54296875" style="8" customWidth="1"/>
    <col min="14077" max="14077" width="9" style="8" customWidth="1"/>
    <col min="14078" max="14079" width="9.81640625" style="8" customWidth="1"/>
    <col min="14080" max="14080" width="11.1796875" style="8" customWidth="1"/>
    <col min="14081" max="14081" width="2.81640625" style="8" customWidth="1"/>
    <col min="14082" max="14082" width="3.54296875" style="8" customWidth="1"/>
    <col min="14083" max="14327" width="9.1796875" style="8"/>
    <col min="14328" max="14328" width="8.54296875" style="8" customWidth="1"/>
    <col min="14329" max="14329" width="9.81640625" style="8" customWidth="1"/>
    <col min="14330" max="14330" width="14.453125" style="8" customWidth="1"/>
    <col min="14331" max="14331" width="7.453125" style="8" customWidth="1"/>
    <col min="14332" max="14332" width="5.54296875" style="8" customWidth="1"/>
    <col min="14333" max="14333" width="9" style="8" customWidth="1"/>
    <col min="14334" max="14335" width="9.81640625" style="8" customWidth="1"/>
    <col min="14336" max="14336" width="11.1796875" style="8" customWidth="1"/>
    <col min="14337" max="14337" width="2.81640625" style="8" customWidth="1"/>
    <col min="14338" max="14338" width="3.54296875" style="8" customWidth="1"/>
    <col min="14339" max="14583" width="9.1796875" style="8"/>
    <col min="14584" max="14584" width="8.54296875" style="8" customWidth="1"/>
    <col min="14585" max="14585" width="9.81640625" style="8" customWidth="1"/>
    <col min="14586" max="14586" width="14.453125" style="8" customWidth="1"/>
    <col min="14587" max="14587" width="7.453125" style="8" customWidth="1"/>
    <col min="14588" max="14588" width="5.54296875" style="8" customWidth="1"/>
    <col min="14589" max="14589" width="9" style="8" customWidth="1"/>
    <col min="14590" max="14591" width="9.81640625" style="8" customWidth="1"/>
    <col min="14592" max="14592" width="11.1796875" style="8" customWidth="1"/>
    <col min="14593" max="14593" width="2.81640625" style="8" customWidth="1"/>
    <col min="14594" max="14594" width="3.54296875" style="8" customWidth="1"/>
    <col min="14595" max="14839" width="9.1796875" style="8"/>
    <col min="14840" max="14840" width="8.54296875" style="8" customWidth="1"/>
    <col min="14841" max="14841" width="9.81640625" style="8" customWidth="1"/>
    <col min="14842" max="14842" width="14.453125" style="8" customWidth="1"/>
    <col min="14843" max="14843" width="7.453125" style="8" customWidth="1"/>
    <col min="14844" max="14844" width="5.54296875" style="8" customWidth="1"/>
    <col min="14845" max="14845" width="9" style="8" customWidth="1"/>
    <col min="14846" max="14847" width="9.81640625" style="8" customWidth="1"/>
    <col min="14848" max="14848" width="11.1796875" style="8" customWidth="1"/>
    <col min="14849" max="14849" width="2.81640625" style="8" customWidth="1"/>
    <col min="14850" max="14850" width="3.54296875" style="8" customWidth="1"/>
    <col min="14851" max="15095" width="9.1796875" style="8"/>
    <col min="15096" max="15096" width="8.54296875" style="8" customWidth="1"/>
    <col min="15097" max="15097" width="9.81640625" style="8" customWidth="1"/>
    <col min="15098" max="15098" width="14.453125" style="8" customWidth="1"/>
    <col min="15099" max="15099" width="7.453125" style="8" customWidth="1"/>
    <col min="15100" max="15100" width="5.54296875" style="8" customWidth="1"/>
    <col min="15101" max="15101" width="9" style="8" customWidth="1"/>
    <col min="15102" max="15103" width="9.81640625" style="8" customWidth="1"/>
    <col min="15104" max="15104" width="11.1796875" style="8" customWidth="1"/>
    <col min="15105" max="15105" width="2.81640625" style="8" customWidth="1"/>
    <col min="15106" max="15106" width="3.54296875" style="8" customWidth="1"/>
    <col min="15107" max="15351" width="9.1796875" style="8"/>
    <col min="15352" max="15352" width="8.54296875" style="8" customWidth="1"/>
    <col min="15353" max="15353" width="9.81640625" style="8" customWidth="1"/>
    <col min="15354" max="15354" width="14.453125" style="8" customWidth="1"/>
    <col min="15355" max="15355" width="7.453125" style="8" customWidth="1"/>
    <col min="15356" max="15356" width="5.54296875" style="8" customWidth="1"/>
    <col min="15357" max="15357" width="9" style="8" customWidth="1"/>
    <col min="15358" max="15359" width="9.81640625" style="8" customWidth="1"/>
    <col min="15360" max="15360" width="11.1796875" style="8" customWidth="1"/>
    <col min="15361" max="15361" width="2.81640625" style="8" customWidth="1"/>
    <col min="15362" max="15362" width="3.54296875" style="8" customWidth="1"/>
    <col min="15363" max="15607" width="9.1796875" style="8"/>
    <col min="15608" max="15608" width="8.54296875" style="8" customWidth="1"/>
    <col min="15609" max="15609" width="9.81640625" style="8" customWidth="1"/>
    <col min="15610" max="15610" width="14.453125" style="8" customWidth="1"/>
    <col min="15611" max="15611" width="7.453125" style="8" customWidth="1"/>
    <col min="15612" max="15612" width="5.54296875" style="8" customWidth="1"/>
    <col min="15613" max="15613" width="9" style="8" customWidth="1"/>
    <col min="15614" max="15615" width="9.81640625" style="8" customWidth="1"/>
    <col min="15616" max="15616" width="11.1796875" style="8" customWidth="1"/>
    <col min="15617" max="15617" width="2.81640625" style="8" customWidth="1"/>
    <col min="15618" max="15618" width="3.54296875" style="8" customWidth="1"/>
    <col min="15619" max="15863" width="9.1796875" style="8"/>
    <col min="15864" max="15864" width="8.54296875" style="8" customWidth="1"/>
    <col min="15865" max="15865" width="9.81640625" style="8" customWidth="1"/>
    <col min="15866" max="15866" width="14.453125" style="8" customWidth="1"/>
    <col min="15867" max="15867" width="7.453125" style="8" customWidth="1"/>
    <col min="15868" max="15868" width="5.54296875" style="8" customWidth="1"/>
    <col min="15869" max="15869" width="9" style="8" customWidth="1"/>
    <col min="15870" max="15871" width="9.81640625" style="8" customWidth="1"/>
    <col min="15872" max="15872" width="11.1796875" style="8" customWidth="1"/>
    <col min="15873" max="15873" width="2.81640625" style="8" customWidth="1"/>
    <col min="15874" max="15874" width="3.54296875" style="8" customWidth="1"/>
    <col min="15875" max="16119" width="9.1796875" style="8"/>
    <col min="16120" max="16120" width="8.54296875" style="8" customWidth="1"/>
    <col min="16121" max="16121" width="9.81640625" style="8" customWidth="1"/>
    <col min="16122" max="16122" width="14.453125" style="8" customWidth="1"/>
    <col min="16123" max="16123" width="7.453125" style="8" customWidth="1"/>
    <col min="16124" max="16124" width="5.54296875" style="8" customWidth="1"/>
    <col min="16125" max="16125" width="9" style="8" customWidth="1"/>
    <col min="16126" max="16127" width="9.81640625" style="8" customWidth="1"/>
    <col min="16128" max="16128" width="11.1796875" style="8" customWidth="1"/>
    <col min="16129" max="16129" width="2.81640625" style="8" customWidth="1"/>
    <col min="16130" max="16130" width="3.54296875" style="8" customWidth="1"/>
    <col min="16131" max="16384" width="9.1796875" style="8"/>
  </cols>
  <sheetData>
    <row r="1" spans="1:8" ht="46.5" customHeight="1" x14ac:dyDescent="0.35">
      <c r="A1" s="139" t="s">
        <v>245</v>
      </c>
      <c r="B1" s="139"/>
      <c r="C1" s="139"/>
      <c r="D1" s="139"/>
      <c r="E1" s="139"/>
      <c r="F1" s="139"/>
      <c r="G1" s="139"/>
      <c r="H1" s="139"/>
    </row>
    <row r="2" spans="1:8" ht="16.5" customHeight="1" x14ac:dyDescent="0.35">
      <c r="A2" s="140" t="s">
        <v>0</v>
      </c>
      <c r="B2" s="140"/>
      <c r="C2" s="140"/>
      <c r="D2" s="140"/>
      <c r="E2" s="140"/>
      <c r="F2" s="140"/>
      <c r="G2" s="140"/>
      <c r="H2" s="140"/>
    </row>
    <row r="3" spans="1:8" x14ac:dyDescent="0.35">
      <c r="A3" s="116" t="s">
        <v>1</v>
      </c>
      <c r="B3" s="116"/>
      <c r="C3" s="116"/>
      <c r="D3" s="116"/>
      <c r="E3" s="141" t="str">
        <f ca="1">TEXT(TODAY(),"DD/MM/YYYY")</f>
        <v>14/07/2025</v>
      </c>
      <c r="F3" s="141"/>
      <c r="G3" s="141"/>
      <c r="H3" s="141"/>
    </row>
    <row r="4" spans="1:8" ht="15" customHeight="1" x14ac:dyDescent="0.35">
      <c r="A4" s="116" t="s">
        <v>2</v>
      </c>
      <c r="B4" s="116"/>
      <c r="C4" s="116"/>
      <c r="D4" s="116"/>
      <c r="E4" s="142" t="s">
        <v>216</v>
      </c>
      <c r="F4" s="142"/>
      <c r="G4" s="142"/>
      <c r="H4" s="142"/>
    </row>
    <row r="5" spans="1:8" x14ac:dyDescent="0.35">
      <c r="A5" s="116" t="s">
        <v>3</v>
      </c>
      <c r="B5" s="116"/>
      <c r="C5" s="116"/>
      <c r="D5" s="116"/>
      <c r="E5" s="141">
        <v>45848</v>
      </c>
      <c r="F5" s="141"/>
      <c r="G5" s="141"/>
      <c r="H5" s="141"/>
    </row>
    <row r="6" spans="1:8" ht="16.5" customHeight="1" x14ac:dyDescent="0.35">
      <c r="A6" s="116" t="s">
        <v>4</v>
      </c>
      <c r="B6" s="116"/>
      <c r="C6" s="116"/>
      <c r="D6" s="116"/>
      <c r="E6" s="123" t="s">
        <v>184</v>
      </c>
      <c r="F6" s="123"/>
      <c r="G6" s="123"/>
      <c r="H6" s="123"/>
    </row>
    <row r="7" spans="1:8" ht="15" customHeight="1" x14ac:dyDescent="0.35">
      <c r="A7" s="116" t="s">
        <v>5</v>
      </c>
      <c r="B7" s="116"/>
      <c r="C7" s="116"/>
      <c r="D7" s="116"/>
      <c r="E7" s="123" t="str">
        <f>E6</f>
        <v>M/s.Vaastu Enteprises</v>
      </c>
      <c r="F7" s="123"/>
      <c r="G7" s="123"/>
      <c r="H7" s="123"/>
    </row>
    <row r="8" spans="1:8" x14ac:dyDescent="0.35">
      <c r="A8" s="116" t="s">
        <v>6</v>
      </c>
      <c r="B8" s="116"/>
      <c r="C8" s="116"/>
      <c r="D8" s="116"/>
      <c r="E8" s="106" t="s">
        <v>185</v>
      </c>
      <c r="F8" s="106"/>
      <c r="G8" s="106"/>
      <c r="H8" s="106"/>
    </row>
    <row r="9" spans="1:8" x14ac:dyDescent="0.35">
      <c r="A9" s="116" t="s">
        <v>157</v>
      </c>
      <c r="B9" s="116"/>
      <c r="C9" s="116"/>
      <c r="D9" s="116"/>
      <c r="E9" s="116" t="s">
        <v>250</v>
      </c>
      <c r="F9" s="116"/>
      <c r="G9" s="116"/>
      <c r="H9" s="116"/>
    </row>
    <row r="10" spans="1:8" hidden="1" x14ac:dyDescent="0.35">
      <c r="A10" s="116" t="s">
        <v>246</v>
      </c>
      <c r="B10" s="116"/>
      <c r="C10" s="116"/>
      <c r="D10" s="116"/>
      <c r="E10" s="116" t="s">
        <v>247</v>
      </c>
      <c r="F10" s="116"/>
      <c r="G10" s="116"/>
      <c r="H10" s="116"/>
    </row>
    <row r="11" spans="1:8" x14ac:dyDescent="0.35">
      <c r="A11" s="116" t="s">
        <v>7</v>
      </c>
      <c r="B11" s="116"/>
      <c r="C11" s="116"/>
      <c r="D11" s="116"/>
      <c r="E11" s="116" t="s">
        <v>186</v>
      </c>
      <c r="F11" s="116"/>
      <c r="G11" s="116"/>
      <c r="H11" s="116"/>
    </row>
    <row r="12" spans="1:8" ht="32.25" customHeight="1" x14ac:dyDescent="0.35">
      <c r="A12" s="116" t="s">
        <v>8</v>
      </c>
      <c r="B12" s="116"/>
      <c r="C12" s="116"/>
      <c r="D12" s="116"/>
      <c r="E12" s="123" t="s">
        <v>137</v>
      </c>
      <c r="F12" s="123"/>
      <c r="G12" s="123"/>
      <c r="H12" s="123"/>
    </row>
    <row r="13" spans="1:8" x14ac:dyDescent="0.35">
      <c r="A13" s="116" t="s">
        <v>9</v>
      </c>
      <c r="B13" s="116"/>
      <c r="C13" s="116"/>
      <c r="D13" s="116"/>
      <c r="E13" s="123" t="s">
        <v>183</v>
      </c>
      <c r="F13" s="116"/>
      <c r="G13" s="116"/>
      <c r="H13" s="116"/>
    </row>
    <row r="14" spans="1:8" ht="33.75" customHeight="1" x14ac:dyDescent="0.35">
      <c r="A14" s="123" t="s">
        <v>10</v>
      </c>
      <c r="B14" s="123"/>
      <c r="C14" s="123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Vaastu Sankalp, Survey No.168, H.No.1A + 2A + 3A/3, near Himalaya Complex, Pashane Road, Pashane, Vangani, Karjat, Raigad.</v>
      </c>
      <c r="D14" s="123"/>
      <c r="E14" s="123"/>
      <c r="F14" s="123"/>
      <c r="G14" s="123"/>
      <c r="H14" s="123"/>
    </row>
    <row r="15" spans="1:8" x14ac:dyDescent="0.35">
      <c r="A15" s="123" t="s">
        <v>223</v>
      </c>
      <c r="B15" s="123"/>
      <c r="C15" s="123" t="s">
        <v>192</v>
      </c>
      <c r="D15" s="123"/>
      <c r="E15" s="123"/>
      <c r="F15" s="123"/>
      <c r="G15" s="123"/>
      <c r="H15" s="123"/>
    </row>
    <row r="16" spans="1:8" ht="15.75" customHeight="1" x14ac:dyDescent="0.35">
      <c r="A16" s="123" t="s">
        <v>11</v>
      </c>
      <c r="B16" s="123"/>
      <c r="C16" s="116" t="s">
        <v>190</v>
      </c>
      <c r="D16" s="116"/>
      <c r="E16" s="123" t="s">
        <v>102</v>
      </c>
      <c r="F16" s="123"/>
      <c r="G16" s="123" t="s">
        <v>187</v>
      </c>
      <c r="H16" s="123"/>
    </row>
    <row r="17" spans="1:12" x14ac:dyDescent="0.35">
      <c r="A17" s="116" t="s">
        <v>13</v>
      </c>
      <c r="B17" s="116"/>
      <c r="C17" s="123" t="s">
        <v>225</v>
      </c>
      <c r="D17" s="123"/>
      <c r="E17" s="123" t="s">
        <v>12</v>
      </c>
      <c r="F17" s="123"/>
      <c r="G17" s="144" t="s">
        <v>188</v>
      </c>
      <c r="H17" s="144"/>
    </row>
    <row r="18" spans="1:12" x14ac:dyDescent="0.35">
      <c r="A18" s="116" t="s">
        <v>103</v>
      </c>
      <c r="B18" s="116"/>
      <c r="C18" s="123" t="s">
        <v>189</v>
      </c>
      <c r="D18" s="123"/>
      <c r="E18" s="123" t="s">
        <v>14</v>
      </c>
      <c r="F18" s="123"/>
      <c r="G18" s="123">
        <v>410101</v>
      </c>
      <c r="H18" s="123"/>
    </row>
    <row r="19" spans="1:12" ht="32.25" customHeight="1" x14ac:dyDescent="0.35">
      <c r="A19" s="116" t="s">
        <v>158</v>
      </c>
      <c r="B19" s="116"/>
      <c r="C19" s="123" t="s">
        <v>221</v>
      </c>
      <c r="D19" s="123"/>
      <c r="E19" s="123" t="s">
        <v>15</v>
      </c>
      <c r="F19" s="123"/>
      <c r="G19" s="123" t="s">
        <v>228</v>
      </c>
      <c r="H19" s="123"/>
    </row>
    <row r="20" spans="1:12" ht="15" customHeight="1" x14ac:dyDescent="0.35">
      <c r="A20" s="123" t="s">
        <v>107</v>
      </c>
      <c r="B20" s="123"/>
      <c r="C20" s="123"/>
      <c r="D20" s="123"/>
      <c r="E20" s="116" t="s">
        <v>16</v>
      </c>
      <c r="F20" s="116"/>
      <c r="G20" s="116"/>
      <c r="H20" s="116"/>
    </row>
    <row r="21" spans="1:12" ht="18.75" customHeight="1" x14ac:dyDescent="0.35">
      <c r="A21" s="123"/>
      <c r="B21" s="123"/>
      <c r="C21" s="123"/>
      <c r="D21" s="123"/>
      <c r="E21" s="116"/>
      <c r="F21" s="116"/>
      <c r="G21" s="116"/>
      <c r="H21" s="116"/>
    </row>
    <row r="22" spans="1:12" ht="15" customHeight="1" x14ac:dyDescent="0.35">
      <c r="A22" s="123" t="s">
        <v>17</v>
      </c>
      <c r="B22" s="123"/>
      <c r="C22" s="123"/>
      <c r="D22" s="123"/>
      <c r="E22" s="123" t="s">
        <v>18</v>
      </c>
      <c r="F22" s="123"/>
      <c r="G22" s="123"/>
      <c r="H22" s="123"/>
      <c r="L22" s="34"/>
    </row>
    <row r="23" spans="1:12" ht="15" customHeight="1" x14ac:dyDescent="0.35">
      <c r="A23" s="116" t="s">
        <v>19</v>
      </c>
      <c r="B23" s="116"/>
      <c r="C23" s="116"/>
      <c r="D23" s="116"/>
      <c r="E23" s="123" t="str">
        <f>IF(AND(G17="Mumbai"),"Upper Class","Middle Class")</f>
        <v>Middle Class</v>
      </c>
      <c r="F23" s="123"/>
      <c r="G23" s="123"/>
      <c r="H23" s="123"/>
    </row>
    <row r="24" spans="1:12" x14ac:dyDescent="0.35">
      <c r="A24" s="116" t="s">
        <v>20</v>
      </c>
      <c r="B24" s="116"/>
      <c r="C24" s="116"/>
      <c r="D24" s="116"/>
      <c r="E24" s="123" t="s">
        <v>21</v>
      </c>
      <c r="F24" s="123"/>
      <c r="G24" s="123"/>
      <c r="H24" s="123"/>
    </row>
    <row r="25" spans="1:12" ht="15.75" customHeight="1" x14ac:dyDescent="0.35">
      <c r="A25" s="116" t="s">
        <v>22</v>
      </c>
      <c r="B25" s="116"/>
      <c r="C25" s="116"/>
      <c r="D25" s="116"/>
      <c r="E25" s="123" t="str">
        <f>IF(AND(G17="Mumbai"),"Developed","Developing")</f>
        <v>Developing</v>
      </c>
      <c r="F25" s="123"/>
      <c r="G25" s="123"/>
      <c r="H25" s="123"/>
    </row>
    <row r="26" spans="1:12" x14ac:dyDescent="0.35">
      <c r="A26" s="116" t="s">
        <v>23</v>
      </c>
      <c r="B26" s="116"/>
      <c r="C26" s="116"/>
      <c r="D26" s="116"/>
      <c r="E26" s="123" t="s">
        <v>24</v>
      </c>
      <c r="F26" s="123"/>
      <c r="G26" s="123"/>
      <c r="H26" s="123"/>
    </row>
    <row r="27" spans="1:12" x14ac:dyDescent="0.35">
      <c r="A27" s="116" t="s">
        <v>114</v>
      </c>
      <c r="B27" s="116"/>
      <c r="C27" s="116"/>
      <c r="D27" s="116"/>
      <c r="E27" s="123" t="s">
        <v>115</v>
      </c>
      <c r="F27" s="123"/>
      <c r="G27" s="123"/>
      <c r="H27" s="123"/>
    </row>
    <row r="28" spans="1:12" ht="15" customHeight="1" x14ac:dyDescent="0.35">
      <c r="A28" s="123" t="s">
        <v>33</v>
      </c>
      <c r="B28" s="123"/>
      <c r="C28" s="123"/>
      <c r="D28" s="123"/>
      <c r="E28" s="142" t="s">
        <v>111</v>
      </c>
      <c r="F28" s="142"/>
      <c r="G28" s="142"/>
      <c r="H28" s="142"/>
    </row>
    <row r="29" spans="1:12" x14ac:dyDescent="0.35">
      <c r="A29" s="123" t="s">
        <v>126</v>
      </c>
      <c r="B29" s="123"/>
      <c r="C29" s="123"/>
      <c r="D29" s="123"/>
      <c r="E29" s="123" t="s">
        <v>34</v>
      </c>
      <c r="F29" s="123"/>
      <c r="G29" s="123"/>
      <c r="H29" s="123"/>
    </row>
    <row r="30" spans="1:12" s="11" customFormat="1" x14ac:dyDescent="0.35">
      <c r="A30" s="152" t="s">
        <v>127</v>
      </c>
      <c r="B30" s="152"/>
      <c r="C30" s="140" t="s">
        <v>29</v>
      </c>
      <c r="D30" s="140"/>
      <c r="E30" s="140"/>
      <c r="F30" s="140" t="s">
        <v>31</v>
      </c>
      <c r="G30" s="140"/>
      <c r="H30" s="140"/>
    </row>
    <row r="31" spans="1:12" s="11" customFormat="1" x14ac:dyDescent="0.35">
      <c r="A31" s="143" t="s">
        <v>25</v>
      </c>
      <c r="B31" s="143" t="s">
        <v>30</v>
      </c>
      <c r="C31" s="130" t="s">
        <v>30</v>
      </c>
      <c r="D31" s="130"/>
      <c r="E31" s="130"/>
      <c r="F31" s="130" t="s">
        <v>11</v>
      </c>
      <c r="G31" s="130"/>
      <c r="H31" s="130"/>
    </row>
    <row r="32" spans="1:12" x14ac:dyDescent="0.35">
      <c r="A32" s="143" t="s">
        <v>26</v>
      </c>
      <c r="B32" s="143" t="s">
        <v>30</v>
      </c>
      <c r="C32" s="130" t="s">
        <v>30</v>
      </c>
      <c r="D32" s="130"/>
      <c r="E32" s="130"/>
      <c r="F32" s="130" t="s">
        <v>221</v>
      </c>
      <c r="G32" s="130"/>
      <c r="H32" s="130"/>
    </row>
    <row r="33" spans="1:8" s="11" customFormat="1" x14ac:dyDescent="0.35">
      <c r="A33" s="143" t="s">
        <v>28</v>
      </c>
      <c r="B33" s="143" t="s">
        <v>30</v>
      </c>
      <c r="C33" s="130" t="s">
        <v>30</v>
      </c>
      <c r="D33" s="130"/>
      <c r="E33" s="130"/>
      <c r="F33" s="130" t="s">
        <v>221</v>
      </c>
      <c r="G33" s="130"/>
      <c r="H33" s="130"/>
    </row>
    <row r="34" spans="1:8" x14ac:dyDescent="0.35">
      <c r="A34" s="143" t="s">
        <v>27</v>
      </c>
      <c r="B34" s="143" t="s">
        <v>30</v>
      </c>
      <c r="C34" s="130" t="s">
        <v>30</v>
      </c>
      <c r="D34" s="130"/>
      <c r="E34" s="130"/>
      <c r="F34" s="130" t="s">
        <v>224</v>
      </c>
      <c r="G34" s="130"/>
      <c r="H34" s="130"/>
    </row>
    <row r="35" spans="1:8" x14ac:dyDescent="0.35">
      <c r="A35" s="116" t="s">
        <v>32</v>
      </c>
      <c r="B35" s="116"/>
      <c r="C35" s="116"/>
      <c r="D35" s="116"/>
      <c r="E35" s="116"/>
      <c r="F35" s="116"/>
      <c r="G35" s="116"/>
      <c r="H35" s="116"/>
    </row>
    <row r="36" spans="1:8" ht="15.75" customHeight="1" x14ac:dyDescent="0.35">
      <c r="A36" s="130" t="s">
        <v>248</v>
      </c>
      <c r="B36" s="130"/>
      <c r="C36" s="156" t="s">
        <v>249</v>
      </c>
      <c r="D36" s="157"/>
      <c r="E36" s="157"/>
      <c r="F36" s="157"/>
      <c r="G36" s="157"/>
      <c r="H36" s="158"/>
    </row>
    <row r="37" spans="1:8" ht="15.75" customHeight="1" x14ac:dyDescent="0.35">
      <c r="A37" s="130" t="s">
        <v>243</v>
      </c>
      <c r="B37" s="130"/>
      <c r="C37" s="153" t="s">
        <v>244</v>
      </c>
      <c r="D37" s="154"/>
      <c r="E37" s="154"/>
      <c r="F37" s="154"/>
      <c r="G37" s="154"/>
      <c r="H37" s="155"/>
    </row>
    <row r="38" spans="1:8" x14ac:dyDescent="0.35">
      <c r="A38" s="106" t="s">
        <v>35</v>
      </c>
      <c r="B38" s="106"/>
      <c r="C38" s="106"/>
      <c r="D38" s="106"/>
      <c r="E38" s="106"/>
      <c r="F38" s="106"/>
      <c r="G38" s="106"/>
      <c r="H38" s="106"/>
    </row>
    <row r="39" spans="1:8" x14ac:dyDescent="0.35">
      <c r="A39" s="116" t="s">
        <v>36</v>
      </c>
      <c r="B39" s="116"/>
      <c r="C39" s="116"/>
      <c r="D39" s="116"/>
      <c r="E39" s="165">
        <v>1764.9</v>
      </c>
      <c r="F39" s="165"/>
      <c r="G39" s="165"/>
      <c r="H39" s="165"/>
    </row>
    <row r="40" spans="1:8" x14ac:dyDescent="0.35">
      <c r="A40" s="116" t="s">
        <v>37</v>
      </c>
      <c r="B40" s="116"/>
      <c r="C40" s="116"/>
      <c r="D40" s="116"/>
      <c r="E40" s="117">
        <v>1.2</v>
      </c>
      <c r="F40" s="117"/>
      <c r="G40" s="117"/>
      <c r="H40" s="117"/>
    </row>
    <row r="41" spans="1:8" x14ac:dyDescent="0.35">
      <c r="A41" s="116" t="s">
        <v>38</v>
      </c>
      <c r="B41" s="116"/>
      <c r="C41" s="116"/>
      <c r="D41" s="116"/>
      <c r="E41" s="117">
        <f>E43/E39-E40</f>
        <v>0.22209190322397854</v>
      </c>
      <c r="F41" s="117"/>
      <c r="G41" s="117"/>
      <c r="H41" s="117"/>
    </row>
    <row r="42" spans="1:8" x14ac:dyDescent="0.35">
      <c r="A42" s="116" t="s">
        <v>39</v>
      </c>
      <c r="B42" s="116"/>
      <c r="C42" s="116"/>
      <c r="D42" s="116"/>
      <c r="E42" s="117">
        <f>E40+E41</f>
        <v>1.4220919032239785</v>
      </c>
      <c r="F42" s="117"/>
      <c r="G42" s="117"/>
      <c r="H42" s="117"/>
    </row>
    <row r="43" spans="1:8" x14ac:dyDescent="0.35">
      <c r="A43" s="116" t="s">
        <v>125</v>
      </c>
      <c r="B43" s="116"/>
      <c r="C43" s="116"/>
      <c r="D43" s="116"/>
      <c r="E43" s="147">
        <v>2509.85</v>
      </c>
      <c r="F43" s="147"/>
      <c r="G43" s="147"/>
      <c r="H43" s="147"/>
    </row>
    <row r="44" spans="1:8" x14ac:dyDescent="0.35">
      <c r="A44" s="116" t="s">
        <v>40</v>
      </c>
      <c r="B44" s="116"/>
      <c r="C44" s="116"/>
      <c r="D44" s="116"/>
      <c r="E44" s="116" t="s">
        <v>194</v>
      </c>
      <c r="F44" s="116"/>
      <c r="G44" s="116"/>
      <c r="H44" s="116"/>
    </row>
    <row r="45" spans="1:8" x14ac:dyDescent="0.35">
      <c r="A45" s="106" t="s">
        <v>41</v>
      </c>
      <c r="B45" s="106"/>
      <c r="C45" s="106"/>
      <c r="D45" s="106"/>
      <c r="E45" s="106"/>
      <c r="F45" s="106"/>
      <c r="G45" s="106"/>
      <c r="H45" s="106"/>
    </row>
    <row r="46" spans="1:8" x14ac:dyDescent="0.35">
      <c r="A46" s="123" t="s">
        <v>42</v>
      </c>
      <c r="B46" s="123"/>
      <c r="C46" s="123" t="s">
        <v>193</v>
      </c>
      <c r="D46" s="123"/>
      <c r="E46" s="123"/>
      <c r="F46" s="54" t="s">
        <v>43</v>
      </c>
      <c r="G46" s="122">
        <v>44105</v>
      </c>
      <c r="H46" s="122"/>
    </row>
    <row r="47" spans="1:8" x14ac:dyDescent="0.35">
      <c r="A47" s="116" t="s">
        <v>44</v>
      </c>
      <c r="B47" s="116"/>
      <c r="C47" s="123" t="str">
        <f>C46</f>
        <v>MASHA/LNA1B/SR/P.No.02</v>
      </c>
      <c r="D47" s="123"/>
      <c r="E47" s="123"/>
      <c r="F47" s="54" t="s">
        <v>43</v>
      </c>
      <c r="G47" s="122">
        <f>G46</f>
        <v>44105</v>
      </c>
      <c r="H47" s="122"/>
    </row>
    <row r="48" spans="1:8" s="10" customFormat="1" x14ac:dyDescent="0.35">
      <c r="A48" s="123" t="s">
        <v>45</v>
      </c>
      <c r="B48" s="123"/>
      <c r="C48" s="123" t="s">
        <v>193</v>
      </c>
      <c r="D48" s="116"/>
      <c r="E48" s="116"/>
      <c r="F48" s="57" t="s">
        <v>43</v>
      </c>
      <c r="G48" s="122">
        <v>44105</v>
      </c>
      <c r="H48" s="122"/>
    </row>
    <row r="49" spans="1:14" s="10" customFormat="1" x14ac:dyDescent="0.35">
      <c r="A49" s="123"/>
      <c r="B49" s="123"/>
      <c r="C49" s="90" t="s">
        <v>191</v>
      </c>
      <c r="D49" s="91"/>
      <c r="E49" s="91"/>
      <c r="F49" s="91"/>
      <c r="G49" s="91"/>
      <c r="H49" s="92"/>
    </row>
    <row r="50" spans="1:14" x14ac:dyDescent="0.35">
      <c r="A50" s="125" t="s">
        <v>46</v>
      </c>
      <c r="B50" s="125"/>
      <c r="C50" s="107" t="s">
        <v>138</v>
      </c>
      <c r="D50" s="106"/>
      <c r="E50" s="106" t="s">
        <v>47</v>
      </c>
      <c r="F50" s="55" t="s">
        <v>43</v>
      </c>
      <c r="G50" s="128" t="s">
        <v>30</v>
      </c>
      <c r="H50" s="128"/>
    </row>
    <row r="51" spans="1:14" x14ac:dyDescent="0.35">
      <c r="A51" s="126" t="s">
        <v>49</v>
      </c>
      <c r="B51" s="126"/>
      <c r="C51" s="126"/>
      <c r="D51" s="126"/>
      <c r="E51" s="126"/>
      <c r="F51" s="126"/>
      <c r="G51" s="126"/>
      <c r="H51" s="126"/>
    </row>
    <row r="52" spans="1:14" x14ac:dyDescent="0.35">
      <c r="A52" s="127" t="s">
        <v>124</v>
      </c>
      <c r="B52" s="127"/>
      <c r="C52" s="127"/>
      <c r="D52" s="68">
        <f>E43</f>
        <v>2509.85</v>
      </c>
      <c r="E52" s="68"/>
      <c r="F52" s="68"/>
      <c r="G52" s="68"/>
      <c r="H52" s="68"/>
    </row>
    <row r="53" spans="1:14" x14ac:dyDescent="0.35">
      <c r="A53" s="123" t="s">
        <v>50</v>
      </c>
      <c r="B53" s="116"/>
      <c r="C53" s="116"/>
      <c r="D53" s="116" t="s">
        <v>213</v>
      </c>
      <c r="E53" s="116"/>
      <c r="F53" s="116"/>
      <c r="G53" s="116"/>
      <c r="H53" s="116"/>
      <c r="I53" s="35"/>
    </row>
    <row r="54" spans="1:14" ht="15.75" customHeight="1" x14ac:dyDescent="0.35">
      <c r="A54" s="119" t="s">
        <v>51</v>
      </c>
      <c r="B54" s="120"/>
      <c r="C54" s="121"/>
      <c r="D54" s="93" t="s">
        <v>220</v>
      </c>
      <c r="E54" s="93"/>
      <c r="F54" s="93"/>
      <c r="G54" s="93"/>
      <c r="H54" s="93"/>
    </row>
    <row r="55" spans="1:14" ht="15.75" customHeight="1" x14ac:dyDescent="0.35">
      <c r="A55" s="119" t="s">
        <v>122</v>
      </c>
      <c r="B55" s="120"/>
      <c r="C55" s="120"/>
      <c r="D55" s="116" t="s">
        <v>218</v>
      </c>
      <c r="E55" s="116"/>
      <c r="F55" s="116"/>
      <c r="G55" s="116"/>
      <c r="H55" s="116"/>
    </row>
    <row r="56" spans="1:14" ht="15.75" customHeight="1" x14ac:dyDescent="0.35">
      <c r="A56" s="148"/>
      <c r="B56" s="149"/>
      <c r="C56" s="149"/>
      <c r="D56" s="116" t="s">
        <v>242</v>
      </c>
      <c r="E56" s="116"/>
      <c r="F56" s="116"/>
      <c r="G56" s="116"/>
      <c r="H56" s="116"/>
    </row>
    <row r="57" spans="1:14" ht="15.75" hidden="1" customHeight="1" x14ac:dyDescent="0.35">
      <c r="A57" s="150"/>
      <c r="B57" s="151"/>
      <c r="C57" s="151"/>
      <c r="D57" s="116" t="s">
        <v>219</v>
      </c>
      <c r="E57" s="116"/>
      <c r="F57" s="116"/>
      <c r="G57" s="116"/>
      <c r="H57" s="116"/>
    </row>
    <row r="58" spans="1:14" ht="15.75" customHeight="1" x14ac:dyDescent="0.35">
      <c r="A58" s="68" t="s">
        <v>48</v>
      </c>
      <c r="B58" s="68"/>
      <c r="C58" s="68"/>
      <c r="D58" s="118" t="s">
        <v>254</v>
      </c>
      <c r="E58" s="118"/>
      <c r="F58" s="118"/>
      <c r="G58" s="118"/>
      <c r="H58" s="118"/>
      <c r="J58" s="34"/>
      <c r="K58" s="35"/>
      <c r="N58" s="35"/>
    </row>
    <row r="59" spans="1:14" ht="15.75" customHeight="1" x14ac:dyDescent="0.35">
      <c r="A59" s="68" t="s">
        <v>120</v>
      </c>
      <c r="B59" s="68"/>
      <c r="C59" s="68"/>
      <c r="D59" s="124" t="str">
        <f>(IF(G50="NA","60 Years After Completion",IF(G50&lt;&gt;"NA",""&amp;ROUNDDOWN((E3-G50)/360,0)&amp;" Years"," ")))</f>
        <v>60 Years After Completion</v>
      </c>
      <c r="E59" s="124"/>
      <c r="F59" s="124"/>
      <c r="G59" s="124"/>
      <c r="H59" s="124"/>
      <c r="N59" s="35"/>
    </row>
    <row r="60" spans="1:14" ht="15.75" customHeight="1" x14ac:dyDescent="0.35">
      <c r="A60" s="68" t="s">
        <v>121</v>
      </c>
      <c r="B60" s="68"/>
      <c r="C60" s="68"/>
      <c r="D60" s="127" t="s">
        <v>24</v>
      </c>
      <c r="E60" s="127"/>
      <c r="F60" s="127"/>
      <c r="G60" s="127"/>
      <c r="H60" s="127"/>
      <c r="J60" s="14"/>
      <c r="K60" s="14"/>
    </row>
    <row r="61" spans="1:14" ht="15.75" customHeight="1" thickBot="1" x14ac:dyDescent="0.4">
      <c r="A61" s="145" t="s">
        <v>119</v>
      </c>
      <c r="B61" s="145"/>
      <c r="C61" s="145"/>
      <c r="D61" s="146" t="str">
        <f ca="1">(IF(G66&gt;95%,"Nothing",IF(G66&gt;0%,"Cement, Aggregate, Steel, etc",IF(G66=0%,"Work not yet Started"))))</f>
        <v>Cement, Aggregate, Steel, etc</v>
      </c>
      <c r="E61" s="146"/>
      <c r="F61" s="146"/>
      <c r="G61" s="146"/>
      <c r="H61" s="146"/>
      <c r="J61" s="14"/>
      <c r="K61" s="14"/>
    </row>
    <row r="62" spans="1:14" ht="15.75" customHeight="1" x14ac:dyDescent="0.35">
      <c r="A62" s="94" t="s">
        <v>176</v>
      </c>
      <c r="B62" s="95"/>
      <c r="C62" s="96" t="s">
        <v>218</v>
      </c>
      <c r="D62" s="97"/>
      <c r="E62" s="97"/>
      <c r="F62" s="97"/>
      <c r="G62" s="97"/>
      <c r="H62" s="98"/>
      <c r="I62" s="15" t="str">
        <f ca="1">(IF(C66=0,"Work not yet Started.",IF(D66=25%,"Piling work in process",IF(D66=50%,"Excavation work in process",IF(D66=100%,"Excavation work completed, ","0")))&amp;(IF(C67=0%,"",IF(C67=K68,"Footing work is process",IF(C67=K69,"Footing work Completed",IF(C67=K70,"1st Basement Completed",IF(C67=K71,"1st &amp; 2nd Basement Completed",IF(C67=K72,"1st to 3rd Basement Completed",IF(C67=K73,"1st to 4th Basement Completed",IF(C67=K74,"Plinth work is process",IF(C67=K75,"Plinth work completed","0")))))))))))&amp;(IF(C68&gt;0,", RCC upto "&amp;C68&amp;" Slab completed",""))&amp;(IF(C69&gt;0,", Brickwork upto "&amp;C69&amp;" Floor completed"," "))&amp;(IF(C70&gt;0,", Internal Plaster upto "&amp;C70&amp;" Floor completed"," "))&amp;(IF(C71&gt;0,", External Plaster upto "&amp;C71&amp;" Floor completed"," "))&amp;(IF(C72&gt;0,", Flooring upto "&amp;C72&amp;" Floor completed"," "))&amp;(IF(C73&gt;0,", Painting upto "&amp;C73&amp;" Floor completed"," "))&amp;(IF(C74&gt;0,", Finishing upto "&amp;C74&amp;" Floor completed"," ")))</f>
        <v>Excavation work completed, Plinth work completed, RCC upto 5 Slab completed, Brickwork upto 4 Floor completed, Internal Plaster upto 4 Floor completed, External Plaster upto 4 Floor completed, Flooring upto 4 Floor completed, Painting upto 4 Floor completed, Finishing upto 3 Floor completed</v>
      </c>
      <c r="J62" s="15"/>
      <c r="K62" s="16"/>
    </row>
    <row r="63" spans="1:14" x14ac:dyDescent="0.35">
      <c r="A63" s="52" t="s">
        <v>178</v>
      </c>
      <c r="B63" s="53">
        <v>0</v>
      </c>
      <c r="C63" s="53" t="s">
        <v>101</v>
      </c>
      <c r="D63" s="53">
        <v>1</v>
      </c>
      <c r="E63" s="53" t="s">
        <v>100</v>
      </c>
      <c r="F63" s="53">
        <v>0</v>
      </c>
      <c r="G63" s="53" t="s">
        <v>113</v>
      </c>
      <c r="H63" s="46">
        <f ca="1">--TRIM(RIGHT(SUBSTITUTE(LEFT(C62,_xlfn.AGGREGATE(16,6,FIND({0,1,2,3,4,5,6,7,8,9},C62,ROW(INDIRECT("1:"&amp;LEN(C62)))),1))," ",REPT(" ",LEN(C62))),LEN(C62)))</f>
        <v>4</v>
      </c>
      <c r="I63" s="14" t="s">
        <v>152</v>
      </c>
      <c r="J63" s="14"/>
      <c r="K63" s="17"/>
    </row>
    <row r="64" spans="1:14" x14ac:dyDescent="0.35">
      <c r="A64" s="113" t="s">
        <v>123</v>
      </c>
      <c r="B64" s="106"/>
      <c r="C64" s="107" t="s">
        <v>252</v>
      </c>
      <c r="D64" s="107"/>
      <c r="E64" s="107"/>
      <c r="F64" s="107"/>
      <c r="G64" s="107"/>
      <c r="H64" s="114"/>
      <c r="I64" s="14" t="s">
        <v>136</v>
      </c>
      <c r="J64" s="14"/>
      <c r="K64" s="17"/>
    </row>
    <row r="65" spans="1:11" x14ac:dyDescent="0.35">
      <c r="A65" s="104" t="s">
        <v>52</v>
      </c>
      <c r="B65" s="105"/>
      <c r="C65" s="51" t="s">
        <v>175</v>
      </c>
      <c r="D65" s="51" t="s">
        <v>116</v>
      </c>
      <c r="E65" s="105" t="s">
        <v>118</v>
      </c>
      <c r="F65" s="105"/>
      <c r="G65" s="105" t="s">
        <v>117</v>
      </c>
      <c r="H65" s="115"/>
      <c r="I65" s="33" t="s">
        <v>177</v>
      </c>
      <c r="K65" s="18">
        <f ca="1">H63*25%</f>
        <v>1</v>
      </c>
    </row>
    <row r="66" spans="1:11" x14ac:dyDescent="0.35">
      <c r="A66" s="104" t="s">
        <v>164</v>
      </c>
      <c r="B66" s="105"/>
      <c r="C66" s="58">
        <f ca="1">K67</f>
        <v>4</v>
      </c>
      <c r="D66" s="59">
        <f ca="1">((100/H63)*C66)/100</f>
        <v>1</v>
      </c>
      <c r="E66" s="135">
        <f ca="1">(IF(C64=I63,"100%",IF(C64=I64,"100%",(((C67/H63*10)+(40/(D63+F63+H63)*C68)+(7.5/(H63)*C69)+(7.5/(H63)*C70)+(10/H63*C71)+(10/H63*C72)+(5/H63*C73)+(5/H63*C74)+(5/H63*C75))/100))))</f>
        <v>0.9375</v>
      </c>
      <c r="F66" s="135"/>
      <c r="G66" s="135">
        <f ca="1">((((C66/H63)*20)+((C67/H63)*25)+(30/(H63+F63+D63)*C68)+(5/H63*C69)+(5/H63*C70)+(5/H63*C71)+(5/H63*C72)+(0/H63*C73)+(0/H63*C74)+(5/H63*C75))/100)</f>
        <v>0.95</v>
      </c>
      <c r="H66" s="137"/>
      <c r="I66" s="33" t="s">
        <v>130</v>
      </c>
      <c r="J66" s="19"/>
      <c r="K66" s="36">
        <f ca="1">H63*50%</f>
        <v>2</v>
      </c>
    </row>
    <row r="67" spans="1:11" x14ac:dyDescent="0.35">
      <c r="A67" s="104" t="s">
        <v>53</v>
      </c>
      <c r="B67" s="105"/>
      <c r="C67" s="60">
        <f ca="1">K75</f>
        <v>4</v>
      </c>
      <c r="D67" s="59">
        <f ca="1">((100/H63)*C67)/100</f>
        <v>1</v>
      </c>
      <c r="E67" s="135"/>
      <c r="F67" s="135"/>
      <c r="G67" s="135"/>
      <c r="H67" s="137"/>
      <c r="I67" s="33" t="s">
        <v>131</v>
      </c>
      <c r="J67" s="19"/>
      <c r="K67" s="36">
        <f ca="1">H63</f>
        <v>4</v>
      </c>
    </row>
    <row r="68" spans="1:11" ht="15.75" customHeight="1" x14ac:dyDescent="0.35">
      <c r="A68" s="129" t="s">
        <v>165</v>
      </c>
      <c r="B68" s="130"/>
      <c r="C68" s="60">
        <v>5</v>
      </c>
      <c r="D68" s="59">
        <f ca="1">((100/(D63+F63+H63))*C68)/100</f>
        <v>1</v>
      </c>
      <c r="E68" s="135"/>
      <c r="F68" s="135"/>
      <c r="G68" s="135"/>
      <c r="H68" s="137"/>
      <c r="I68" s="33" t="s">
        <v>132</v>
      </c>
      <c r="J68" s="19"/>
      <c r="K68" s="40">
        <f ca="1">(IF(B63=0,H63/4,(H63/(B63+4))))</f>
        <v>1</v>
      </c>
    </row>
    <row r="69" spans="1:11" ht="15.75" customHeight="1" x14ac:dyDescent="0.35">
      <c r="A69" s="104" t="s">
        <v>172</v>
      </c>
      <c r="B69" s="105" t="s">
        <v>166</v>
      </c>
      <c r="C69" s="58">
        <v>4</v>
      </c>
      <c r="D69" s="59">
        <f ca="1">((100/H63)*C69)/100</f>
        <v>1</v>
      </c>
      <c r="E69" s="135"/>
      <c r="F69" s="135"/>
      <c r="G69" s="135"/>
      <c r="H69" s="137"/>
      <c r="I69" s="33" t="s">
        <v>133</v>
      </c>
      <c r="J69" s="19"/>
      <c r="K69" s="40">
        <f ca="1">(IF(B63=0,H63/4+K68,(H63/(B63+4)+K68)))</f>
        <v>2</v>
      </c>
    </row>
    <row r="70" spans="1:11" ht="15.75" customHeight="1" x14ac:dyDescent="0.35">
      <c r="A70" s="104" t="s">
        <v>173</v>
      </c>
      <c r="B70" s="105" t="s">
        <v>166</v>
      </c>
      <c r="C70" s="58">
        <v>4</v>
      </c>
      <c r="D70" s="59">
        <f ca="1">((100/H63)*C70)/100</f>
        <v>1</v>
      </c>
      <c r="E70" s="135"/>
      <c r="F70" s="135"/>
      <c r="G70" s="135"/>
      <c r="H70" s="137"/>
      <c r="I70" s="33" t="s">
        <v>179</v>
      </c>
      <c r="J70" s="44"/>
      <c r="K70" s="40">
        <f>(IF(B63=0,0,(H63/(B63+4)+K69)))</f>
        <v>0</v>
      </c>
    </row>
    <row r="71" spans="1:11" ht="15" customHeight="1" x14ac:dyDescent="0.35">
      <c r="A71" s="104" t="s">
        <v>171</v>
      </c>
      <c r="B71" s="105" t="s">
        <v>168</v>
      </c>
      <c r="C71" s="58">
        <v>4</v>
      </c>
      <c r="D71" s="59">
        <f ca="1">((100/(H63))*C71)/100</f>
        <v>1</v>
      </c>
      <c r="E71" s="135"/>
      <c r="F71" s="135"/>
      <c r="G71" s="135"/>
      <c r="H71" s="137"/>
      <c r="I71" s="33" t="s">
        <v>180</v>
      </c>
      <c r="J71" s="44"/>
      <c r="K71" s="40">
        <f>(IF(B63&gt;1,(H63/(B63+4)+K70),0))</f>
        <v>0</v>
      </c>
    </row>
    <row r="72" spans="1:11" ht="15.75" customHeight="1" x14ac:dyDescent="0.35">
      <c r="A72" s="104" t="s">
        <v>167</v>
      </c>
      <c r="B72" s="105" t="s">
        <v>167</v>
      </c>
      <c r="C72" s="58">
        <v>4</v>
      </c>
      <c r="D72" s="59">
        <f ca="1">((100/H63)*C72)/100</f>
        <v>1</v>
      </c>
      <c r="E72" s="135"/>
      <c r="F72" s="135"/>
      <c r="G72" s="135"/>
      <c r="H72" s="137"/>
      <c r="I72" s="33" t="s">
        <v>181</v>
      </c>
      <c r="J72" s="39"/>
      <c r="K72" s="41">
        <f>(IF(B63&gt;2,(H63/(B63+4)+K71),0))</f>
        <v>0</v>
      </c>
    </row>
    <row r="73" spans="1:11" ht="15.75" customHeight="1" x14ac:dyDescent="0.35">
      <c r="A73" s="104" t="s">
        <v>174</v>
      </c>
      <c r="B73" s="105"/>
      <c r="C73" s="58">
        <v>4</v>
      </c>
      <c r="D73" s="59">
        <f ca="1">((100/H63)*C73)/100</f>
        <v>1</v>
      </c>
      <c r="E73" s="135"/>
      <c r="F73" s="135"/>
      <c r="G73" s="135"/>
      <c r="H73" s="137"/>
      <c r="I73" s="33" t="s">
        <v>182</v>
      </c>
      <c r="J73"/>
      <c r="K73" s="43">
        <f>(IF(B63&gt;3,(H63/(B63+4)+K72),0))</f>
        <v>0</v>
      </c>
    </row>
    <row r="74" spans="1:11" ht="15.75" customHeight="1" x14ac:dyDescent="0.35">
      <c r="A74" s="104" t="s">
        <v>169</v>
      </c>
      <c r="B74" s="105" t="s">
        <v>169</v>
      </c>
      <c r="C74" s="58">
        <v>3</v>
      </c>
      <c r="D74" s="59">
        <f ca="1">((100/(H63))*C74)/100</f>
        <v>0.75</v>
      </c>
      <c r="E74" s="135"/>
      <c r="F74" s="135"/>
      <c r="G74" s="135"/>
      <c r="H74" s="137"/>
      <c r="I74" s="33" t="s">
        <v>134</v>
      </c>
      <c r="J74" s="19"/>
      <c r="K74" s="40">
        <f ca="1">(IF(B63=0,H63/4+K69,(H63/(B63+4)+K69+MAX(0,K70-K69)+MAX(0,K71-K70)+MAX(0,K72-K71)+MAX(0,K73-K72))))</f>
        <v>3</v>
      </c>
    </row>
    <row r="75" spans="1:11" ht="16" thickBot="1" x14ac:dyDescent="0.4">
      <c r="A75" s="111" t="s">
        <v>170</v>
      </c>
      <c r="B75" s="112"/>
      <c r="C75" s="61">
        <v>0</v>
      </c>
      <c r="D75" s="62">
        <f ca="1">((100/(H63))*C75)/100</f>
        <v>0</v>
      </c>
      <c r="E75" s="136"/>
      <c r="F75" s="136"/>
      <c r="G75" s="136"/>
      <c r="H75" s="138"/>
      <c r="I75" s="37" t="s">
        <v>135</v>
      </c>
      <c r="J75" s="38"/>
      <c r="K75" s="42">
        <f ca="1">(IF(B63=0,H63/4+K74,(H63/(B63+4)+K74)))</f>
        <v>4</v>
      </c>
    </row>
    <row r="76" spans="1:11" ht="15.75" customHeight="1" x14ac:dyDescent="0.35">
      <c r="A76" s="99" t="s">
        <v>176</v>
      </c>
      <c r="B76" s="100"/>
      <c r="C76" s="101" t="s">
        <v>253</v>
      </c>
      <c r="D76" s="102"/>
      <c r="E76" s="102"/>
      <c r="F76" s="102"/>
      <c r="G76" s="102"/>
      <c r="H76" s="103"/>
      <c r="I76" s="15" t="str">
        <f ca="1">(IF(C80=0,"Work not yet Started.",IF(D80=25%,"Piling work in process",IF(D80=50%,"Excavation work in process",IF(D80=100%,"Excavation work completed, ","0")))&amp;(IF(C81=0%,"",IF(C81=K82,"Footing work is process",IF(C81=K83,"Footing work Completed",IF(C81=K84,"1st Basement Completed",IF(C81=K85,"1st &amp; 2nd Basement Completed",IF(C81=K86,"1st to 3rd Basement Completed",IF(C81=K87,"1st to 4th Basement Completed",IF(C81=K88,"Plinth work is process",IF(C81=K89,"Plinth work completed","0")))))))))))&amp;(IF(C82&gt;0,", RCC upto "&amp;C82&amp;" Slab completed",""))&amp;(IF(C83&gt;0,", Brickwork upto "&amp;C83&amp;" Floor completed"," "))&amp;(IF(C84&gt;0,", Internal Plaster upto "&amp;C84&amp;" Floor completed"," "))&amp;(IF(C85&gt;0,", External Plaster upto "&amp;C85&amp;" Floor completed"," "))&amp;(IF(C86&gt;0,", Flooring upto "&amp;C86&amp;" Floor completed"," "))&amp;(IF(C87&gt;0,", Painting upto "&amp;C87&amp;" Floor completed"," "))&amp;(IF(C88&gt;0,", Finishing upto "&amp;C88&amp;" Floor completed"," ")))</f>
        <v xml:space="preserve">Excavation work completed, Plinth work completed, RCC upto 5 Slab completed, Brickwork upto 4 Floor completed , External Plaster upto 2 Floor completed   </v>
      </c>
      <c r="J76" s="15"/>
      <c r="K76" s="16"/>
    </row>
    <row r="77" spans="1:11" x14ac:dyDescent="0.35">
      <c r="A77" s="52" t="s">
        <v>178</v>
      </c>
      <c r="B77" s="53">
        <v>0</v>
      </c>
      <c r="C77" s="53" t="s">
        <v>101</v>
      </c>
      <c r="D77" s="53">
        <v>1</v>
      </c>
      <c r="E77" s="53" t="s">
        <v>100</v>
      </c>
      <c r="F77" s="53">
        <v>0</v>
      </c>
      <c r="G77" s="53" t="s">
        <v>113</v>
      </c>
      <c r="H77" s="46">
        <f ca="1">--TRIM(RIGHT(SUBSTITUTE(LEFT(C76,_xlfn.AGGREGATE(16,6,FIND({0,1,2,3,4,5,6,7,8,9},C76,ROW(INDIRECT("1:"&amp;LEN(C76)))),1))," ",REPT(" ",LEN(C76))),LEN(C76)))</f>
        <v>4</v>
      </c>
      <c r="I77" s="14" t="s">
        <v>152</v>
      </c>
      <c r="J77" s="14"/>
      <c r="K77" s="17"/>
    </row>
    <row r="78" spans="1:11" ht="35.5" customHeight="1" x14ac:dyDescent="0.35">
      <c r="A78" s="113" t="s">
        <v>123</v>
      </c>
      <c r="B78" s="106"/>
      <c r="C78" s="107" t="str">
        <f ca="1">I76</f>
        <v xml:space="preserve">Excavation work completed, Plinth work completed, RCC upto 5 Slab completed, Brickwork upto 4 Floor completed , External Plaster upto 2 Floor completed   </v>
      </c>
      <c r="D78" s="107"/>
      <c r="E78" s="107"/>
      <c r="F78" s="107"/>
      <c r="G78" s="107"/>
      <c r="H78" s="114"/>
      <c r="I78" s="14" t="s">
        <v>136</v>
      </c>
      <c r="J78" s="14"/>
      <c r="K78" s="17"/>
    </row>
    <row r="79" spans="1:11" x14ac:dyDescent="0.35">
      <c r="A79" s="104" t="s">
        <v>52</v>
      </c>
      <c r="B79" s="105"/>
      <c r="C79" s="51" t="s">
        <v>175</v>
      </c>
      <c r="D79" s="51" t="s">
        <v>116</v>
      </c>
      <c r="E79" s="105" t="s">
        <v>118</v>
      </c>
      <c r="F79" s="105"/>
      <c r="G79" s="105" t="s">
        <v>117</v>
      </c>
      <c r="H79" s="115"/>
      <c r="I79" s="33" t="s">
        <v>177</v>
      </c>
      <c r="K79" s="18">
        <f ca="1">H77*25%</f>
        <v>1</v>
      </c>
    </row>
    <row r="80" spans="1:11" x14ac:dyDescent="0.35">
      <c r="A80" s="104" t="s">
        <v>164</v>
      </c>
      <c r="B80" s="105"/>
      <c r="C80" s="58">
        <f ca="1">K81</f>
        <v>4</v>
      </c>
      <c r="D80" s="59">
        <f ca="1">((100/H77)*C80)/100</f>
        <v>1</v>
      </c>
      <c r="E80" s="135">
        <f ca="1">(IF(C78=I77,"100%",IF(C78=I78,"100%",(((C81/H77*10)+(40/(D77+F77+H77)*C82)+(7.5/(H77)*C83)+(7.5/(H77)*C84)+(10/H77*C85)+(10/H77*C86)+(5/H77*C87)+(5/H77*C88)+(5/H77*C89))/100))))</f>
        <v>0.625</v>
      </c>
      <c r="F80" s="135"/>
      <c r="G80" s="135">
        <f ca="1">((((C80/H77)*20)+((C81/H77)*25)+(30/(H77+F77+D77)*C82)+(5/H77*C83)+(5/H77*C84)+(5/H77*C85)+(5/H77*C86)+(0/H77*C87)+(0/H77*C88)+(5/H77*C89))/100)</f>
        <v>0.82499999999999996</v>
      </c>
      <c r="H80" s="137"/>
      <c r="I80" s="33" t="s">
        <v>130</v>
      </c>
      <c r="J80" s="19"/>
      <c r="K80" s="36">
        <f ca="1">H77*50%</f>
        <v>2</v>
      </c>
    </row>
    <row r="81" spans="1:11" x14ac:dyDescent="0.35">
      <c r="A81" s="104" t="s">
        <v>53</v>
      </c>
      <c r="B81" s="105"/>
      <c r="C81" s="60">
        <f ca="1">K89</f>
        <v>4</v>
      </c>
      <c r="D81" s="59">
        <f ca="1">((100/H77)*C81)/100</f>
        <v>1</v>
      </c>
      <c r="E81" s="135"/>
      <c r="F81" s="135"/>
      <c r="G81" s="135"/>
      <c r="H81" s="137"/>
      <c r="I81" s="33" t="s">
        <v>131</v>
      </c>
      <c r="J81" s="19"/>
      <c r="K81" s="36">
        <f ca="1">H77</f>
        <v>4</v>
      </c>
    </row>
    <row r="82" spans="1:11" ht="15.75" customHeight="1" x14ac:dyDescent="0.35">
      <c r="A82" s="104" t="s">
        <v>165</v>
      </c>
      <c r="B82" s="105"/>
      <c r="C82" s="60">
        <v>5</v>
      </c>
      <c r="D82" s="59">
        <f ca="1">((100/(D77+F77+H77))*C82)/100</f>
        <v>1</v>
      </c>
      <c r="E82" s="135"/>
      <c r="F82" s="135"/>
      <c r="G82" s="135"/>
      <c r="H82" s="137"/>
      <c r="I82" s="33" t="s">
        <v>132</v>
      </c>
      <c r="J82" s="19"/>
      <c r="K82" s="40">
        <f ca="1">(IF(B77=0,H77/4,(H77/(B77+4))))</f>
        <v>1</v>
      </c>
    </row>
    <row r="83" spans="1:11" ht="15.75" customHeight="1" x14ac:dyDescent="0.35">
      <c r="A83" s="104" t="s">
        <v>172</v>
      </c>
      <c r="B83" s="105" t="s">
        <v>166</v>
      </c>
      <c r="C83" s="58">
        <v>4</v>
      </c>
      <c r="D83" s="59">
        <f ca="1">((100/H77)*C83)/100</f>
        <v>1</v>
      </c>
      <c r="E83" s="135"/>
      <c r="F83" s="135"/>
      <c r="G83" s="135"/>
      <c r="H83" s="137"/>
      <c r="I83" s="33" t="s">
        <v>133</v>
      </c>
      <c r="J83" s="19"/>
      <c r="K83" s="40">
        <f ca="1">(IF(B77=0,H77/4+K82,(H77/(B77+4)+K82)))</f>
        <v>2</v>
      </c>
    </row>
    <row r="84" spans="1:11" ht="15.75" customHeight="1" x14ac:dyDescent="0.35">
      <c r="A84" s="104" t="s">
        <v>173</v>
      </c>
      <c r="B84" s="105" t="s">
        <v>166</v>
      </c>
      <c r="C84" s="58">
        <v>0</v>
      </c>
      <c r="D84" s="59">
        <f ca="1">((100/H77)*C84)/100</f>
        <v>0</v>
      </c>
      <c r="E84" s="135"/>
      <c r="F84" s="135"/>
      <c r="G84" s="135"/>
      <c r="H84" s="137"/>
      <c r="I84" s="33" t="s">
        <v>179</v>
      </c>
      <c r="J84" s="44"/>
      <c r="K84" s="40">
        <f>(IF(B77=0,0,(H77/(B77+4)+K83)))</f>
        <v>0</v>
      </c>
    </row>
    <row r="85" spans="1:11" ht="15" customHeight="1" x14ac:dyDescent="0.35">
      <c r="A85" s="104" t="s">
        <v>171</v>
      </c>
      <c r="B85" s="105" t="s">
        <v>168</v>
      </c>
      <c r="C85" s="58">
        <v>2</v>
      </c>
      <c r="D85" s="59">
        <f ca="1">((100/(H77))*C85)/100</f>
        <v>0.5</v>
      </c>
      <c r="E85" s="135"/>
      <c r="F85" s="135"/>
      <c r="G85" s="135"/>
      <c r="H85" s="137"/>
      <c r="I85" s="33" t="s">
        <v>180</v>
      </c>
      <c r="J85" s="44"/>
      <c r="K85" s="40">
        <f>(IF(B77&gt;1,(H77/(B77+4)+K84),0))</f>
        <v>0</v>
      </c>
    </row>
    <row r="86" spans="1:11" ht="15.75" customHeight="1" x14ac:dyDescent="0.35">
      <c r="A86" s="104" t="s">
        <v>167</v>
      </c>
      <c r="B86" s="105" t="s">
        <v>167</v>
      </c>
      <c r="C86" s="58">
        <v>0</v>
      </c>
      <c r="D86" s="59">
        <f ca="1">((100/H77)*C86)/100</f>
        <v>0</v>
      </c>
      <c r="E86" s="135"/>
      <c r="F86" s="135"/>
      <c r="G86" s="135"/>
      <c r="H86" s="137"/>
      <c r="I86" s="33" t="s">
        <v>181</v>
      </c>
      <c r="J86" s="39"/>
      <c r="K86" s="41">
        <f>(IF(B77&gt;2,(H77/(B77+4)+K85),0))</f>
        <v>0</v>
      </c>
    </row>
    <row r="87" spans="1:11" ht="15.75" customHeight="1" x14ac:dyDescent="0.35">
      <c r="A87" s="104" t="s">
        <v>174</v>
      </c>
      <c r="B87" s="105"/>
      <c r="C87" s="58">
        <v>0</v>
      </c>
      <c r="D87" s="59">
        <f ca="1">((100/H77)*C87)/100</f>
        <v>0</v>
      </c>
      <c r="E87" s="135"/>
      <c r="F87" s="135"/>
      <c r="G87" s="135"/>
      <c r="H87" s="137"/>
      <c r="I87" s="33" t="s">
        <v>182</v>
      </c>
      <c r="J87"/>
      <c r="K87" s="43">
        <f>(IF(B77&gt;3,(H77/(B77+4)+K86),0))</f>
        <v>0</v>
      </c>
    </row>
    <row r="88" spans="1:11" ht="15.75" customHeight="1" x14ac:dyDescent="0.35">
      <c r="A88" s="104" t="s">
        <v>169</v>
      </c>
      <c r="B88" s="105" t="s">
        <v>169</v>
      </c>
      <c r="C88" s="58">
        <v>0</v>
      </c>
      <c r="D88" s="59">
        <f ca="1">((100/(H77))*C88)/100</f>
        <v>0</v>
      </c>
      <c r="E88" s="135"/>
      <c r="F88" s="135"/>
      <c r="G88" s="135"/>
      <c r="H88" s="137"/>
      <c r="I88" s="33" t="s">
        <v>134</v>
      </c>
      <c r="J88" s="19"/>
      <c r="K88" s="40">
        <f ca="1">(IF(B77=0,H77/4+K83,(H77/(B77+4)+K83+MAX(0,K84-K83)+MAX(0,K85-K84)+MAX(0,K86-K85)+MAX(0,K87-K86))))</f>
        <v>3</v>
      </c>
    </row>
    <row r="89" spans="1:11" ht="16" thickBot="1" x14ac:dyDescent="0.4">
      <c r="A89" s="111" t="s">
        <v>170</v>
      </c>
      <c r="B89" s="112"/>
      <c r="C89" s="61">
        <v>0</v>
      </c>
      <c r="D89" s="62">
        <f ca="1">((100/(H77))*C89)/100</f>
        <v>0</v>
      </c>
      <c r="E89" s="136"/>
      <c r="F89" s="136"/>
      <c r="G89" s="136"/>
      <c r="H89" s="138"/>
      <c r="I89" s="37" t="s">
        <v>135</v>
      </c>
      <c r="J89" s="38"/>
      <c r="K89" s="42">
        <f ca="1">(IF(B77=0,H77/4+K88,(H77/(B77+4)+K88)))</f>
        <v>4</v>
      </c>
    </row>
    <row r="90" spans="1:11" ht="15.75" customHeight="1" x14ac:dyDescent="0.35">
      <c r="A90" s="99" t="s">
        <v>176</v>
      </c>
      <c r="B90" s="100"/>
      <c r="C90" s="101" t="str">
        <f>D57</f>
        <v>Wing C = Gr + 1st to 4th Floor</v>
      </c>
      <c r="D90" s="102"/>
      <c r="E90" s="102"/>
      <c r="F90" s="102"/>
      <c r="G90" s="102"/>
      <c r="H90" s="103"/>
      <c r="I90" s="15" t="str">
        <f ca="1">(IF(C94=0,"Work not yet Started.",IF(D94=25%,"Piling work in process",IF(D94=50%,"Excavation work in process",IF(D94=100%,"Excavation work completed, ","0")))&amp;(IF(C95=0%,"",IF(C95=K96,"Footing work is process",IF(C95=K97,"Footing work Completed",IF(C95=K98,"1st Basement Completed",IF(C95=K99,"1st &amp; 2nd Basement Completed",IF(C95=K100,"1st to 3rd Basement Completed",IF(C95=K101,"1st to 4th Basement Completed",IF(C95=K102,"Plinth work is process",IF(C95=K103,"Plinth work completed","0")))))))))))&amp;(IF(C96&gt;0,", RCC upto "&amp;C96&amp;" Slab completed",""))&amp;(IF(C97&gt;0,", Brickwork upto "&amp;C97&amp;" Floor completed"," "))&amp;(IF(C98&gt;0,", Internal Plaster upto "&amp;C98&amp;" Floor completed"," "))&amp;(IF(C99&gt;0,", External Plaster upto "&amp;C99&amp;" Floor completed"," "))&amp;(IF(C100&gt;0,", Flooring upto "&amp;C100&amp;" Floor completed"," "))&amp;(IF(C101&gt;0,", Painting upto "&amp;C101&amp;" Floor completed"," "))&amp;(IF(C102&gt;0,", Finishing upto "&amp;C102&amp;" Floor completed"," ")))</f>
        <v xml:space="preserve">Excavation work completed, Plinth work completed, RCC upto 5 Slab completed, Brickwork upto 4 Floor completed, Internal Plaster upto 2 Floor completed, External Plaster upto 2 Floor completed   </v>
      </c>
      <c r="J90" s="15"/>
      <c r="K90" s="16"/>
    </row>
    <row r="91" spans="1:11" x14ac:dyDescent="0.35">
      <c r="A91" s="52" t="s">
        <v>178</v>
      </c>
      <c r="B91" s="53">
        <v>0</v>
      </c>
      <c r="C91" s="53" t="s">
        <v>101</v>
      </c>
      <c r="D91" s="53">
        <v>1</v>
      </c>
      <c r="E91" s="53" t="s">
        <v>100</v>
      </c>
      <c r="F91" s="53">
        <v>0</v>
      </c>
      <c r="G91" s="53" t="s">
        <v>113</v>
      </c>
      <c r="H91" s="46">
        <f ca="1">--TRIM(RIGHT(SUBSTITUTE(LEFT(C90,_xlfn.AGGREGATE(16,6,FIND({0,1,2,3,4,5,6,7,8,9},C90,ROW(INDIRECT("1:"&amp;LEN(C90)))),1))," ",REPT(" ",LEN(C90))),LEN(C90)))</f>
        <v>4</v>
      </c>
      <c r="I91" s="14" t="s">
        <v>152</v>
      </c>
      <c r="J91" s="14"/>
      <c r="K91" s="17"/>
    </row>
    <row r="92" spans="1:11" ht="49" customHeight="1" x14ac:dyDescent="0.35">
      <c r="A92" s="113" t="s">
        <v>123</v>
      </c>
      <c r="B92" s="106"/>
      <c r="C92" s="107" t="str">
        <f ca="1">I90</f>
        <v xml:space="preserve">Excavation work completed, Plinth work completed, RCC upto 5 Slab completed, Brickwork upto 4 Floor completed, Internal Plaster upto 2 Floor completed, External Plaster upto 2 Floor completed   </v>
      </c>
      <c r="D92" s="107"/>
      <c r="E92" s="107"/>
      <c r="F92" s="107"/>
      <c r="G92" s="107"/>
      <c r="H92" s="114"/>
      <c r="I92" s="14" t="s">
        <v>136</v>
      </c>
      <c r="J92" s="14"/>
      <c r="K92" s="17"/>
    </row>
    <row r="93" spans="1:11" x14ac:dyDescent="0.35">
      <c r="A93" s="104" t="s">
        <v>52</v>
      </c>
      <c r="B93" s="105"/>
      <c r="C93" s="51" t="s">
        <v>175</v>
      </c>
      <c r="D93" s="51" t="s">
        <v>116</v>
      </c>
      <c r="E93" s="105" t="s">
        <v>118</v>
      </c>
      <c r="F93" s="105"/>
      <c r="G93" s="105" t="s">
        <v>117</v>
      </c>
      <c r="H93" s="115"/>
      <c r="I93" s="33" t="s">
        <v>177</v>
      </c>
      <c r="K93" s="18">
        <f ca="1">H91*25%</f>
        <v>1</v>
      </c>
    </row>
    <row r="94" spans="1:11" x14ac:dyDescent="0.35">
      <c r="A94" s="104" t="s">
        <v>164</v>
      </c>
      <c r="B94" s="105"/>
      <c r="C94" s="58">
        <f ca="1">K95</f>
        <v>4</v>
      </c>
      <c r="D94" s="59">
        <f ca="1">((100/H91)*C94)/100</f>
        <v>1</v>
      </c>
      <c r="E94" s="135">
        <f ca="1">(IF(C92=I91,"100%",IF(C92=I92,"100%",(((C95/H91*10)+(40/(D91+F91+H91)*C96)+(7.5/(H91)*C97)+(7.5/(H91)*C98)+(10/H91*C99)+(10/H91*C100)+(5/H91*C101)+(5/H91*C102)+(5/H91*C103))/100))))</f>
        <v>0.66249999999999998</v>
      </c>
      <c r="F94" s="135"/>
      <c r="G94" s="135">
        <f ca="1">((((C94/H91)*20)+((C95/H91)*25)+(30/(H91+F91+D91)*C96)+(5/H91*C97)+(5/H91*C98)+(5/H91*C99)+(5/H91*C100)+(0/H91*C101)+(0/H91*C102)+(5/H91*C103))/100)</f>
        <v>0.85</v>
      </c>
      <c r="H94" s="137"/>
      <c r="I94" s="33" t="s">
        <v>130</v>
      </c>
      <c r="J94" s="19"/>
      <c r="K94" s="36">
        <f ca="1">H91*50%</f>
        <v>2</v>
      </c>
    </row>
    <row r="95" spans="1:11" x14ac:dyDescent="0.35">
      <c r="A95" s="104" t="s">
        <v>53</v>
      </c>
      <c r="B95" s="105"/>
      <c r="C95" s="60">
        <v>4</v>
      </c>
      <c r="D95" s="59">
        <f ca="1">((100/H91)*C95)/100</f>
        <v>1</v>
      </c>
      <c r="E95" s="135"/>
      <c r="F95" s="135"/>
      <c r="G95" s="135"/>
      <c r="H95" s="137"/>
      <c r="I95" s="33" t="s">
        <v>131</v>
      </c>
      <c r="J95" s="19"/>
      <c r="K95" s="36">
        <f ca="1">H91</f>
        <v>4</v>
      </c>
    </row>
    <row r="96" spans="1:11" ht="15.75" customHeight="1" x14ac:dyDescent="0.35">
      <c r="A96" s="129" t="s">
        <v>165</v>
      </c>
      <c r="B96" s="130"/>
      <c r="C96" s="60">
        <v>5</v>
      </c>
      <c r="D96" s="59">
        <f ca="1">((100/(D91+F91+H91))*C96)/100</f>
        <v>1</v>
      </c>
      <c r="E96" s="135"/>
      <c r="F96" s="135"/>
      <c r="G96" s="135"/>
      <c r="H96" s="137"/>
      <c r="I96" s="33" t="s">
        <v>132</v>
      </c>
      <c r="J96" s="19"/>
      <c r="K96" s="40">
        <f ca="1">(IF(B91=0,H91/4,(H91/(B91+4))))</f>
        <v>1</v>
      </c>
    </row>
    <row r="97" spans="1:12" ht="15.75" customHeight="1" x14ac:dyDescent="0.35">
      <c r="A97" s="104" t="s">
        <v>172</v>
      </c>
      <c r="B97" s="105" t="s">
        <v>166</v>
      </c>
      <c r="C97" s="58">
        <v>4</v>
      </c>
      <c r="D97" s="59">
        <f ca="1">((100/H91)*C97)/100</f>
        <v>1</v>
      </c>
      <c r="E97" s="135"/>
      <c r="F97" s="135"/>
      <c r="G97" s="135"/>
      <c r="H97" s="137"/>
      <c r="I97" s="33" t="s">
        <v>133</v>
      </c>
      <c r="J97" s="19"/>
      <c r="K97" s="40">
        <f ca="1">(IF(B91=0,H91/4+K96,(H91/(B91+4)+K96)))</f>
        <v>2</v>
      </c>
    </row>
    <row r="98" spans="1:12" ht="15.75" customHeight="1" x14ac:dyDescent="0.35">
      <c r="A98" s="104" t="s">
        <v>173</v>
      </c>
      <c r="B98" s="105" t="s">
        <v>166</v>
      </c>
      <c r="C98" s="58">
        <v>2</v>
      </c>
      <c r="D98" s="59">
        <f ca="1">((100/H91)*C98)/100</f>
        <v>0.5</v>
      </c>
      <c r="E98" s="135"/>
      <c r="F98" s="135"/>
      <c r="G98" s="135"/>
      <c r="H98" s="137"/>
      <c r="I98" s="33" t="s">
        <v>179</v>
      </c>
      <c r="J98" s="44"/>
      <c r="K98" s="40">
        <f>(IF(B91=0,0,(H91/(B91+4)+K97)))</f>
        <v>0</v>
      </c>
    </row>
    <row r="99" spans="1:12" ht="15" customHeight="1" x14ac:dyDescent="0.35">
      <c r="A99" s="104" t="s">
        <v>171</v>
      </c>
      <c r="B99" s="105" t="s">
        <v>168</v>
      </c>
      <c r="C99" s="58">
        <v>2</v>
      </c>
      <c r="D99" s="59">
        <f ca="1">((100/(H91))*C99)/100</f>
        <v>0.5</v>
      </c>
      <c r="E99" s="135"/>
      <c r="F99" s="135"/>
      <c r="G99" s="135"/>
      <c r="H99" s="137"/>
      <c r="I99" s="33" t="s">
        <v>180</v>
      </c>
      <c r="J99" s="44"/>
      <c r="K99" s="40">
        <f>(IF(B91&gt;1,(H91/(B91+4)+K98),0))</f>
        <v>0</v>
      </c>
    </row>
    <row r="100" spans="1:12" ht="15.75" customHeight="1" x14ac:dyDescent="0.35">
      <c r="A100" s="104" t="s">
        <v>167</v>
      </c>
      <c r="B100" s="105" t="s">
        <v>167</v>
      </c>
      <c r="C100" s="58">
        <v>0</v>
      </c>
      <c r="D100" s="59">
        <f ca="1">((100/H91)*C100)/100</f>
        <v>0</v>
      </c>
      <c r="E100" s="135"/>
      <c r="F100" s="135"/>
      <c r="G100" s="135"/>
      <c r="H100" s="137"/>
      <c r="I100" s="33" t="s">
        <v>181</v>
      </c>
      <c r="J100" s="39"/>
      <c r="K100" s="41">
        <f>(IF(B91&gt;2,(H91/(B91+4)+K99),0))</f>
        <v>0</v>
      </c>
    </row>
    <row r="101" spans="1:12" ht="15.75" customHeight="1" x14ac:dyDescent="0.35">
      <c r="A101" s="104" t="s">
        <v>174</v>
      </c>
      <c r="B101" s="105"/>
      <c r="C101" s="58">
        <v>0</v>
      </c>
      <c r="D101" s="59">
        <f ca="1">((100/H91)*C101)/100</f>
        <v>0</v>
      </c>
      <c r="E101" s="135"/>
      <c r="F101" s="135"/>
      <c r="G101" s="135"/>
      <c r="H101" s="137"/>
      <c r="I101" s="33" t="s">
        <v>182</v>
      </c>
      <c r="J101"/>
      <c r="K101" s="43">
        <f>(IF(B91&gt;3,(H91/(B91+4)+K100),0))</f>
        <v>0</v>
      </c>
    </row>
    <row r="102" spans="1:12" ht="15.75" customHeight="1" x14ac:dyDescent="0.35">
      <c r="A102" s="104" t="s">
        <v>169</v>
      </c>
      <c r="B102" s="105" t="s">
        <v>169</v>
      </c>
      <c r="C102" s="58">
        <v>0</v>
      </c>
      <c r="D102" s="59">
        <f ca="1">((100/(H91))*C102)/100</f>
        <v>0</v>
      </c>
      <c r="E102" s="135"/>
      <c r="F102" s="135"/>
      <c r="G102" s="135"/>
      <c r="H102" s="137"/>
      <c r="I102" s="33" t="s">
        <v>134</v>
      </c>
      <c r="J102" s="19"/>
      <c r="K102" s="40">
        <f ca="1">(IF(B91=0,H91/4+K97,(H91/(B91+4)+K97+MAX(0,K98-K97)+MAX(0,K99-K98)+MAX(0,K100-K99)+MAX(0,K101-K100))))</f>
        <v>3</v>
      </c>
    </row>
    <row r="103" spans="1:12" ht="16" thickBot="1" x14ac:dyDescent="0.4">
      <c r="A103" s="111" t="s">
        <v>170</v>
      </c>
      <c r="B103" s="112"/>
      <c r="C103" s="61">
        <v>0</v>
      </c>
      <c r="D103" s="62">
        <f ca="1">((100/(H91))*C103)/100</f>
        <v>0</v>
      </c>
      <c r="E103" s="136"/>
      <c r="F103" s="136"/>
      <c r="G103" s="136"/>
      <c r="H103" s="138"/>
      <c r="I103" s="37" t="s">
        <v>135</v>
      </c>
      <c r="J103" s="38"/>
      <c r="K103" s="42">
        <f ca="1">(IF(B91=0,H91/4+K102,(H91/(B91+4)+K102)))</f>
        <v>4</v>
      </c>
    </row>
    <row r="104" spans="1:12" x14ac:dyDescent="0.35">
      <c r="A104" s="108" t="s">
        <v>153</v>
      </c>
      <c r="B104" s="109"/>
      <c r="C104" s="109"/>
      <c r="D104" s="109"/>
      <c r="E104" s="110"/>
      <c r="F104" s="108" t="str">
        <f ca="1">(IF(G66="100%","Yes",IF(G66&gt;0%,"Under Construction",IF(G66=0%,"Work not yet Started"))))</f>
        <v>Under Construction</v>
      </c>
      <c r="G104" s="109"/>
      <c r="H104" s="110"/>
    </row>
    <row r="105" spans="1:12" x14ac:dyDescent="0.35">
      <c r="A105" s="68" t="s">
        <v>54</v>
      </c>
      <c r="B105" s="68"/>
      <c r="C105" s="68"/>
      <c r="D105" s="68"/>
      <c r="E105" s="68"/>
      <c r="F105" s="68"/>
      <c r="G105" s="68"/>
      <c r="H105" s="68"/>
    </row>
    <row r="106" spans="1:12" ht="15" customHeight="1" x14ac:dyDescent="0.35">
      <c r="A106" s="106" t="s">
        <v>104</v>
      </c>
      <c r="B106" s="106"/>
      <c r="C106" s="107" t="s">
        <v>105</v>
      </c>
      <c r="D106" s="107"/>
      <c r="E106" s="107"/>
      <c r="F106" s="107"/>
      <c r="G106" s="107"/>
      <c r="H106" s="107"/>
    </row>
    <row r="107" spans="1:12" x14ac:dyDescent="0.35">
      <c r="A107" s="134" t="s">
        <v>55</v>
      </c>
      <c r="B107" s="134"/>
      <c r="C107" s="134"/>
      <c r="D107" s="134"/>
      <c r="E107" s="134"/>
      <c r="F107" s="134"/>
      <c r="G107" s="134"/>
      <c r="H107" s="134"/>
    </row>
    <row r="108" spans="1:12" x14ac:dyDescent="0.35">
      <c r="A108" s="68" t="s">
        <v>106</v>
      </c>
      <c r="B108" s="68"/>
      <c r="C108" s="68"/>
      <c r="D108" s="68"/>
      <c r="E108" s="68"/>
      <c r="F108" s="106">
        <v>3300</v>
      </c>
      <c r="G108" s="106"/>
      <c r="H108" s="106"/>
      <c r="I108" s="66" t="s">
        <v>239</v>
      </c>
      <c r="J108" s="66" t="s">
        <v>236</v>
      </c>
      <c r="K108" s="67">
        <v>44922</v>
      </c>
      <c r="L108" s="66" t="s">
        <v>240</v>
      </c>
    </row>
    <row r="109" spans="1:12" x14ac:dyDescent="0.35">
      <c r="A109" s="68" t="s">
        <v>112</v>
      </c>
      <c r="B109" s="68"/>
      <c r="C109" s="68"/>
      <c r="D109" s="68"/>
      <c r="E109" s="68"/>
      <c r="F109" s="116">
        <v>5200</v>
      </c>
      <c r="G109" s="116"/>
      <c r="H109" s="116"/>
    </row>
    <row r="110" spans="1:12" s="12" customFormat="1" x14ac:dyDescent="0.3">
      <c r="A110" s="68" t="s">
        <v>128</v>
      </c>
      <c r="B110" s="68"/>
      <c r="C110" s="68"/>
      <c r="D110" s="68"/>
      <c r="E110" s="68"/>
      <c r="F110" s="123" t="s">
        <v>229</v>
      </c>
      <c r="G110" s="116"/>
      <c r="H110" s="116"/>
    </row>
    <row r="111" spans="1:12" s="12" customFormat="1" hidden="1" x14ac:dyDescent="0.3">
      <c r="A111" s="68" t="s">
        <v>214</v>
      </c>
      <c r="B111" s="68"/>
      <c r="C111" s="68"/>
      <c r="D111" s="68"/>
      <c r="E111" s="68"/>
      <c r="F111" s="116" t="s">
        <v>215</v>
      </c>
      <c r="G111" s="116"/>
      <c r="H111" s="116"/>
    </row>
    <row r="112" spans="1:12" s="12" customFormat="1" x14ac:dyDescent="0.3">
      <c r="A112" s="68" t="s">
        <v>233</v>
      </c>
      <c r="B112" s="68"/>
      <c r="C112" s="68"/>
      <c r="D112" s="68"/>
      <c r="E112" s="68"/>
      <c r="F112" s="116" t="s">
        <v>234</v>
      </c>
      <c r="G112" s="116"/>
      <c r="H112" s="116"/>
    </row>
    <row r="113" spans="1:8" s="12" customFormat="1" x14ac:dyDescent="0.3">
      <c r="A113" s="68" t="s">
        <v>231</v>
      </c>
      <c r="B113" s="68"/>
      <c r="C113" s="68"/>
      <c r="D113" s="68"/>
      <c r="E113" s="68"/>
      <c r="F113" s="116" t="s">
        <v>232</v>
      </c>
      <c r="G113" s="116"/>
      <c r="H113" s="116"/>
    </row>
    <row r="114" spans="1:8" s="12" customFormat="1" x14ac:dyDescent="0.3">
      <c r="A114" s="68" t="s">
        <v>129</v>
      </c>
      <c r="B114" s="68"/>
      <c r="C114" s="68"/>
      <c r="D114" s="68"/>
      <c r="E114" s="68"/>
      <c r="F114" s="116" t="s">
        <v>230</v>
      </c>
      <c r="G114" s="116"/>
      <c r="H114" s="116"/>
    </row>
    <row r="115" spans="1:8" x14ac:dyDescent="0.35">
      <c r="A115" s="68" t="s">
        <v>56</v>
      </c>
      <c r="B115" s="68"/>
      <c r="C115" s="68"/>
      <c r="D115" s="68"/>
      <c r="E115" s="68"/>
      <c r="F115" s="123" t="s">
        <v>222</v>
      </c>
      <c r="G115" s="123"/>
      <c r="H115" s="123"/>
    </row>
    <row r="116" spans="1:8" s="9" customFormat="1" x14ac:dyDescent="0.35">
      <c r="A116" s="134" t="s">
        <v>57</v>
      </c>
      <c r="B116" s="134"/>
      <c r="C116" s="134"/>
      <c r="D116" s="134"/>
      <c r="E116" s="134"/>
      <c r="F116" s="116">
        <f>F108*0.8</f>
        <v>2640</v>
      </c>
      <c r="G116" s="116"/>
      <c r="H116" s="116"/>
    </row>
    <row r="117" spans="1:8" s="1" customFormat="1" ht="15.75" customHeight="1" x14ac:dyDescent="0.35">
      <c r="A117" s="133" t="s">
        <v>212</v>
      </c>
      <c r="B117" s="133"/>
      <c r="C117" s="133"/>
      <c r="D117" s="133"/>
      <c r="E117" s="133"/>
      <c r="F117" s="133"/>
      <c r="G117" s="133"/>
      <c r="H117" s="133"/>
    </row>
    <row r="118" spans="1:8" s="1" customFormat="1" ht="15.75" customHeight="1" x14ac:dyDescent="0.35">
      <c r="A118" s="73" t="s">
        <v>58</v>
      </c>
      <c r="B118" s="73"/>
      <c r="C118" s="71" t="s">
        <v>109</v>
      </c>
      <c r="D118" s="71"/>
      <c r="E118" s="72" t="s">
        <v>59</v>
      </c>
      <c r="F118" s="72"/>
      <c r="G118" s="73" t="s">
        <v>60</v>
      </c>
      <c r="H118" s="73"/>
    </row>
    <row r="119" spans="1:8" s="1" customFormat="1" ht="15.75" customHeight="1" x14ac:dyDescent="0.35">
      <c r="A119" s="82" t="s">
        <v>199</v>
      </c>
      <c r="B119" s="82"/>
      <c r="C119" s="83">
        <f>COUNT(D134:D143)</f>
        <v>10</v>
      </c>
      <c r="D119" s="83"/>
      <c r="E119" s="84">
        <f>SUM(D134:D143)</f>
        <v>961.87103999999988</v>
      </c>
      <c r="F119" s="85"/>
      <c r="G119" s="84">
        <f>SUM(F134:F143)</f>
        <v>2142</v>
      </c>
      <c r="H119" s="85"/>
    </row>
    <row r="120" spans="1:8" s="1" customFormat="1" ht="15.75" customHeight="1" x14ac:dyDescent="0.35">
      <c r="A120" s="82" t="s">
        <v>197</v>
      </c>
      <c r="B120" s="82"/>
      <c r="C120" s="83">
        <f>COUNT(D146:D150)</f>
        <v>5</v>
      </c>
      <c r="D120" s="83"/>
      <c r="E120" s="84">
        <f>SUM(D146:D150)</f>
        <v>423.02519999999998</v>
      </c>
      <c r="F120" s="85"/>
      <c r="G120" s="84">
        <f>SUM(F146:F150)</f>
        <v>844</v>
      </c>
      <c r="H120" s="85"/>
    </row>
    <row r="121" spans="1:8" s="1" customFormat="1" ht="15.75" customHeight="1" x14ac:dyDescent="0.35">
      <c r="A121" s="82" t="s">
        <v>198</v>
      </c>
      <c r="B121" s="82"/>
      <c r="C121" s="83">
        <f>COUNT(D153:D162)</f>
        <v>10</v>
      </c>
      <c r="D121" s="83"/>
      <c r="E121" s="84">
        <f>SUM(D153:D162)</f>
        <v>1045.6149599999999</v>
      </c>
      <c r="F121" s="85"/>
      <c r="G121" s="84">
        <f>SUM(F153:F162)</f>
        <v>2134</v>
      </c>
      <c r="H121" s="85"/>
    </row>
    <row r="122" spans="1:8" s="1" customFormat="1" x14ac:dyDescent="0.35">
      <c r="A122" s="133" t="s">
        <v>62</v>
      </c>
      <c r="B122" s="133"/>
      <c r="C122" s="71">
        <f>SUM(C119:D121)</f>
        <v>25</v>
      </c>
      <c r="D122" s="71"/>
      <c r="E122" s="169">
        <f>SUM(E119:F121)</f>
        <v>2430.5111999999999</v>
      </c>
      <c r="F122" s="72"/>
      <c r="G122" s="73">
        <f>SUM(G119:H121)</f>
        <v>5120</v>
      </c>
      <c r="H122" s="73"/>
    </row>
    <row r="123" spans="1:8" s="1" customFormat="1" x14ac:dyDescent="0.35">
      <c r="A123" s="133" t="s">
        <v>99</v>
      </c>
      <c r="B123" s="133"/>
      <c r="C123" s="133"/>
      <c r="D123" s="133"/>
      <c r="E123" s="133"/>
      <c r="F123" s="133"/>
      <c r="G123" s="133"/>
      <c r="H123" s="133"/>
    </row>
    <row r="124" spans="1:8" s="1" customFormat="1" ht="15.75" customHeight="1" x14ac:dyDescent="0.35">
      <c r="A124" s="73" t="s">
        <v>58</v>
      </c>
      <c r="B124" s="73"/>
      <c r="C124" s="71" t="s">
        <v>109</v>
      </c>
      <c r="D124" s="71"/>
      <c r="E124" s="72" t="s">
        <v>59</v>
      </c>
      <c r="F124" s="72"/>
      <c r="G124" s="73" t="s">
        <v>60</v>
      </c>
      <c r="H124" s="73"/>
    </row>
    <row r="125" spans="1:8" s="1" customFormat="1" ht="15.75" customHeight="1" x14ac:dyDescent="0.35">
      <c r="A125" s="82" t="s">
        <v>199</v>
      </c>
      <c r="B125" s="82"/>
      <c r="C125" s="83">
        <f>COUNT(D167:D172)*4</f>
        <v>24</v>
      </c>
      <c r="D125" s="83"/>
      <c r="E125" s="84">
        <f>SUM(D167:D172)*4</f>
        <v>7508.1052799999998</v>
      </c>
      <c r="F125" s="85"/>
      <c r="G125" s="84">
        <f>SUM(F167:F172)*4</f>
        <v>11100</v>
      </c>
      <c r="H125" s="85"/>
    </row>
    <row r="126" spans="1:8" s="1" customFormat="1" ht="15.75" customHeight="1" x14ac:dyDescent="0.35">
      <c r="A126" s="82" t="s">
        <v>197</v>
      </c>
      <c r="B126" s="82"/>
      <c r="C126" s="83">
        <f>COUNT(D175:D180)*4</f>
        <v>24</v>
      </c>
      <c r="D126" s="83"/>
      <c r="E126" s="84">
        <f>SUM(D175:D180)*4</f>
        <v>7748.357759999999</v>
      </c>
      <c r="F126" s="85"/>
      <c r="G126" s="84">
        <f>SUM(F175:F180)*4</f>
        <v>11380</v>
      </c>
      <c r="H126" s="85"/>
    </row>
    <row r="127" spans="1:8" s="1" customFormat="1" ht="15.75" customHeight="1" x14ac:dyDescent="0.35">
      <c r="A127" s="82" t="s">
        <v>198</v>
      </c>
      <c r="B127" s="82"/>
      <c r="C127" s="83">
        <f>COUNT(D183:D188)*4</f>
        <v>24</v>
      </c>
      <c r="D127" s="83"/>
      <c r="E127" s="84">
        <f>SUM(D183:D188)*4</f>
        <v>7760.8440000000001</v>
      </c>
      <c r="F127" s="85"/>
      <c r="G127" s="84">
        <f>SUM(F183:F188)*4</f>
        <v>11180</v>
      </c>
      <c r="H127" s="85"/>
    </row>
    <row r="128" spans="1:8" s="1" customFormat="1" ht="15.75" customHeight="1" x14ac:dyDescent="0.35">
      <c r="A128" s="133" t="s">
        <v>62</v>
      </c>
      <c r="B128" s="133"/>
      <c r="C128" s="71">
        <f>SUM(C125:D127)</f>
        <v>72</v>
      </c>
      <c r="D128" s="71"/>
      <c r="E128" s="169">
        <f>SUM(E125:F127)</f>
        <v>23017.30704</v>
      </c>
      <c r="F128" s="72"/>
      <c r="G128" s="73">
        <f>SUM(G125:H127)</f>
        <v>33660</v>
      </c>
      <c r="H128" s="73"/>
    </row>
    <row r="129" spans="1:14" s="9" customFormat="1" x14ac:dyDescent="0.35">
      <c r="A129" s="74" t="s">
        <v>63</v>
      </c>
      <c r="B129" s="74"/>
      <c r="C129" s="74"/>
      <c r="D129" s="74"/>
      <c r="E129" s="74"/>
      <c r="F129" s="74"/>
      <c r="G129" s="74"/>
      <c r="H129" s="74"/>
    </row>
    <row r="130" spans="1:14" x14ac:dyDescent="0.35">
      <c r="A130" s="74" t="s">
        <v>64</v>
      </c>
      <c r="B130" s="74"/>
      <c r="C130" s="74"/>
      <c r="D130" s="74"/>
      <c r="E130" s="74"/>
      <c r="F130" s="74"/>
      <c r="G130" s="74"/>
      <c r="H130" s="74"/>
    </row>
    <row r="131" spans="1:14" ht="47.25" customHeight="1" x14ac:dyDescent="0.35">
      <c r="A131" s="48" t="s">
        <v>154</v>
      </c>
      <c r="B131" s="56" t="s">
        <v>226</v>
      </c>
      <c r="C131" s="48" t="s">
        <v>65</v>
      </c>
      <c r="D131" s="48" t="s">
        <v>66</v>
      </c>
      <c r="E131" s="49" t="s">
        <v>67</v>
      </c>
      <c r="F131" s="48" t="s">
        <v>227</v>
      </c>
      <c r="G131" s="75" t="s">
        <v>68</v>
      </c>
      <c r="H131" s="76"/>
    </row>
    <row r="132" spans="1:14" s="2" customFormat="1" x14ac:dyDescent="0.35">
      <c r="A132" s="77" t="s">
        <v>186</v>
      </c>
      <c r="B132" s="78"/>
      <c r="C132" s="78"/>
      <c r="D132" s="78"/>
      <c r="E132" s="78"/>
      <c r="F132" s="78"/>
      <c r="G132" s="78"/>
      <c r="H132" s="79"/>
    </row>
    <row r="133" spans="1:14" s="2" customFormat="1" x14ac:dyDescent="0.35">
      <c r="A133" s="77" t="s">
        <v>195</v>
      </c>
      <c r="B133" s="78"/>
      <c r="C133" s="78"/>
      <c r="D133" s="78"/>
      <c r="E133" s="78"/>
      <c r="F133" s="78"/>
      <c r="G133" s="78"/>
      <c r="H133" s="79"/>
    </row>
    <row r="134" spans="1:14" s="2" customFormat="1" ht="15.75" customHeight="1" x14ac:dyDescent="0.35">
      <c r="A134" s="80">
        <v>1</v>
      </c>
      <c r="B134" s="81"/>
      <c r="C134" s="45" t="s">
        <v>196</v>
      </c>
      <c r="D134" s="45">
        <f>8.68*10.764</f>
        <v>93.431519999999992</v>
      </c>
      <c r="E134" s="45">
        <v>0</v>
      </c>
      <c r="F134" s="45">
        <v>208</v>
      </c>
      <c r="G134" s="159" t="str">
        <f>A133</f>
        <v>Ground Floor for Commercial &amp; Parking</v>
      </c>
      <c r="H134" s="160"/>
      <c r="I134" s="32">
        <f>301/D134</f>
        <v>3.2216108653696316</v>
      </c>
      <c r="L134" s="167"/>
      <c r="M134" s="167"/>
      <c r="N134" s="32"/>
    </row>
    <row r="135" spans="1:14" s="2" customFormat="1" ht="15.75" customHeight="1" x14ac:dyDescent="0.35">
      <c r="A135" s="80">
        <f>A134+1</f>
        <v>2</v>
      </c>
      <c r="B135" s="81"/>
      <c r="C135" s="45" t="s">
        <v>196</v>
      </c>
      <c r="D135" s="45">
        <f>10.45*10.764</f>
        <v>112.48379999999999</v>
      </c>
      <c r="E135" s="45">
        <v>0</v>
      </c>
      <c r="F135" s="45">
        <v>224</v>
      </c>
      <c r="G135" s="161"/>
      <c r="H135" s="162"/>
      <c r="I135" s="32"/>
      <c r="L135" s="167"/>
      <c r="M135" s="167"/>
      <c r="N135" s="32"/>
    </row>
    <row r="136" spans="1:14" s="2" customFormat="1" ht="15.75" customHeight="1" x14ac:dyDescent="0.35">
      <c r="A136" s="80">
        <f t="shared" ref="A136:A138" si="0">A135+1</f>
        <v>3</v>
      </c>
      <c r="B136" s="81"/>
      <c r="C136" s="45" t="s">
        <v>196</v>
      </c>
      <c r="D136" s="45">
        <f>10.45*10.764</f>
        <v>112.48379999999999</v>
      </c>
      <c r="E136" s="45">
        <v>0</v>
      </c>
      <c r="F136" s="45">
        <v>304</v>
      </c>
      <c r="G136" s="161"/>
      <c r="H136" s="162"/>
      <c r="I136" s="32"/>
      <c r="L136" s="167"/>
      <c r="M136" s="167"/>
      <c r="N136" s="32"/>
    </row>
    <row r="137" spans="1:14" s="2" customFormat="1" ht="15.75" customHeight="1" x14ac:dyDescent="0.35">
      <c r="A137" s="80">
        <f t="shared" si="0"/>
        <v>4</v>
      </c>
      <c r="B137" s="81"/>
      <c r="C137" s="45" t="s">
        <v>196</v>
      </c>
      <c r="D137" s="45">
        <f>9.69*10.764</f>
        <v>104.30315999999999</v>
      </c>
      <c r="E137" s="45">
        <v>0</v>
      </c>
      <c r="F137" s="45">
        <v>282</v>
      </c>
      <c r="G137" s="161"/>
      <c r="H137" s="162"/>
      <c r="I137" s="32"/>
      <c r="L137" s="167"/>
      <c r="M137" s="167"/>
      <c r="N137" s="32"/>
    </row>
    <row r="138" spans="1:14" s="2" customFormat="1" ht="15.75" customHeight="1" x14ac:dyDescent="0.35">
      <c r="A138" s="80">
        <f t="shared" si="0"/>
        <v>5</v>
      </c>
      <c r="B138" s="81"/>
      <c r="C138" s="45" t="s">
        <v>196</v>
      </c>
      <c r="D138" s="45">
        <f>5.48*10.764</f>
        <v>58.986719999999998</v>
      </c>
      <c r="E138" s="45">
        <v>0</v>
      </c>
      <c r="F138" s="45">
        <v>118</v>
      </c>
      <c r="G138" s="161"/>
      <c r="H138" s="162"/>
      <c r="I138" s="32"/>
      <c r="L138" s="167"/>
      <c r="M138" s="167"/>
      <c r="N138" s="32"/>
    </row>
    <row r="139" spans="1:14" s="2" customFormat="1" ht="15.75" customHeight="1" x14ac:dyDescent="0.35">
      <c r="A139" s="80">
        <f t="shared" ref="A139:A140" si="1">A138+1</f>
        <v>6</v>
      </c>
      <c r="B139" s="81"/>
      <c r="C139" s="45" t="s">
        <v>196</v>
      </c>
      <c r="D139" s="45">
        <f>6.76*10.764</f>
        <v>72.76464</v>
      </c>
      <c r="E139" s="45">
        <v>0</v>
      </c>
      <c r="F139" s="45">
        <v>188</v>
      </c>
      <c r="G139" s="161"/>
      <c r="H139" s="162"/>
      <c r="I139" s="32"/>
      <c r="L139" s="167"/>
      <c r="M139" s="167"/>
      <c r="N139" s="32"/>
    </row>
    <row r="140" spans="1:14" s="2" customFormat="1" ht="15.75" customHeight="1" x14ac:dyDescent="0.35">
      <c r="A140" s="80">
        <f t="shared" si="1"/>
        <v>7</v>
      </c>
      <c r="B140" s="81"/>
      <c r="C140" s="45" t="s">
        <v>196</v>
      </c>
      <c r="D140" s="45">
        <f>8.78*10.764</f>
        <v>94.507919999999984</v>
      </c>
      <c r="E140" s="45">
        <v>0</v>
      </c>
      <c r="F140" s="45">
        <v>190</v>
      </c>
      <c r="G140" s="161"/>
      <c r="H140" s="162"/>
      <c r="I140" s="32"/>
      <c r="L140" s="167"/>
      <c r="M140" s="167"/>
      <c r="N140" s="32"/>
    </row>
    <row r="141" spans="1:14" s="2" customFormat="1" ht="15.75" customHeight="1" x14ac:dyDescent="0.35">
      <c r="A141" s="80">
        <f>A140+1</f>
        <v>8</v>
      </c>
      <c r="B141" s="81"/>
      <c r="C141" s="45" t="s">
        <v>196</v>
      </c>
      <c r="D141" s="45">
        <f>10.73*10.764</f>
        <v>115.49772</v>
      </c>
      <c r="E141" s="45">
        <v>0</v>
      </c>
      <c r="F141" s="45">
        <v>232</v>
      </c>
      <c r="G141" s="161"/>
      <c r="H141" s="162"/>
      <c r="I141" s="32"/>
      <c r="L141" s="167"/>
      <c r="M141" s="167"/>
      <c r="N141" s="32"/>
    </row>
    <row r="142" spans="1:14" s="2" customFormat="1" ht="15.75" customHeight="1" x14ac:dyDescent="0.35">
      <c r="A142" s="80">
        <f t="shared" ref="A142:A162" si="2">A141+1</f>
        <v>9</v>
      </c>
      <c r="B142" s="81"/>
      <c r="C142" s="45" t="s">
        <v>196</v>
      </c>
      <c r="D142" s="45">
        <f>10.73*10.764</f>
        <v>115.49772</v>
      </c>
      <c r="E142" s="45">
        <v>0</v>
      </c>
      <c r="F142" s="45">
        <v>232</v>
      </c>
      <c r="G142" s="161"/>
      <c r="H142" s="162"/>
      <c r="I142" s="32"/>
      <c r="L142" s="167"/>
      <c r="M142" s="167"/>
      <c r="N142" s="32"/>
    </row>
    <row r="143" spans="1:14" s="2" customFormat="1" ht="15.75" customHeight="1" x14ac:dyDescent="0.35">
      <c r="A143" s="80">
        <f t="shared" si="2"/>
        <v>10</v>
      </c>
      <c r="B143" s="81"/>
      <c r="C143" s="45" t="s">
        <v>196</v>
      </c>
      <c r="D143" s="45">
        <f>7.61*10.764</f>
        <v>81.91404</v>
      </c>
      <c r="E143" s="45">
        <v>0</v>
      </c>
      <c r="F143" s="45">
        <v>164</v>
      </c>
      <c r="G143" s="163"/>
      <c r="H143" s="164"/>
      <c r="I143" s="32"/>
      <c r="L143" s="167"/>
      <c r="M143" s="167"/>
      <c r="N143" s="32"/>
    </row>
    <row r="144" spans="1:14" s="2" customFormat="1" x14ac:dyDescent="0.35">
      <c r="A144" s="77" t="s">
        <v>197</v>
      </c>
      <c r="B144" s="78"/>
      <c r="C144" s="78"/>
      <c r="D144" s="78"/>
      <c r="E144" s="78"/>
      <c r="F144" s="78"/>
      <c r="G144" s="78"/>
      <c r="H144" s="79"/>
      <c r="I144" s="32"/>
      <c r="N144" s="32"/>
    </row>
    <row r="145" spans="1:14" s="2" customFormat="1" x14ac:dyDescent="0.35">
      <c r="A145" s="77" t="s">
        <v>195</v>
      </c>
      <c r="B145" s="78"/>
      <c r="C145" s="78"/>
      <c r="D145" s="78"/>
      <c r="E145" s="78"/>
      <c r="F145" s="78"/>
      <c r="G145" s="78"/>
      <c r="H145" s="79"/>
      <c r="I145" s="32"/>
      <c r="N145" s="32"/>
    </row>
    <row r="146" spans="1:14" s="2" customFormat="1" ht="15.75" customHeight="1" x14ac:dyDescent="0.35">
      <c r="A146" s="80">
        <f>A143+1</f>
        <v>11</v>
      </c>
      <c r="B146" s="81"/>
      <c r="C146" s="45" t="s">
        <v>196</v>
      </c>
      <c r="D146" s="45">
        <f>5.78*10.764</f>
        <v>62.215919999999997</v>
      </c>
      <c r="E146" s="45">
        <v>0</v>
      </c>
      <c r="F146" s="45">
        <v>124</v>
      </c>
      <c r="G146" s="159" t="str">
        <f>A145</f>
        <v>Ground Floor for Commercial &amp; Parking</v>
      </c>
      <c r="H146" s="160"/>
      <c r="I146" s="32"/>
      <c r="L146" s="167"/>
      <c r="M146" s="167"/>
      <c r="N146" s="32"/>
    </row>
    <row r="147" spans="1:14" s="2" customFormat="1" ht="15.75" customHeight="1" x14ac:dyDescent="0.35">
      <c r="A147" s="80">
        <f t="shared" si="2"/>
        <v>12</v>
      </c>
      <c r="B147" s="81"/>
      <c r="C147" s="45" t="s">
        <v>196</v>
      </c>
      <c r="D147" s="45">
        <f>4.73*10.764</f>
        <v>50.913720000000005</v>
      </c>
      <c r="E147" s="45">
        <v>0</v>
      </c>
      <c r="F147" s="45">
        <v>102</v>
      </c>
      <c r="G147" s="161"/>
      <c r="H147" s="162"/>
      <c r="I147" s="32"/>
      <c r="L147" s="167"/>
      <c r="M147" s="167"/>
      <c r="N147" s="32"/>
    </row>
    <row r="148" spans="1:14" s="2" customFormat="1" ht="15.75" customHeight="1" x14ac:dyDescent="0.35">
      <c r="A148" s="80">
        <f t="shared" si="2"/>
        <v>13</v>
      </c>
      <c r="B148" s="81"/>
      <c r="C148" s="45" t="s">
        <v>196</v>
      </c>
      <c r="D148" s="45">
        <f>10.73*10.764</f>
        <v>115.49772</v>
      </c>
      <c r="E148" s="45">
        <v>0</v>
      </c>
      <c r="F148" s="45">
        <v>230</v>
      </c>
      <c r="G148" s="161"/>
      <c r="H148" s="162"/>
      <c r="I148" s="32"/>
      <c r="L148" s="167"/>
      <c r="M148" s="167"/>
      <c r="N148" s="32"/>
    </row>
    <row r="149" spans="1:14" s="2" customFormat="1" ht="15.75" customHeight="1" x14ac:dyDescent="0.35">
      <c r="A149" s="80">
        <f>A148+1</f>
        <v>14</v>
      </c>
      <c r="B149" s="81"/>
      <c r="C149" s="45" t="s">
        <v>196</v>
      </c>
      <c r="D149" s="45">
        <f>10.45*10.764</f>
        <v>112.48379999999999</v>
      </c>
      <c r="E149" s="45">
        <v>0</v>
      </c>
      <c r="F149" s="45">
        <v>224</v>
      </c>
      <c r="G149" s="161"/>
      <c r="H149" s="162"/>
      <c r="I149" s="32"/>
      <c r="L149" s="167"/>
      <c r="M149" s="167"/>
      <c r="N149" s="32"/>
    </row>
    <row r="150" spans="1:14" s="2" customFormat="1" ht="15.75" customHeight="1" x14ac:dyDescent="0.35">
      <c r="A150" s="80">
        <f t="shared" si="2"/>
        <v>15</v>
      </c>
      <c r="B150" s="81"/>
      <c r="C150" s="45" t="s">
        <v>196</v>
      </c>
      <c r="D150" s="45">
        <f>7.61*10.764</f>
        <v>81.91404</v>
      </c>
      <c r="E150" s="45">
        <v>0</v>
      </c>
      <c r="F150" s="45">
        <v>164</v>
      </c>
      <c r="G150" s="161"/>
      <c r="H150" s="162"/>
      <c r="I150" s="32"/>
      <c r="L150" s="167"/>
      <c r="M150" s="167"/>
      <c r="N150" s="32"/>
    </row>
    <row r="151" spans="1:14" s="2" customFormat="1" x14ac:dyDescent="0.35">
      <c r="A151" s="77" t="s">
        <v>198</v>
      </c>
      <c r="B151" s="78"/>
      <c r="C151" s="78"/>
      <c r="D151" s="78"/>
      <c r="E151" s="78"/>
      <c r="F151" s="78"/>
      <c r="G151" s="78"/>
      <c r="H151" s="79"/>
      <c r="I151" s="32"/>
      <c r="N151" s="32"/>
    </row>
    <row r="152" spans="1:14" s="2" customFormat="1" x14ac:dyDescent="0.35">
      <c r="A152" s="77" t="s">
        <v>195</v>
      </c>
      <c r="B152" s="78"/>
      <c r="C152" s="78"/>
      <c r="D152" s="78"/>
      <c r="E152" s="78"/>
      <c r="F152" s="78"/>
      <c r="G152" s="78"/>
      <c r="H152" s="79"/>
      <c r="I152" s="32"/>
      <c r="N152" s="32"/>
    </row>
    <row r="153" spans="1:14" s="2" customFormat="1" ht="15.75" customHeight="1" x14ac:dyDescent="0.35">
      <c r="A153" s="80">
        <v>16</v>
      </c>
      <c r="B153" s="81"/>
      <c r="C153" s="45" t="s">
        <v>196</v>
      </c>
      <c r="D153" s="45">
        <f>7.61*10.764</f>
        <v>81.91404</v>
      </c>
      <c r="E153" s="45">
        <v>0</v>
      </c>
      <c r="F153" s="45">
        <v>164</v>
      </c>
      <c r="G153" s="159" t="str">
        <f>A152</f>
        <v>Ground Floor for Commercial &amp; Parking</v>
      </c>
      <c r="H153" s="160"/>
      <c r="I153" s="32"/>
      <c r="L153" s="167"/>
      <c r="M153" s="167"/>
      <c r="N153" s="32"/>
    </row>
    <row r="154" spans="1:14" s="2" customFormat="1" ht="15.75" customHeight="1" x14ac:dyDescent="0.35">
      <c r="A154" s="80">
        <f>A153+1</f>
        <v>17</v>
      </c>
      <c r="B154" s="81"/>
      <c r="C154" s="45" t="s">
        <v>196</v>
      </c>
      <c r="D154" s="45">
        <f>10.73*10.764</f>
        <v>115.49772</v>
      </c>
      <c r="E154" s="45">
        <v>0</v>
      </c>
      <c r="F154" s="45">
        <v>232</v>
      </c>
      <c r="G154" s="161"/>
      <c r="H154" s="162"/>
      <c r="I154" s="32"/>
      <c r="L154" s="167"/>
      <c r="M154" s="167"/>
      <c r="N154" s="32"/>
    </row>
    <row r="155" spans="1:14" s="2" customFormat="1" ht="15.75" customHeight="1" x14ac:dyDescent="0.35">
      <c r="A155" s="80">
        <f t="shared" si="2"/>
        <v>18</v>
      </c>
      <c r="B155" s="81"/>
      <c r="C155" s="45" t="s">
        <v>196</v>
      </c>
      <c r="D155" s="45">
        <f>10.73*10.764</f>
        <v>115.49772</v>
      </c>
      <c r="E155" s="45">
        <v>0</v>
      </c>
      <c r="F155" s="45">
        <v>232</v>
      </c>
      <c r="G155" s="161"/>
      <c r="H155" s="162"/>
      <c r="I155" s="32"/>
      <c r="L155" s="167"/>
      <c r="M155" s="167"/>
      <c r="N155" s="32"/>
    </row>
    <row r="156" spans="1:14" s="2" customFormat="1" ht="15.75" customHeight="1" x14ac:dyDescent="0.35">
      <c r="A156" s="80">
        <f t="shared" si="2"/>
        <v>19</v>
      </c>
      <c r="B156" s="81"/>
      <c r="C156" s="45" t="s">
        <v>196</v>
      </c>
      <c r="D156" s="45">
        <f>8.76*10.764</f>
        <v>94.292639999999992</v>
      </c>
      <c r="E156" s="45">
        <v>0</v>
      </c>
      <c r="F156" s="45">
        <v>190</v>
      </c>
      <c r="G156" s="161"/>
      <c r="H156" s="162"/>
      <c r="I156" s="32"/>
      <c r="L156" s="167"/>
      <c r="M156" s="167"/>
      <c r="N156" s="32"/>
    </row>
    <row r="157" spans="1:14" s="2" customFormat="1" ht="15.75" customHeight="1" x14ac:dyDescent="0.35">
      <c r="A157" s="80">
        <f>A156+1</f>
        <v>20</v>
      </c>
      <c r="B157" s="81"/>
      <c r="C157" s="45" t="s">
        <v>196</v>
      </c>
      <c r="D157" s="45">
        <f>8.4*10.764</f>
        <v>90.417599999999993</v>
      </c>
      <c r="E157" s="45">
        <v>0</v>
      </c>
      <c r="F157" s="45">
        <v>180</v>
      </c>
      <c r="G157" s="161"/>
      <c r="H157" s="162"/>
      <c r="I157" s="32"/>
      <c r="L157" s="167"/>
      <c r="M157" s="167"/>
      <c r="N157" s="32"/>
    </row>
    <row r="158" spans="1:14" s="2" customFormat="1" ht="15.75" customHeight="1" x14ac:dyDescent="0.35">
      <c r="A158" s="80">
        <f t="shared" si="2"/>
        <v>21</v>
      </c>
      <c r="B158" s="81"/>
      <c r="C158" s="45" t="s">
        <v>196</v>
      </c>
      <c r="D158" s="45">
        <f>6.93*10.764</f>
        <v>74.594519999999989</v>
      </c>
      <c r="E158" s="45">
        <v>0</v>
      </c>
      <c r="F158" s="45">
        <v>192</v>
      </c>
      <c r="G158" s="161"/>
      <c r="H158" s="162"/>
      <c r="I158" s="32"/>
      <c r="L158" s="167"/>
      <c r="M158" s="167"/>
      <c r="N158" s="32"/>
    </row>
    <row r="159" spans="1:14" s="2" customFormat="1" ht="15.75" customHeight="1" x14ac:dyDescent="0.35">
      <c r="A159" s="80">
        <f t="shared" si="2"/>
        <v>22</v>
      </c>
      <c r="B159" s="81"/>
      <c r="C159" s="45" t="s">
        <v>196</v>
      </c>
      <c r="D159" s="45">
        <f>9.68*10.764</f>
        <v>104.19551999999999</v>
      </c>
      <c r="E159" s="45">
        <v>0</v>
      </c>
      <c r="F159" s="45">
        <v>208</v>
      </c>
      <c r="G159" s="161"/>
      <c r="H159" s="162"/>
      <c r="I159" s="32"/>
      <c r="L159" s="167"/>
      <c r="M159" s="167"/>
      <c r="N159" s="32"/>
    </row>
    <row r="160" spans="1:14" s="2" customFormat="1" ht="15.75" customHeight="1" x14ac:dyDescent="0.35">
      <c r="A160" s="80">
        <f t="shared" si="2"/>
        <v>23</v>
      </c>
      <c r="B160" s="81"/>
      <c r="C160" s="45" t="s">
        <v>196</v>
      </c>
      <c r="D160" s="45">
        <f>14.16*10.764</f>
        <v>152.41824</v>
      </c>
      <c r="E160" s="45">
        <v>0</v>
      </c>
      <c r="F160" s="45">
        <v>304</v>
      </c>
      <c r="G160" s="161"/>
      <c r="H160" s="162"/>
      <c r="I160" s="32"/>
      <c r="L160" s="167"/>
      <c r="M160" s="167"/>
      <c r="N160" s="32"/>
    </row>
    <row r="161" spans="1:16" s="2" customFormat="1" ht="15.75" customHeight="1" x14ac:dyDescent="0.35">
      <c r="A161" s="80">
        <f t="shared" si="2"/>
        <v>24</v>
      </c>
      <c r="B161" s="81"/>
      <c r="C161" s="45" t="s">
        <v>196</v>
      </c>
      <c r="D161" s="45">
        <f>10.45*10.764</f>
        <v>112.48379999999999</v>
      </c>
      <c r="E161" s="45">
        <v>0</v>
      </c>
      <c r="F161" s="45">
        <v>224</v>
      </c>
      <c r="G161" s="161"/>
      <c r="H161" s="162"/>
      <c r="I161" s="32"/>
      <c r="L161" s="167"/>
      <c r="M161" s="167"/>
      <c r="N161" s="32"/>
    </row>
    <row r="162" spans="1:16" s="2" customFormat="1" ht="15.75" customHeight="1" x14ac:dyDescent="0.35">
      <c r="A162" s="80">
        <f t="shared" si="2"/>
        <v>25</v>
      </c>
      <c r="B162" s="81"/>
      <c r="C162" s="45" t="s">
        <v>196</v>
      </c>
      <c r="D162" s="45">
        <f>9.69*10.764</f>
        <v>104.30315999999999</v>
      </c>
      <c r="E162" s="45">
        <v>0</v>
      </c>
      <c r="F162" s="45">
        <v>208</v>
      </c>
      <c r="G162" s="163"/>
      <c r="H162" s="164"/>
      <c r="I162" s="32"/>
      <c r="L162" s="167"/>
      <c r="M162" s="167"/>
      <c r="N162" s="32"/>
    </row>
    <row r="163" spans="1:16" s="2" customFormat="1" x14ac:dyDescent="0.35">
      <c r="A163" s="80"/>
      <c r="B163" s="168"/>
      <c r="C163" s="168"/>
      <c r="D163" s="168"/>
      <c r="E163" s="168"/>
      <c r="F163" s="168"/>
      <c r="G163" s="168"/>
      <c r="H163" s="81"/>
      <c r="I163" s="32"/>
      <c r="N163" s="32"/>
    </row>
    <row r="164" spans="1:16" ht="47.25" customHeight="1" x14ac:dyDescent="0.35">
      <c r="A164" s="56" t="s">
        <v>155</v>
      </c>
      <c r="B164" s="56" t="s">
        <v>156</v>
      </c>
      <c r="C164" s="48" t="s">
        <v>65</v>
      </c>
      <c r="D164" s="48" t="s">
        <v>66</v>
      </c>
      <c r="E164" s="49" t="s">
        <v>67</v>
      </c>
      <c r="F164" s="48" t="s">
        <v>227</v>
      </c>
      <c r="G164" s="75" t="s">
        <v>68</v>
      </c>
      <c r="H164" s="76"/>
      <c r="I164" s="32"/>
    </row>
    <row r="165" spans="1:16" s="2" customFormat="1" x14ac:dyDescent="0.35">
      <c r="A165" s="166" t="s">
        <v>199</v>
      </c>
      <c r="B165" s="166"/>
      <c r="C165" s="166"/>
      <c r="D165" s="166"/>
      <c r="E165" s="166"/>
      <c r="F165" s="166"/>
      <c r="G165" s="166"/>
      <c r="H165" s="166"/>
      <c r="I165" s="32"/>
    </row>
    <row r="166" spans="1:16" s="2" customFormat="1" x14ac:dyDescent="0.35">
      <c r="A166" s="77" t="s">
        <v>201</v>
      </c>
      <c r="B166" s="78"/>
      <c r="C166" s="78"/>
      <c r="D166" s="78"/>
      <c r="E166" s="78"/>
      <c r="F166" s="78"/>
      <c r="G166" s="78"/>
      <c r="H166" s="79"/>
      <c r="I166" s="32"/>
      <c r="N166" s="2" t="str">
        <f t="shared" ref="N166:N170" si="3">O166&amp;""&amp;" to "&amp;""&amp;P166</f>
        <v>1 to 1</v>
      </c>
      <c r="O166" s="2">
        <f t="shared" ref="O166:P166" si="4">O165+1</f>
        <v>1</v>
      </c>
      <c r="P166" s="2">
        <f t="shared" si="4"/>
        <v>1</v>
      </c>
    </row>
    <row r="167" spans="1:16" s="2" customFormat="1" x14ac:dyDescent="0.35">
      <c r="A167" s="80" t="s">
        <v>204</v>
      </c>
      <c r="B167" s="81"/>
      <c r="C167" s="45" t="s">
        <v>211</v>
      </c>
      <c r="D167" s="45">
        <f>22.05*10.764</f>
        <v>237.34619999999998</v>
      </c>
      <c r="E167" s="45">
        <v>0</v>
      </c>
      <c r="F167" s="45">
        <v>350</v>
      </c>
      <c r="G167" s="80" t="str">
        <f>A166</f>
        <v>1st to 4th Floor for Residential</v>
      </c>
      <c r="H167" s="81"/>
      <c r="I167" s="32"/>
      <c r="N167" s="2" t="str">
        <f t="shared" si="3"/>
        <v>2 to 2</v>
      </c>
      <c r="O167" s="2">
        <f t="shared" ref="O167:P167" si="5">O166+1</f>
        <v>2</v>
      </c>
      <c r="P167" s="2">
        <f t="shared" si="5"/>
        <v>2</v>
      </c>
    </row>
    <row r="168" spans="1:16" s="2" customFormat="1" x14ac:dyDescent="0.35">
      <c r="A168" s="80" t="s">
        <v>205</v>
      </c>
      <c r="B168" s="81"/>
      <c r="C168" s="45" t="s">
        <v>210</v>
      </c>
      <c r="D168" s="45">
        <f>37.28*10.764</f>
        <v>401.28192000000001</v>
      </c>
      <c r="E168" s="45">
        <v>0</v>
      </c>
      <c r="F168" s="45">
        <v>590</v>
      </c>
      <c r="G168" s="80" t="str">
        <f t="shared" ref="G168:G172" si="6">G167</f>
        <v>1st to 4th Floor for Residential</v>
      </c>
      <c r="H168" s="81"/>
      <c r="I168" s="32"/>
      <c r="N168" s="2" t="str">
        <f t="shared" si="3"/>
        <v>3 to 3</v>
      </c>
      <c r="O168" s="2">
        <f t="shared" ref="O168:P168" si="7">O167+1</f>
        <v>3</v>
      </c>
      <c r="P168" s="2">
        <f t="shared" si="7"/>
        <v>3</v>
      </c>
    </row>
    <row r="169" spans="1:16" s="2" customFormat="1" x14ac:dyDescent="0.35">
      <c r="A169" s="80" t="s">
        <v>206</v>
      </c>
      <c r="B169" s="81"/>
      <c r="C169" s="45" t="s">
        <v>210</v>
      </c>
      <c r="D169" s="45">
        <f>37.26*10.764</f>
        <v>401.06663999999995</v>
      </c>
      <c r="E169" s="45">
        <v>0</v>
      </c>
      <c r="F169" s="45">
        <v>590</v>
      </c>
      <c r="G169" s="80" t="str">
        <f t="shared" si="6"/>
        <v>1st to 4th Floor for Residential</v>
      </c>
      <c r="H169" s="81"/>
      <c r="I169" s="32"/>
      <c r="N169" s="2" t="str">
        <f t="shared" si="3"/>
        <v>4 to 4</v>
      </c>
      <c r="O169" s="2">
        <f t="shared" ref="O169:P169" si="8">O168+1</f>
        <v>4</v>
      </c>
      <c r="P169" s="2">
        <f t="shared" si="8"/>
        <v>4</v>
      </c>
    </row>
    <row r="170" spans="1:16" s="2" customFormat="1" x14ac:dyDescent="0.35">
      <c r="A170" s="80" t="s">
        <v>207</v>
      </c>
      <c r="B170" s="81"/>
      <c r="C170" s="45" t="s">
        <v>210</v>
      </c>
      <c r="D170" s="45">
        <f>32.67*10.764</f>
        <v>351.65987999999999</v>
      </c>
      <c r="E170" s="45">
        <v>0</v>
      </c>
      <c r="F170" s="45">
        <v>525</v>
      </c>
      <c r="G170" s="80" t="str">
        <f t="shared" si="6"/>
        <v>1st to 4th Floor for Residential</v>
      </c>
      <c r="H170" s="81"/>
      <c r="I170" s="32"/>
      <c r="N170" s="2" t="str">
        <f t="shared" si="3"/>
        <v>5 to 5</v>
      </c>
      <c r="O170" s="2">
        <f t="shared" ref="O170:P170" si="9">O169+1</f>
        <v>5</v>
      </c>
      <c r="P170" s="2">
        <f t="shared" si="9"/>
        <v>5</v>
      </c>
    </row>
    <row r="171" spans="1:16" s="2" customFormat="1" x14ac:dyDescent="0.35">
      <c r="A171" s="80" t="s">
        <v>208</v>
      </c>
      <c r="B171" s="81"/>
      <c r="C171" s="45" t="s">
        <v>211</v>
      </c>
      <c r="D171" s="45">
        <f>22.54*10.764</f>
        <v>242.62055999999998</v>
      </c>
      <c r="E171" s="45">
        <v>0</v>
      </c>
      <c r="F171" s="45">
        <v>360</v>
      </c>
      <c r="G171" s="80" t="str">
        <f>G170</f>
        <v>1st to 4th Floor for Residential</v>
      </c>
      <c r="H171" s="81"/>
      <c r="I171" s="32"/>
      <c r="N171" s="2" t="s">
        <v>202</v>
      </c>
      <c r="O171" s="2">
        <v>107</v>
      </c>
      <c r="P171" s="2">
        <v>407</v>
      </c>
    </row>
    <row r="172" spans="1:16" s="2" customFormat="1" x14ac:dyDescent="0.35">
      <c r="A172" s="80" t="s">
        <v>209</v>
      </c>
      <c r="B172" s="81"/>
      <c r="C172" s="45" t="s">
        <v>211</v>
      </c>
      <c r="D172" s="45">
        <f>22.58*10.764</f>
        <v>243.05111999999997</v>
      </c>
      <c r="E172" s="45">
        <v>0</v>
      </c>
      <c r="F172" s="45">
        <v>360</v>
      </c>
      <c r="G172" s="80" t="str">
        <f t="shared" si="6"/>
        <v>1st to 4th Floor for Residential</v>
      </c>
      <c r="H172" s="81"/>
      <c r="I172" s="32">
        <f>1015000/F172</f>
        <v>2819.4444444444443</v>
      </c>
      <c r="N172" s="2" t="s">
        <v>203</v>
      </c>
      <c r="O172" s="2">
        <v>108</v>
      </c>
      <c r="P172" s="2">
        <v>408</v>
      </c>
    </row>
    <row r="173" spans="1:16" s="2" customFormat="1" ht="15.75" customHeight="1" x14ac:dyDescent="0.35">
      <c r="A173" s="166" t="s">
        <v>197</v>
      </c>
      <c r="B173" s="166"/>
      <c r="C173" s="166"/>
      <c r="D173" s="166"/>
      <c r="E173" s="166"/>
      <c r="F173" s="166"/>
      <c r="G173" s="166"/>
      <c r="H173" s="166"/>
      <c r="I173" s="32"/>
    </row>
    <row r="174" spans="1:16" s="2" customFormat="1" x14ac:dyDescent="0.35">
      <c r="A174" s="77" t="s">
        <v>200</v>
      </c>
      <c r="B174" s="78"/>
      <c r="C174" s="78"/>
      <c r="D174" s="78"/>
      <c r="E174" s="78"/>
      <c r="F174" s="78"/>
      <c r="G174" s="78"/>
      <c r="H174" s="79"/>
      <c r="I174" s="32"/>
      <c r="N174" s="2" t="str">
        <f t="shared" ref="N174:N178" si="10">O174&amp;""&amp;" to "&amp;""&amp;P174</f>
        <v>1 to 1</v>
      </c>
      <c r="O174" s="2">
        <f t="shared" ref="O174:P174" si="11">O173+1</f>
        <v>1</v>
      </c>
      <c r="P174" s="2">
        <f t="shared" si="11"/>
        <v>1</v>
      </c>
    </row>
    <row r="175" spans="1:16" s="2" customFormat="1" x14ac:dyDescent="0.35">
      <c r="A175" s="80" t="s">
        <v>204</v>
      </c>
      <c r="B175" s="81"/>
      <c r="C175" s="45" t="s">
        <v>210</v>
      </c>
      <c r="D175" s="45">
        <f>34.8*10.764</f>
        <v>374.58719999999994</v>
      </c>
      <c r="E175" s="45">
        <v>0</v>
      </c>
      <c r="F175" s="45">
        <v>555</v>
      </c>
      <c r="G175" s="80" t="str">
        <f>A174</f>
        <v>1st to 4th Floor</v>
      </c>
      <c r="H175" s="81"/>
      <c r="I175" s="32"/>
      <c r="N175" s="2" t="str">
        <f t="shared" si="10"/>
        <v>2 to 2</v>
      </c>
      <c r="O175" s="2">
        <f t="shared" ref="O175:P175" si="12">O174+1</f>
        <v>2</v>
      </c>
      <c r="P175" s="2">
        <f t="shared" si="12"/>
        <v>2</v>
      </c>
    </row>
    <row r="176" spans="1:16" s="2" customFormat="1" x14ac:dyDescent="0.35">
      <c r="A176" s="80" t="s">
        <v>205</v>
      </c>
      <c r="B176" s="81"/>
      <c r="C176" s="45" t="s">
        <v>210</v>
      </c>
      <c r="D176" s="45">
        <f>33.56*10.764</f>
        <v>361.23984000000002</v>
      </c>
      <c r="E176" s="45">
        <v>0</v>
      </c>
      <c r="F176" s="45">
        <v>535</v>
      </c>
      <c r="G176" s="80" t="str">
        <f t="shared" ref="G176:G180" si="13">G175</f>
        <v>1st to 4th Floor</v>
      </c>
      <c r="H176" s="81"/>
      <c r="I176" s="32"/>
      <c r="N176" s="2" t="str">
        <f t="shared" si="10"/>
        <v>3 to 3</v>
      </c>
      <c r="O176" s="2">
        <f t="shared" ref="O176:P176" si="14">O175+1</f>
        <v>3</v>
      </c>
      <c r="P176" s="2">
        <f t="shared" si="14"/>
        <v>3</v>
      </c>
    </row>
    <row r="177" spans="1:16" s="2" customFormat="1" x14ac:dyDescent="0.35">
      <c r="A177" s="80" t="s">
        <v>206</v>
      </c>
      <c r="B177" s="81"/>
      <c r="C177" s="45" t="s">
        <v>210</v>
      </c>
      <c r="D177" s="45">
        <f>32.27*10.764</f>
        <v>347.35428000000002</v>
      </c>
      <c r="E177" s="45">
        <v>0</v>
      </c>
      <c r="F177" s="45">
        <v>510</v>
      </c>
      <c r="G177" s="80" t="str">
        <f t="shared" si="13"/>
        <v>1st to 4th Floor</v>
      </c>
      <c r="H177" s="81"/>
      <c r="I177" s="32"/>
      <c r="N177" s="2" t="str">
        <f t="shared" si="10"/>
        <v>4 to 4</v>
      </c>
      <c r="O177" s="2">
        <f t="shared" ref="O177:P177" si="15">O176+1</f>
        <v>4</v>
      </c>
      <c r="P177" s="2">
        <f t="shared" si="15"/>
        <v>4</v>
      </c>
    </row>
    <row r="178" spans="1:16" s="2" customFormat="1" x14ac:dyDescent="0.35">
      <c r="A178" s="80" t="s">
        <v>207</v>
      </c>
      <c r="B178" s="81"/>
      <c r="C178" s="45" t="s">
        <v>211</v>
      </c>
      <c r="D178" s="45">
        <f>23.71*10.764</f>
        <v>255.21444</v>
      </c>
      <c r="E178" s="45">
        <v>0</v>
      </c>
      <c r="F178" s="45">
        <v>370</v>
      </c>
      <c r="G178" s="80" t="str">
        <f t="shared" si="13"/>
        <v>1st to 4th Floor</v>
      </c>
      <c r="H178" s="81"/>
      <c r="I178" s="32"/>
      <c r="N178" s="2" t="str">
        <f t="shared" si="10"/>
        <v>5 to 5</v>
      </c>
      <c r="O178" s="2">
        <f t="shared" ref="O178:P178" si="16">O177+1</f>
        <v>5</v>
      </c>
      <c r="P178" s="2">
        <f t="shared" si="16"/>
        <v>5</v>
      </c>
    </row>
    <row r="179" spans="1:16" s="2" customFormat="1" x14ac:dyDescent="0.35">
      <c r="A179" s="80" t="s">
        <v>208</v>
      </c>
      <c r="B179" s="81"/>
      <c r="C179" s="45" t="s">
        <v>211</v>
      </c>
      <c r="D179" s="45">
        <f>23.71*10.764</f>
        <v>255.21444</v>
      </c>
      <c r="E179" s="45">
        <v>0</v>
      </c>
      <c r="F179" s="45">
        <v>370</v>
      </c>
      <c r="G179" s="80" t="str">
        <f>G178</f>
        <v>1st to 4th Floor</v>
      </c>
      <c r="H179" s="81"/>
      <c r="I179" s="32"/>
      <c r="N179" s="2" t="s">
        <v>202</v>
      </c>
      <c r="O179" s="2">
        <v>107</v>
      </c>
      <c r="P179" s="2">
        <v>407</v>
      </c>
    </row>
    <row r="180" spans="1:16" s="2" customFormat="1" x14ac:dyDescent="0.35">
      <c r="A180" s="80" t="s">
        <v>209</v>
      </c>
      <c r="B180" s="81"/>
      <c r="C180" s="45" t="s">
        <v>210</v>
      </c>
      <c r="D180" s="45">
        <f>31.91*10.764</f>
        <v>343.47924</v>
      </c>
      <c r="E180" s="45">
        <v>0</v>
      </c>
      <c r="F180" s="45">
        <v>505</v>
      </c>
      <c r="G180" s="80" t="str">
        <f t="shared" si="13"/>
        <v>1st to 4th Floor</v>
      </c>
      <c r="H180" s="81"/>
      <c r="I180" s="32"/>
      <c r="N180" s="2" t="s">
        <v>203</v>
      </c>
      <c r="O180" s="2">
        <v>108</v>
      </c>
      <c r="P180" s="2">
        <v>408</v>
      </c>
    </row>
    <row r="181" spans="1:16" s="2" customFormat="1" ht="15.75" customHeight="1" x14ac:dyDescent="0.35">
      <c r="A181" s="166" t="s">
        <v>198</v>
      </c>
      <c r="B181" s="166"/>
      <c r="C181" s="166"/>
      <c r="D181" s="166"/>
      <c r="E181" s="166"/>
      <c r="F181" s="166"/>
      <c r="G181" s="166"/>
      <c r="H181" s="166"/>
      <c r="I181" s="32"/>
    </row>
    <row r="182" spans="1:16" s="2" customFormat="1" x14ac:dyDescent="0.35">
      <c r="A182" s="77" t="s">
        <v>200</v>
      </c>
      <c r="B182" s="78"/>
      <c r="C182" s="78"/>
      <c r="D182" s="78"/>
      <c r="E182" s="78"/>
      <c r="F182" s="78"/>
      <c r="G182" s="78"/>
      <c r="H182" s="79"/>
      <c r="I182" s="32"/>
      <c r="N182" s="2" t="str">
        <f t="shared" ref="N182:N186" si="17">O182&amp;""&amp;" to "&amp;""&amp;P182</f>
        <v>1 to 1</v>
      </c>
      <c r="O182" s="2">
        <f t="shared" ref="O182:P182" si="18">O181+1</f>
        <v>1</v>
      </c>
      <c r="P182" s="2">
        <f t="shared" si="18"/>
        <v>1</v>
      </c>
    </row>
    <row r="183" spans="1:16" s="2" customFormat="1" x14ac:dyDescent="0.35">
      <c r="A183" s="80" t="s">
        <v>204</v>
      </c>
      <c r="B183" s="81"/>
      <c r="C183" s="45" t="s">
        <v>211</v>
      </c>
      <c r="D183" s="45">
        <f>23.71*10.764</f>
        <v>255.21444</v>
      </c>
      <c r="E183" s="45">
        <v>0</v>
      </c>
      <c r="F183" s="45">
        <v>370</v>
      </c>
      <c r="G183" s="80" t="str">
        <f>A182</f>
        <v>1st to 4th Floor</v>
      </c>
      <c r="H183" s="81"/>
      <c r="I183" s="32"/>
      <c r="N183" s="2" t="str">
        <f t="shared" si="17"/>
        <v>2 to 2</v>
      </c>
      <c r="O183" s="2">
        <f t="shared" ref="O183:P183" si="19">O182+1</f>
        <v>2</v>
      </c>
      <c r="P183" s="2">
        <f t="shared" si="19"/>
        <v>2</v>
      </c>
    </row>
    <row r="184" spans="1:16" s="2" customFormat="1" x14ac:dyDescent="0.35">
      <c r="A184" s="80" t="s">
        <v>205</v>
      </c>
      <c r="B184" s="81"/>
      <c r="C184" s="45" t="s">
        <v>211</v>
      </c>
      <c r="D184" s="45">
        <f>23.12*10.764</f>
        <v>248.86367999999999</v>
      </c>
      <c r="E184" s="45">
        <v>0</v>
      </c>
      <c r="F184" s="45">
        <v>370</v>
      </c>
      <c r="G184" s="80" t="str">
        <f t="shared" ref="G184:G188" si="20">G183</f>
        <v>1st to 4th Floor</v>
      </c>
      <c r="H184" s="81"/>
      <c r="I184" s="32"/>
      <c r="N184" s="2" t="str">
        <f t="shared" si="17"/>
        <v>3 to 3</v>
      </c>
      <c r="O184" s="2">
        <f t="shared" ref="O184:P184" si="21">O183+1</f>
        <v>3</v>
      </c>
      <c r="P184" s="2">
        <f t="shared" si="21"/>
        <v>3</v>
      </c>
    </row>
    <row r="185" spans="1:16" s="2" customFormat="1" x14ac:dyDescent="0.35">
      <c r="A185" s="80" t="s">
        <v>206</v>
      </c>
      <c r="B185" s="81"/>
      <c r="C185" s="45" t="s">
        <v>210</v>
      </c>
      <c r="D185" s="45">
        <f>32.87*10.764</f>
        <v>353.81267999999994</v>
      </c>
      <c r="E185" s="45">
        <v>0</v>
      </c>
      <c r="F185" s="45">
        <v>525</v>
      </c>
      <c r="G185" s="80" t="str">
        <f t="shared" si="20"/>
        <v>1st to 4th Floor</v>
      </c>
      <c r="H185" s="81"/>
      <c r="I185" s="32"/>
      <c r="N185" s="2" t="str">
        <f t="shared" si="17"/>
        <v>4 to 4</v>
      </c>
      <c r="O185" s="2">
        <f t="shared" ref="O185:P185" si="22">O184+1</f>
        <v>4</v>
      </c>
      <c r="P185" s="2">
        <f t="shared" si="22"/>
        <v>4</v>
      </c>
    </row>
    <row r="186" spans="1:16" s="2" customFormat="1" x14ac:dyDescent="0.35">
      <c r="A186" s="80" t="s">
        <v>207</v>
      </c>
      <c r="B186" s="81"/>
      <c r="C186" s="45" t="s">
        <v>210</v>
      </c>
      <c r="D186" s="45">
        <f>39.26*10.764</f>
        <v>422.59463999999997</v>
      </c>
      <c r="E186" s="45">
        <v>0</v>
      </c>
      <c r="F186" s="45">
        <v>590</v>
      </c>
      <c r="G186" s="80" t="str">
        <f t="shared" si="20"/>
        <v>1st to 4th Floor</v>
      </c>
      <c r="H186" s="81"/>
      <c r="I186" s="32"/>
      <c r="N186" s="2" t="str">
        <f t="shared" si="17"/>
        <v>5 to 5</v>
      </c>
      <c r="O186" s="2">
        <f t="shared" ref="O186:P186" si="23">O185+1</f>
        <v>5</v>
      </c>
      <c r="P186" s="2">
        <f t="shared" si="23"/>
        <v>5</v>
      </c>
    </row>
    <row r="187" spans="1:16" s="2" customFormat="1" x14ac:dyDescent="0.35">
      <c r="A187" s="80" t="s">
        <v>208</v>
      </c>
      <c r="B187" s="81"/>
      <c r="C187" s="45" t="s">
        <v>210</v>
      </c>
      <c r="D187" s="45">
        <f>39.26*10.764</f>
        <v>422.59463999999997</v>
      </c>
      <c r="E187" s="45">
        <v>0</v>
      </c>
      <c r="F187" s="45">
        <v>590</v>
      </c>
      <c r="G187" s="80" t="str">
        <f>G186</f>
        <v>1st to 4th Floor</v>
      </c>
      <c r="H187" s="81"/>
      <c r="I187" s="32"/>
      <c r="N187" s="2" t="s">
        <v>202</v>
      </c>
      <c r="O187" s="2">
        <v>107</v>
      </c>
      <c r="P187" s="2">
        <v>407</v>
      </c>
    </row>
    <row r="188" spans="1:16" s="2" customFormat="1" x14ac:dyDescent="0.35">
      <c r="A188" s="80" t="s">
        <v>209</v>
      </c>
      <c r="B188" s="81"/>
      <c r="C188" s="45" t="s">
        <v>211</v>
      </c>
      <c r="D188" s="45">
        <f>22.03*10.764</f>
        <v>237.13092</v>
      </c>
      <c r="E188" s="45">
        <v>0</v>
      </c>
      <c r="F188" s="45">
        <v>350</v>
      </c>
      <c r="G188" s="80" t="str">
        <f t="shared" si="20"/>
        <v>1st to 4th Floor</v>
      </c>
      <c r="H188" s="81"/>
      <c r="I188" s="32"/>
      <c r="N188" s="2" t="s">
        <v>203</v>
      </c>
      <c r="O188" s="2">
        <v>108</v>
      </c>
      <c r="P188" s="2">
        <v>408</v>
      </c>
    </row>
    <row r="189" spans="1:16" s="1" customFormat="1" x14ac:dyDescent="0.35">
      <c r="A189" s="69" t="s">
        <v>76</v>
      </c>
      <c r="B189" s="69"/>
      <c r="C189" s="69"/>
      <c r="D189" s="69"/>
      <c r="E189" s="69"/>
      <c r="F189" s="69"/>
      <c r="G189" s="69"/>
      <c r="H189" s="69"/>
    </row>
    <row r="190" spans="1:16" s="1" customFormat="1" ht="34.5" customHeight="1" x14ac:dyDescent="0.35">
      <c r="A190" s="47">
        <v>1</v>
      </c>
      <c r="B190" s="86" t="s">
        <v>255</v>
      </c>
      <c r="C190" s="87"/>
      <c r="D190" s="87"/>
      <c r="E190" s="87"/>
      <c r="F190" s="87"/>
      <c r="G190" s="87"/>
      <c r="H190" s="88"/>
    </row>
    <row r="191" spans="1:16" s="1" customFormat="1" x14ac:dyDescent="0.35">
      <c r="A191" s="47">
        <f>A190+1</f>
        <v>2</v>
      </c>
      <c r="B191" s="86" t="s">
        <v>217</v>
      </c>
      <c r="C191" s="87"/>
      <c r="D191" s="87"/>
      <c r="E191" s="87"/>
      <c r="F191" s="87"/>
      <c r="G191" s="87"/>
      <c r="H191" s="88"/>
    </row>
    <row r="192" spans="1:16" s="1" customFormat="1" x14ac:dyDescent="0.35">
      <c r="A192" s="47">
        <f t="shared" ref="A192:A194" si="24">A191+1</f>
        <v>3</v>
      </c>
      <c r="B192" s="86" t="s">
        <v>159</v>
      </c>
      <c r="C192" s="87"/>
      <c r="D192" s="87"/>
      <c r="E192" s="87"/>
      <c r="F192" s="87"/>
      <c r="G192" s="87"/>
      <c r="H192" s="88"/>
    </row>
    <row r="193" spans="1:16" s="1" customFormat="1" x14ac:dyDescent="0.35">
      <c r="A193" s="47">
        <f t="shared" si="24"/>
        <v>4</v>
      </c>
      <c r="B193" s="86" t="s">
        <v>237</v>
      </c>
      <c r="C193" s="87"/>
      <c r="D193" s="87"/>
      <c r="E193" s="87"/>
      <c r="F193" s="87"/>
      <c r="G193" s="87"/>
      <c r="H193" s="88"/>
    </row>
    <row r="194" spans="1:16" s="1" customFormat="1" ht="32.25" customHeight="1" x14ac:dyDescent="0.35">
      <c r="A194" s="47">
        <f t="shared" si="24"/>
        <v>5</v>
      </c>
      <c r="B194" s="86" t="s">
        <v>238</v>
      </c>
      <c r="C194" s="87"/>
      <c r="D194" s="87"/>
      <c r="E194" s="87"/>
      <c r="F194" s="87"/>
      <c r="G194" s="87"/>
      <c r="H194" s="88"/>
    </row>
    <row r="195" spans="1:16" s="1" customFormat="1" x14ac:dyDescent="0.35">
      <c r="A195" s="47">
        <v>6</v>
      </c>
      <c r="B195" s="86" t="s">
        <v>160</v>
      </c>
      <c r="C195" s="87"/>
      <c r="D195" s="87"/>
      <c r="E195" s="87"/>
      <c r="F195" s="87"/>
      <c r="G195" s="87"/>
      <c r="H195" s="88"/>
    </row>
    <row r="196" spans="1:16" x14ac:dyDescent="0.35">
      <c r="A196" s="47">
        <v>7</v>
      </c>
      <c r="B196" s="86" t="s">
        <v>161</v>
      </c>
      <c r="C196" s="87"/>
      <c r="D196" s="87"/>
      <c r="E196" s="87"/>
      <c r="F196" s="87"/>
      <c r="G196" s="87"/>
      <c r="H196" s="88"/>
      <c r="I196" s="1"/>
      <c r="J196" s="1"/>
      <c r="K196" s="1"/>
      <c r="L196" s="1"/>
      <c r="M196" s="1"/>
      <c r="N196" s="1"/>
      <c r="O196" s="1"/>
      <c r="P196" s="1"/>
    </row>
    <row r="197" spans="1:16" hidden="1" x14ac:dyDescent="0.35">
      <c r="A197" s="47" t="e">
        <f>#REF!+1</f>
        <v>#REF!</v>
      </c>
      <c r="B197" s="86" t="s">
        <v>241</v>
      </c>
      <c r="C197" s="87"/>
      <c r="D197" s="87"/>
      <c r="E197" s="87"/>
      <c r="F197" s="87"/>
      <c r="G197" s="87"/>
      <c r="H197" s="88"/>
      <c r="I197" s="1"/>
      <c r="J197" s="1"/>
      <c r="K197" s="1"/>
      <c r="L197" s="1"/>
      <c r="M197" s="1"/>
      <c r="N197" s="1"/>
      <c r="O197" s="1"/>
      <c r="P197" s="1"/>
    </row>
    <row r="198" spans="1:16" s="1" customFormat="1" ht="32.25" customHeight="1" x14ac:dyDescent="0.35">
      <c r="A198" s="47">
        <v>8</v>
      </c>
      <c r="B198" s="173" t="s">
        <v>257</v>
      </c>
      <c r="C198" s="174"/>
      <c r="D198" s="174"/>
      <c r="E198" s="174"/>
      <c r="F198" s="174"/>
      <c r="G198" s="174"/>
      <c r="H198" s="175"/>
    </row>
    <row r="199" spans="1:16" ht="15.75" customHeight="1" x14ac:dyDescent="0.35">
      <c r="A199" s="70" t="s">
        <v>69</v>
      </c>
      <c r="B199" s="70"/>
      <c r="C199" s="70"/>
      <c r="D199" s="70"/>
      <c r="E199" s="70"/>
      <c r="F199" s="70"/>
      <c r="G199" s="70"/>
      <c r="H199" s="70"/>
    </row>
    <row r="200" spans="1:16" x14ac:dyDescent="0.35">
      <c r="A200" s="68" t="s">
        <v>70</v>
      </c>
      <c r="B200" s="68"/>
      <c r="C200" s="68"/>
      <c r="D200" s="68"/>
      <c r="E200" s="68"/>
      <c r="F200" s="68"/>
      <c r="G200" s="68"/>
      <c r="H200" s="68"/>
    </row>
    <row r="201" spans="1:16" x14ac:dyDescent="0.35">
      <c r="A201" s="89" t="s">
        <v>71</v>
      </c>
      <c r="B201" s="89"/>
      <c r="C201" s="89"/>
      <c r="D201" s="89"/>
      <c r="E201" s="89"/>
      <c r="F201" s="89"/>
      <c r="G201" s="89"/>
      <c r="H201" s="89"/>
    </row>
    <row r="202" spans="1:16" x14ac:dyDescent="0.35">
      <c r="A202" s="68" t="s">
        <v>72</v>
      </c>
      <c r="B202" s="68"/>
      <c r="C202" s="68"/>
      <c r="D202" s="68"/>
      <c r="E202" s="68"/>
      <c r="F202" s="68"/>
      <c r="G202" s="68"/>
      <c r="H202" s="68"/>
    </row>
    <row r="203" spans="1:16" x14ac:dyDescent="0.35">
      <c r="A203" s="68" t="s">
        <v>73</v>
      </c>
      <c r="B203" s="68"/>
      <c r="C203" s="68"/>
      <c r="D203" s="68"/>
      <c r="E203" s="68"/>
      <c r="F203" s="68"/>
      <c r="G203" s="68"/>
      <c r="H203" s="68"/>
    </row>
    <row r="204" spans="1:16" x14ac:dyDescent="0.35">
      <c r="A204" s="68" t="s">
        <v>162</v>
      </c>
      <c r="B204" s="68"/>
      <c r="C204" s="68"/>
      <c r="D204" s="68"/>
      <c r="E204" s="68"/>
      <c r="F204" s="68"/>
      <c r="G204" s="68"/>
      <c r="H204" s="68"/>
    </row>
    <row r="205" spans="1:16" ht="34.5" customHeight="1" x14ac:dyDescent="0.35">
      <c r="A205" s="127" t="s">
        <v>163</v>
      </c>
      <c r="B205" s="127"/>
      <c r="C205" s="127"/>
      <c r="D205" s="127"/>
      <c r="E205" s="127"/>
      <c r="F205" s="127"/>
      <c r="G205" s="127"/>
      <c r="H205" s="127"/>
    </row>
    <row r="206" spans="1:16" x14ac:dyDescent="0.35">
      <c r="A206" s="132" t="s">
        <v>108</v>
      </c>
      <c r="B206" s="132"/>
      <c r="C206" s="132" t="s">
        <v>251</v>
      </c>
      <c r="D206" s="132"/>
      <c r="E206" s="132" t="s">
        <v>139</v>
      </c>
      <c r="F206" s="132"/>
      <c r="G206" s="132" t="s">
        <v>256</v>
      </c>
      <c r="H206" s="132"/>
    </row>
    <row r="207" spans="1:16" x14ac:dyDescent="0.35">
      <c r="A207" s="131" t="s">
        <v>110</v>
      </c>
      <c r="B207" s="131"/>
      <c r="C207" s="131"/>
      <c r="D207" s="131"/>
      <c r="E207" s="131"/>
      <c r="F207" s="131"/>
      <c r="G207" s="131"/>
      <c r="H207" s="131"/>
    </row>
    <row r="208" spans="1:16" x14ac:dyDescent="0.35">
      <c r="A208" s="131"/>
      <c r="B208" s="131"/>
      <c r="C208" s="131"/>
      <c r="D208" s="131"/>
      <c r="E208" s="131"/>
      <c r="F208" s="131"/>
      <c r="G208" s="131"/>
      <c r="H208" s="131"/>
    </row>
    <row r="209" spans="1:8" x14ac:dyDescent="0.35">
      <c r="A209" s="131"/>
      <c r="B209" s="131"/>
      <c r="C209" s="131"/>
      <c r="D209" s="131"/>
      <c r="E209" s="131"/>
      <c r="F209" s="131"/>
      <c r="G209" s="131"/>
      <c r="H209" s="131"/>
    </row>
    <row r="210" spans="1:8" x14ac:dyDescent="0.35">
      <c r="A210" s="131"/>
      <c r="B210" s="131"/>
      <c r="C210" s="131"/>
      <c r="D210" s="131"/>
      <c r="E210" s="131"/>
      <c r="F210" s="131"/>
      <c r="G210" s="131"/>
      <c r="H210" s="131"/>
    </row>
    <row r="211" spans="1:8" x14ac:dyDescent="0.35">
      <c r="A211" s="63" t="s">
        <v>74</v>
      </c>
      <c r="B211" s="64"/>
      <c r="C211" s="64"/>
      <c r="D211" s="63" t="str">
        <f>E8</f>
        <v>Vaastu Sankalp</v>
      </c>
      <c r="F211" s="64"/>
      <c r="G211" s="64"/>
      <c r="H211" s="64"/>
    </row>
    <row r="212" spans="1:8" ht="15" customHeight="1" x14ac:dyDescent="0.35">
      <c r="A212" s="64"/>
      <c r="B212" s="64"/>
      <c r="C212" s="64"/>
      <c r="D212" s="64"/>
      <c r="E212" s="64"/>
      <c r="F212" s="64"/>
      <c r="G212" s="64"/>
      <c r="H212" s="64"/>
    </row>
    <row r="213" spans="1:8" x14ac:dyDescent="0.35">
      <c r="A213" s="64"/>
      <c r="B213" s="64"/>
      <c r="C213" s="64"/>
      <c r="D213" s="64"/>
      <c r="E213" s="64"/>
      <c r="F213" s="64"/>
      <c r="G213" s="64"/>
      <c r="H213" s="64"/>
    </row>
    <row r="227" spans="7:7" x14ac:dyDescent="0.35">
      <c r="G227"/>
    </row>
    <row r="253" spans="1:1" x14ac:dyDescent="0.35">
      <c r="A253" s="65" t="s">
        <v>75</v>
      </c>
    </row>
    <row r="285" hidden="1" x14ac:dyDescent="0.35"/>
    <row r="286" hidden="1" x14ac:dyDescent="0.35"/>
    <row r="287" hidden="1" x14ac:dyDescent="0.35"/>
    <row r="288" hidden="1" x14ac:dyDescent="0.35"/>
    <row r="289" hidden="1" x14ac:dyDescent="0.35"/>
    <row r="290" hidden="1" x14ac:dyDescent="0.35"/>
    <row r="291" hidden="1" x14ac:dyDescent="0.35"/>
  </sheetData>
  <mergeCells count="379">
    <mergeCell ref="B198:H198"/>
    <mergeCell ref="C122:D122"/>
    <mergeCell ref="E122:F122"/>
    <mergeCell ref="E118:F118"/>
    <mergeCell ref="G94:H103"/>
    <mergeCell ref="A95:B95"/>
    <mergeCell ref="A96:B96"/>
    <mergeCell ref="A97:B97"/>
    <mergeCell ref="A98:B98"/>
    <mergeCell ref="A99:B99"/>
    <mergeCell ref="C118:D118"/>
    <mergeCell ref="A120:B120"/>
    <mergeCell ref="C120:D120"/>
    <mergeCell ref="E120:F120"/>
    <mergeCell ref="G120:H120"/>
    <mergeCell ref="A121:B121"/>
    <mergeCell ref="C121:D121"/>
    <mergeCell ref="E121:F121"/>
    <mergeCell ref="G121:H121"/>
    <mergeCell ref="A119:B119"/>
    <mergeCell ref="C119:D119"/>
    <mergeCell ref="E119:F119"/>
    <mergeCell ref="G119:H119"/>
    <mergeCell ref="A113:E113"/>
    <mergeCell ref="A107:H107"/>
    <mergeCell ref="A125:B125"/>
    <mergeCell ref="C125:D125"/>
    <mergeCell ref="E125:F125"/>
    <mergeCell ref="G125:H125"/>
    <mergeCell ref="A147:B147"/>
    <mergeCell ref="A153:B153"/>
    <mergeCell ref="A150:B150"/>
    <mergeCell ref="A130:H130"/>
    <mergeCell ref="A128:B128"/>
    <mergeCell ref="C128:D128"/>
    <mergeCell ref="E128:F128"/>
    <mergeCell ref="G128:H128"/>
    <mergeCell ref="A133:H133"/>
    <mergeCell ref="G127:H127"/>
    <mergeCell ref="L155:M155"/>
    <mergeCell ref="A156:B156"/>
    <mergeCell ref="L156:M156"/>
    <mergeCell ref="A157:B157"/>
    <mergeCell ref="L157:M157"/>
    <mergeCell ref="A155:B155"/>
    <mergeCell ref="A163:H163"/>
    <mergeCell ref="A166:H166"/>
    <mergeCell ref="B195:H195"/>
    <mergeCell ref="A184:B184"/>
    <mergeCell ref="G184:H184"/>
    <mergeCell ref="A178:B178"/>
    <mergeCell ref="A174:H174"/>
    <mergeCell ref="A175:B175"/>
    <mergeCell ref="G175:H175"/>
    <mergeCell ref="A176:B176"/>
    <mergeCell ref="G176:H176"/>
    <mergeCell ref="A177:B177"/>
    <mergeCell ref="G177:H177"/>
    <mergeCell ref="B191:H191"/>
    <mergeCell ref="B192:H192"/>
    <mergeCell ref="B193:H193"/>
    <mergeCell ref="B194:H194"/>
    <mergeCell ref="B190:H190"/>
    <mergeCell ref="L158:M158"/>
    <mergeCell ref="A159:B159"/>
    <mergeCell ref="L159:M159"/>
    <mergeCell ref="A160:B160"/>
    <mergeCell ref="L160:M160"/>
    <mergeCell ref="A168:B168"/>
    <mergeCell ref="G168:H168"/>
    <mergeCell ref="A169:B169"/>
    <mergeCell ref="G169:H169"/>
    <mergeCell ref="A161:B161"/>
    <mergeCell ref="L161:M161"/>
    <mergeCell ref="L162:M162"/>
    <mergeCell ref="A165:H165"/>
    <mergeCell ref="L150:M150"/>
    <mergeCell ref="A154:B154"/>
    <mergeCell ref="L154:M154"/>
    <mergeCell ref="A151:H151"/>
    <mergeCell ref="A152:H152"/>
    <mergeCell ref="G146:H150"/>
    <mergeCell ref="A148:B148"/>
    <mergeCell ref="L148:M148"/>
    <mergeCell ref="A149:B149"/>
    <mergeCell ref="L149:M149"/>
    <mergeCell ref="L147:M147"/>
    <mergeCell ref="L153:M153"/>
    <mergeCell ref="A173:H173"/>
    <mergeCell ref="A181:H181"/>
    <mergeCell ref="A172:B172"/>
    <mergeCell ref="G172:H172"/>
    <mergeCell ref="A170:B170"/>
    <mergeCell ref="L141:M141"/>
    <mergeCell ref="A142:B142"/>
    <mergeCell ref="L142:M142"/>
    <mergeCell ref="A143:B143"/>
    <mergeCell ref="L143:M143"/>
    <mergeCell ref="A146:B146"/>
    <mergeCell ref="L146:M146"/>
    <mergeCell ref="G134:H143"/>
    <mergeCell ref="L138:M138"/>
    <mergeCell ref="L137:M137"/>
    <mergeCell ref="L136:M136"/>
    <mergeCell ref="L135:M135"/>
    <mergeCell ref="L140:M140"/>
    <mergeCell ref="L139:M139"/>
    <mergeCell ref="A145:H145"/>
    <mergeCell ref="A144:H144"/>
    <mergeCell ref="L134:M134"/>
    <mergeCell ref="A138:B138"/>
    <mergeCell ref="G167:H167"/>
    <mergeCell ref="A185:B185"/>
    <mergeCell ref="G185:H185"/>
    <mergeCell ref="A186:B186"/>
    <mergeCell ref="G186:H186"/>
    <mergeCell ref="A187:B187"/>
    <mergeCell ref="G187:H187"/>
    <mergeCell ref="A188:B188"/>
    <mergeCell ref="G188:H188"/>
    <mergeCell ref="A179:B179"/>
    <mergeCell ref="G179:H179"/>
    <mergeCell ref="A180:B180"/>
    <mergeCell ref="G180:H180"/>
    <mergeCell ref="A182:H182"/>
    <mergeCell ref="A183:B183"/>
    <mergeCell ref="G183:H183"/>
    <mergeCell ref="G171:H171"/>
    <mergeCell ref="A171:B171"/>
    <mergeCell ref="A167:B167"/>
    <mergeCell ref="A158:B158"/>
    <mergeCell ref="G178:H178"/>
    <mergeCell ref="G153:H162"/>
    <mergeCell ref="A162:B162"/>
    <mergeCell ref="E25:H25"/>
    <mergeCell ref="A35:H35"/>
    <mergeCell ref="A34:B34"/>
    <mergeCell ref="A29:D29"/>
    <mergeCell ref="E29:H29"/>
    <mergeCell ref="A38:H38"/>
    <mergeCell ref="A39:D39"/>
    <mergeCell ref="E39:H39"/>
    <mergeCell ref="F31:H31"/>
    <mergeCell ref="F32:H32"/>
    <mergeCell ref="C30:E30"/>
    <mergeCell ref="F33:H33"/>
    <mergeCell ref="F34:H34"/>
    <mergeCell ref="A37:B37"/>
    <mergeCell ref="C34:E34"/>
    <mergeCell ref="F30:H30"/>
    <mergeCell ref="A31:B31"/>
    <mergeCell ref="A30:B30"/>
    <mergeCell ref="C31:E31"/>
    <mergeCell ref="A32:B32"/>
    <mergeCell ref="A36:B36"/>
    <mergeCell ref="C37:H37"/>
    <mergeCell ref="C36:H36"/>
    <mergeCell ref="G118:H118"/>
    <mergeCell ref="A26:D26"/>
    <mergeCell ref="E26:H26"/>
    <mergeCell ref="A66:B66"/>
    <mergeCell ref="A64:B64"/>
    <mergeCell ref="A71:B71"/>
    <mergeCell ref="A73:B73"/>
    <mergeCell ref="A72:B72"/>
    <mergeCell ref="G65:H65"/>
    <mergeCell ref="D56:H56"/>
    <mergeCell ref="D57:H57"/>
    <mergeCell ref="A46:B46"/>
    <mergeCell ref="C46:E46"/>
    <mergeCell ref="G46:H46"/>
    <mergeCell ref="F114:H114"/>
    <mergeCell ref="F112:H112"/>
    <mergeCell ref="F111:H111"/>
    <mergeCell ref="A108:E108"/>
    <mergeCell ref="A23:D23"/>
    <mergeCell ref="E23:H23"/>
    <mergeCell ref="A27:D27"/>
    <mergeCell ref="E27:H27"/>
    <mergeCell ref="A24:D24"/>
    <mergeCell ref="A28:D28"/>
    <mergeCell ref="E28:H28"/>
    <mergeCell ref="C32:E32"/>
    <mergeCell ref="A61:C61"/>
    <mergeCell ref="D61:H61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G48:H48"/>
    <mergeCell ref="D52:H52"/>
    <mergeCell ref="C48:E48"/>
    <mergeCell ref="A55:C57"/>
    <mergeCell ref="D55:H55"/>
    <mergeCell ref="A20:D21"/>
    <mergeCell ref="E20:H21"/>
    <mergeCell ref="A33:B33"/>
    <mergeCell ref="C33:E33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5:D25"/>
    <mergeCell ref="A7:D7"/>
    <mergeCell ref="E7:H7"/>
    <mergeCell ref="A15:B15"/>
    <mergeCell ref="A12:D12"/>
    <mergeCell ref="E12:H12"/>
    <mergeCell ref="A13:D13"/>
    <mergeCell ref="E13:H13"/>
    <mergeCell ref="A14:B14"/>
    <mergeCell ref="C14:H14"/>
    <mergeCell ref="C15:H15"/>
    <mergeCell ref="A10:D10"/>
    <mergeCell ref="E10:H10"/>
    <mergeCell ref="A90:B90"/>
    <mergeCell ref="A93:B93"/>
    <mergeCell ref="E93:F93"/>
    <mergeCell ref="G93:H93"/>
    <mergeCell ref="A101:B101"/>
    <mergeCell ref="A102:B102"/>
    <mergeCell ref="A94:B94"/>
    <mergeCell ref="E94:F10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112:E112"/>
    <mergeCell ref="A110:E110"/>
    <mergeCell ref="F110:H110"/>
    <mergeCell ref="A114:E114"/>
    <mergeCell ref="F109:H109"/>
    <mergeCell ref="A70:B70"/>
    <mergeCell ref="A60:C60"/>
    <mergeCell ref="D60:H60"/>
    <mergeCell ref="C64:H64"/>
    <mergeCell ref="A80:B80"/>
    <mergeCell ref="E80:F89"/>
    <mergeCell ref="G80:H89"/>
    <mergeCell ref="A81:B81"/>
    <mergeCell ref="A82:B82"/>
    <mergeCell ref="A83:B83"/>
    <mergeCell ref="A84:B84"/>
    <mergeCell ref="A85:B85"/>
    <mergeCell ref="A86:B86"/>
    <mergeCell ref="E66:F75"/>
    <mergeCell ref="G66:H75"/>
    <mergeCell ref="A74:B74"/>
    <mergeCell ref="A75:B75"/>
    <mergeCell ref="A65:B65"/>
    <mergeCell ref="A92:B92"/>
    <mergeCell ref="A67:B67"/>
    <mergeCell ref="A69:B69"/>
    <mergeCell ref="E65:F65"/>
    <mergeCell ref="A207:H210"/>
    <mergeCell ref="A206:B206"/>
    <mergeCell ref="E206:F206"/>
    <mergeCell ref="C206:D206"/>
    <mergeCell ref="G206:H206"/>
    <mergeCell ref="A117:H117"/>
    <mergeCell ref="A115:E115"/>
    <mergeCell ref="F115:H115"/>
    <mergeCell ref="A116:E116"/>
    <mergeCell ref="F116:H116"/>
    <mergeCell ref="A122:B122"/>
    <mergeCell ref="A202:H202"/>
    <mergeCell ref="A123:H123"/>
    <mergeCell ref="A205:H205"/>
    <mergeCell ref="A139:B139"/>
    <mergeCell ref="A140:B140"/>
    <mergeCell ref="A134:B134"/>
    <mergeCell ref="A135:B135"/>
    <mergeCell ref="A136:B136"/>
    <mergeCell ref="A137:B137"/>
    <mergeCell ref="A109:E109"/>
    <mergeCell ref="B197:H197"/>
    <mergeCell ref="A204:H204"/>
    <mergeCell ref="G170:H170"/>
    <mergeCell ref="F113:H113"/>
    <mergeCell ref="A111:E111"/>
    <mergeCell ref="E40:H40"/>
    <mergeCell ref="A40:D40"/>
    <mergeCell ref="A58:C58"/>
    <mergeCell ref="A59:C59"/>
    <mergeCell ref="D58:H58"/>
    <mergeCell ref="A54:C54"/>
    <mergeCell ref="G47:H47"/>
    <mergeCell ref="A48:B49"/>
    <mergeCell ref="D59:H59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A68:B68"/>
    <mergeCell ref="C49:H49"/>
    <mergeCell ref="D54:H54"/>
    <mergeCell ref="A62:B62"/>
    <mergeCell ref="C62:H62"/>
    <mergeCell ref="A76:B76"/>
    <mergeCell ref="C76:H76"/>
    <mergeCell ref="A100:B100"/>
    <mergeCell ref="F108:H108"/>
    <mergeCell ref="A105:H105"/>
    <mergeCell ref="A106:B106"/>
    <mergeCell ref="C106:H106"/>
    <mergeCell ref="A104:E104"/>
    <mergeCell ref="F104:H104"/>
    <mergeCell ref="A103:B103"/>
    <mergeCell ref="A78:B78"/>
    <mergeCell ref="C78:H78"/>
    <mergeCell ref="A79:B79"/>
    <mergeCell ref="E79:F79"/>
    <mergeCell ref="G79:H79"/>
    <mergeCell ref="C90:H90"/>
    <mergeCell ref="A87:B87"/>
    <mergeCell ref="A88:B88"/>
    <mergeCell ref="A89:B89"/>
    <mergeCell ref="C92:H92"/>
    <mergeCell ref="A203:H203"/>
    <mergeCell ref="A189:H189"/>
    <mergeCell ref="A199:H199"/>
    <mergeCell ref="A200:H200"/>
    <mergeCell ref="C124:D124"/>
    <mergeCell ref="E124:F124"/>
    <mergeCell ref="G124:H124"/>
    <mergeCell ref="A129:H129"/>
    <mergeCell ref="A118:B118"/>
    <mergeCell ref="G131:H131"/>
    <mergeCell ref="A132:H132"/>
    <mergeCell ref="A141:B141"/>
    <mergeCell ref="A126:B126"/>
    <mergeCell ref="C126:D126"/>
    <mergeCell ref="E126:F126"/>
    <mergeCell ref="G126:H126"/>
    <mergeCell ref="A127:B127"/>
    <mergeCell ref="C127:D127"/>
    <mergeCell ref="E127:F127"/>
    <mergeCell ref="B196:H196"/>
    <mergeCell ref="G122:H122"/>
    <mergeCell ref="A201:H201"/>
    <mergeCell ref="A124:B124"/>
    <mergeCell ref="G164:H164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scale="94" fitToHeight="0" orientation="portrait" r:id="rId2"/>
  <headerFooter>
    <oddHeader>&amp;C&amp;G</oddHeader>
    <oddFooter>&amp;L&amp;"Times New Roman,Bold"&amp;12Ref No: &amp;F&amp;C&amp;G&amp;R&amp;"Times New Roman,Bold"&amp;12                               &amp;P</oddFooter>
  </headerFooter>
  <rowBreaks count="2" manualBreakCount="2">
    <brk id="210" max="7" man="1"/>
    <brk id="252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workbookViewId="0">
      <selection activeCell="C21" sqref="C21:D25"/>
    </sheetView>
  </sheetViews>
  <sheetFormatPr defaultRowHeight="14.5" x14ac:dyDescent="0.35"/>
  <cols>
    <col min="2" max="2" width="12.453125" customWidth="1"/>
  </cols>
  <sheetData>
    <row r="2" spans="1:12" x14ac:dyDescent="0.35">
      <c r="B2" s="3" t="s">
        <v>77</v>
      </c>
      <c r="C2" s="170"/>
      <c r="D2" s="170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78</v>
      </c>
      <c r="B4" s="5" t="s">
        <v>79</v>
      </c>
      <c r="C4" s="171" t="s">
        <v>80</v>
      </c>
      <c r="D4" s="171"/>
      <c r="E4" s="171"/>
      <c r="F4" s="6"/>
      <c r="G4" s="171" t="s">
        <v>81</v>
      </c>
      <c r="H4" s="171"/>
      <c r="I4" s="171"/>
      <c r="J4" s="171" t="s">
        <v>82</v>
      </c>
      <c r="K4" s="171"/>
      <c r="L4" s="171"/>
    </row>
    <row r="5" spans="1:12" x14ac:dyDescent="0.35">
      <c r="A5" s="3">
        <v>202</v>
      </c>
      <c r="B5" s="5"/>
      <c r="C5" s="5" t="s">
        <v>83</v>
      </c>
      <c r="D5" s="5" t="s">
        <v>84</v>
      </c>
      <c r="E5" s="5" t="s">
        <v>61</v>
      </c>
      <c r="F5" s="5"/>
      <c r="G5" s="5" t="s">
        <v>83</v>
      </c>
      <c r="H5" s="5" t="s">
        <v>84</v>
      </c>
      <c r="I5" s="5" t="s">
        <v>61</v>
      </c>
      <c r="J5" s="5" t="s">
        <v>83</v>
      </c>
      <c r="K5" s="5" t="s">
        <v>84</v>
      </c>
      <c r="L5" s="5" t="s">
        <v>61</v>
      </c>
    </row>
    <row r="6" spans="1:12" x14ac:dyDescent="0.35">
      <c r="B6" s="7" t="s">
        <v>85</v>
      </c>
      <c r="C6" s="7"/>
      <c r="D6" s="7"/>
      <c r="E6" s="7">
        <f>C6*D6</f>
        <v>0</v>
      </c>
      <c r="F6" s="7" t="s">
        <v>86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87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88</v>
      </c>
      <c r="C9" s="7"/>
      <c r="D9" s="7"/>
      <c r="E9" s="7">
        <f t="shared" si="0"/>
        <v>0</v>
      </c>
      <c r="F9" s="7" t="s">
        <v>86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87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89</v>
      </c>
      <c r="C13" s="7"/>
      <c r="D13" s="7"/>
      <c r="E13" s="7">
        <f t="shared" si="0"/>
        <v>0</v>
      </c>
      <c r="F13" s="7" t="s">
        <v>86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87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90</v>
      </c>
      <c r="C17" s="7"/>
      <c r="D17" s="7"/>
      <c r="E17" s="7">
        <f t="shared" si="0"/>
        <v>0</v>
      </c>
      <c r="F17" s="7" t="s">
        <v>86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87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90</v>
      </c>
      <c r="C20" s="7"/>
      <c r="D20" s="7"/>
      <c r="E20" s="7">
        <f t="shared" si="0"/>
        <v>0</v>
      </c>
      <c r="F20" s="7" t="s">
        <v>86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87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91</v>
      </c>
      <c r="C23" s="7"/>
      <c r="D23" s="7"/>
      <c r="E23" s="7">
        <f t="shared" si="0"/>
        <v>0</v>
      </c>
      <c r="F23" s="7" t="s">
        <v>92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93</v>
      </c>
      <c r="C24" s="7"/>
      <c r="D24" s="7"/>
      <c r="E24" s="7">
        <f t="shared" si="0"/>
        <v>0</v>
      </c>
      <c r="F24" s="7" t="s">
        <v>92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94</v>
      </c>
      <c r="C25" s="7"/>
      <c r="D25" s="7"/>
      <c r="E25" s="7">
        <f t="shared" si="0"/>
        <v>0</v>
      </c>
      <c r="F25" s="7" t="s">
        <v>92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95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96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97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98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62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54296875" defaultRowHeight="14.5" x14ac:dyDescent="0.35"/>
  <cols>
    <col min="1" max="1" width="8.54296875" style="20"/>
    <col min="2" max="2" width="22.1796875" style="20" customWidth="1"/>
    <col min="3" max="3" width="37" style="20" customWidth="1"/>
    <col min="4" max="5" width="11.453125" style="20" customWidth="1"/>
    <col min="6" max="6" width="14" style="20" customWidth="1"/>
    <col min="7" max="7" width="20" style="20" customWidth="1"/>
    <col min="8" max="8" width="16.453125" style="20" customWidth="1"/>
    <col min="9" max="16384" width="8.54296875" style="20"/>
  </cols>
  <sheetData>
    <row r="1" spans="1:9" ht="15" customHeight="1" x14ac:dyDescent="0.35"/>
    <row r="2" spans="1:9" ht="15" customHeight="1" x14ac:dyDescent="0.35">
      <c r="A2" s="21"/>
      <c r="B2" s="21"/>
      <c r="C2" s="21"/>
      <c r="D2" s="21"/>
      <c r="E2" s="21"/>
      <c r="F2" s="21"/>
      <c r="G2" s="21"/>
      <c r="H2" s="21"/>
    </row>
    <row r="3" spans="1:9" ht="15.75" customHeight="1" x14ac:dyDescent="0.35">
      <c r="A3" s="21"/>
      <c r="B3" s="172" t="s">
        <v>140</v>
      </c>
      <c r="C3" s="172"/>
      <c r="D3" s="172"/>
      <c r="E3" s="172"/>
      <c r="F3" s="172"/>
      <c r="G3" s="172"/>
      <c r="H3" s="172"/>
    </row>
    <row r="4" spans="1:9" x14ac:dyDescent="0.35">
      <c r="A4" s="21"/>
      <c r="B4" s="22" t="s">
        <v>141</v>
      </c>
      <c r="C4" s="22" t="s">
        <v>142</v>
      </c>
      <c r="D4" s="22" t="s">
        <v>78</v>
      </c>
      <c r="E4" s="22" t="s">
        <v>143</v>
      </c>
      <c r="F4" s="22" t="s">
        <v>150</v>
      </c>
      <c r="G4" s="22" t="s">
        <v>151</v>
      </c>
      <c r="H4" s="22" t="s">
        <v>144</v>
      </c>
    </row>
    <row r="5" spans="1:9" ht="15" customHeight="1" x14ac:dyDescent="0.35">
      <c r="A5" s="21"/>
      <c r="B5" s="24" t="s">
        <v>145</v>
      </c>
      <c r="C5" s="25"/>
      <c r="D5" s="24" t="s">
        <v>146</v>
      </c>
      <c r="E5" s="24">
        <v>1106</v>
      </c>
      <c r="F5" s="26">
        <f>E5*1.6</f>
        <v>1769.6000000000001</v>
      </c>
      <c r="G5" s="26">
        <f>H5/F5</f>
        <v>31532.549728752259</v>
      </c>
      <c r="H5" s="27">
        <v>55800000</v>
      </c>
    </row>
    <row r="6" spans="1:9" x14ac:dyDescent="0.35">
      <c r="A6" s="21"/>
      <c r="B6" s="24" t="s">
        <v>145</v>
      </c>
      <c r="C6" s="28"/>
      <c r="D6" s="24"/>
      <c r="E6" s="24"/>
      <c r="F6" s="26">
        <f t="shared" ref="F6:F11" si="0">E6*1.6</f>
        <v>0</v>
      </c>
      <c r="G6" s="26" t="e">
        <f t="shared" ref="G6:G11" si="1">H6/F6</f>
        <v>#DIV/0!</v>
      </c>
      <c r="H6" s="27"/>
    </row>
    <row r="7" spans="1:9" ht="15" customHeight="1" x14ac:dyDescent="0.35">
      <c r="A7" s="21"/>
      <c r="B7" s="24" t="s">
        <v>145</v>
      </c>
      <c r="C7" s="25"/>
      <c r="D7" s="24"/>
      <c r="E7" s="24"/>
      <c r="F7" s="26">
        <f t="shared" si="0"/>
        <v>0</v>
      </c>
      <c r="G7" s="26" t="e">
        <f t="shared" si="1"/>
        <v>#DIV/0!</v>
      </c>
      <c r="H7" s="27"/>
    </row>
    <row r="8" spans="1:9" x14ac:dyDescent="0.35">
      <c r="A8" s="21"/>
      <c r="B8" s="24" t="s">
        <v>145</v>
      </c>
      <c r="C8" s="28"/>
      <c r="D8" s="24"/>
      <c r="E8" s="24"/>
      <c r="F8" s="26">
        <f t="shared" si="0"/>
        <v>0</v>
      </c>
      <c r="G8" s="26" t="e">
        <f t="shared" si="1"/>
        <v>#DIV/0!</v>
      </c>
      <c r="H8" s="27"/>
    </row>
    <row r="9" spans="1:9" ht="15" customHeight="1" x14ac:dyDescent="0.35">
      <c r="A9" s="21"/>
      <c r="B9" s="24" t="s">
        <v>145</v>
      </c>
      <c r="C9" s="28"/>
      <c r="D9" s="24"/>
      <c r="E9" s="24"/>
      <c r="F9" s="26">
        <f t="shared" si="0"/>
        <v>0</v>
      </c>
      <c r="G9" s="26" t="e">
        <f t="shared" si="1"/>
        <v>#DIV/0!</v>
      </c>
      <c r="H9" s="27"/>
    </row>
    <row r="10" spans="1:9" ht="15" customHeight="1" x14ac:dyDescent="0.35">
      <c r="A10" s="21"/>
      <c r="B10" s="24" t="s">
        <v>147</v>
      </c>
      <c r="C10" s="25"/>
      <c r="D10" s="24"/>
      <c r="E10" s="24"/>
      <c r="F10" s="26">
        <f t="shared" si="0"/>
        <v>0</v>
      </c>
      <c r="G10" s="26" t="e">
        <f t="shared" si="1"/>
        <v>#DIV/0!</v>
      </c>
      <c r="H10" s="27"/>
    </row>
    <row r="11" spans="1:9" ht="15" customHeight="1" x14ac:dyDescent="0.35">
      <c r="A11" s="21"/>
      <c r="B11" s="24" t="s">
        <v>147</v>
      </c>
      <c r="C11" s="25"/>
      <c r="D11" s="24"/>
      <c r="E11" s="24"/>
      <c r="F11" s="26">
        <f t="shared" si="0"/>
        <v>0</v>
      </c>
      <c r="G11" s="26" t="e">
        <f t="shared" si="1"/>
        <v>#DIV/0!</v>
      </c>
      <c r="H11" s="27"/>
    </row>
    <row r="12" spans="1:9" ht="15" customHeight="1" x14ac:dyDescent="0.35">
      <c r="A12" s="21"/>
      <c r="B12" s="29" t="s">
        <v>148</v>
      </c>
      <c r="C12" s="24"/>
      <c r="D12" s="24"/>
      <c r="E12" s="24"/>
      <c r="F12" s="24"/>
      <c r="G12" s="30" t="e">
        <f>AVERAGE(G5:G11)</f>
        <v>#DIV/0!</v>
      </c>
      <c r="H12" s="24"/>
    </row>
    <row r="13" spans="1:9" ht="15" customHeight="1" x14ac:dyDescent="0.35">
      <c r="B13" s="29" t="s">
        <v>149</v>
      </c>
      <c r="C13" s="24"/>
      <c r="D13" s="24"/>
      <c r="E13" s="24"/>
      <c r="F13" s="31"/>
      <c r="G13" s="29"/>
      <c r="H13" s="29"/>
      <c r="I13" s="23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1"/>
  <sheetViews>
    <sheetView workbookViewId="0">
      <selection activeCell="A10" sqref="A10"/>
    </sheetView>
  </sheetViews>
  <sheetFormatPr defaultRowHeight="14.5" x14ac:dyDescent="0.35"/>
  <cols>
    <col min="1" max="1" width="10.54296875" bestFit="1" customWidth="1"/>
  </cols>
  <sheetData>
    <row r="1" spans="1:3" x14ac:dyDescent="0.35">
      <c r="A1" s="50">
        <v>44490</v>
      </c>
      <c r="B1" t="s">
        <v>235</v>
      </c>
      <c r="C1" t="s">
        <v>236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2025-07-14T17:28:07Z</cp:lastPrinted>
  <dcterms:created xsi:type="dcterms:W3CDTF">2019-07-16T09:29:46Z</dcterms:created>
  <dcterms:modified xsi:type="dcterms:W3CDTF">2025-07-14T17:29:05Z</dcterms:modified>
</cp:coreProperties>
</file>