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09-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Report!$A$1:$H$450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7" i="1" l="1"/>
  <c r="N214" i="1"/>
  <c r="N210" i="1"/>
  <c r="J229" i="1"/>
  <c r="J230" i="1"/>
  <c r="J235" i="1"/>
  <c r="J239" i="1"/>
  <c r="J219" i="1"/>
  <c r="J207" i="1"/>
  <c r="J209" i="1"/>
  <c r="J254" i="1"/>
  <c r="J248" i="1"/>
  <c r="I152" i="1"/>
  <c r="I151" i="1"/>
  <c r="D192" i="1"/>
  <c r="E234" i="1"/>
  <c r="E233" i="1"/>
  <c r="E232" i="1"/>
  <c r="E200" i="1"/>
  <c r="G206" i="1"/>
  <c r="G205" i="1"/>
  <c r="G204" i="1"/>
  <c r="G203" i="1"/>
  <c r="I203" i="1"/>
  <c r="I174" i="1"/>
  <c r="D175" i="1"/>
  <c r="J192" i="1" l="1"/>
  <c r="I192" i="1"/>
  <c r="I206" i="1"/>
  <c r="E257" i="1"/>
  <c r="D257" i="1"/>
  <c r="E256" i="1"/>
  <c r="D256" i="1"/>
  <c r="E255" i="1"/>
  <c r="D255" i="1"/>
  <c r="E253" i="1"/>
  <c r="D253" i="1"/>
  <c r="E252" i="1"/>
  <c r="D252" i="1"/>
  <c r="E251" i="1"/>
  <c r="D251" i="1"/>
  <c r="E250" i="1"/>
  <c r="D250" i="1"/>
  <c r="E249" i="1"/>
  <c r="D249" i="1"/>
  <c r="E247" i="1"/>
  <c r="D247" i="1"/>
  <c r="E246" i="1"/>
  <c r="D246" i="1"/>
  <c r="E245" i="1"/>
  <c r="D245" i="1"/>
  <c r="E244" i="1"/>
  <c r="D244" i="1"/>
  <c r="E243" i="1"/>
  <c r="D243" i="1"/>
  <c r="E242" i="1"/>
  <c r="D242" i="1"/>
  <c r="E241" i="1"/>
  <c r="D241" i="1"/>
  <c r="E240" i="1"/>
  <c r="D240" i="1"/>
  <c r="E238" i="1"/>
  <c r="E237" i="1"/>
  <c r="E236" i="1"/>
  <c r="D238" i="1"/>
  <c r="D237" i="1"/>
  <c r="D236" i="1"/>
  <c r="E231" i="1"/>
  <c r="D234" i="1"/>
  <c r="D233" i="1"/>
  <c r="D232" i="1"/>
  <c r="D231" i="1"/>
  <c r="C89" i="1"/>
  <c r="F238" i="1" l="1"/>
  <c r="J238" i="1" s="1"/>
  <c r="F255" i="1"/>
  <c r="J255" i="1" s="1"/>
  <c r="F252" i="1"/>
  <c r="J252" i="1" s="1"/>
  <c r="A250" i="1"/>
  <c r="A251" i="1" s="1"/>
  <c r="A252" i="1" s="1"/>
  <c r="A253" i="1" s="1"/>
  <c r="A255" i="1" s="1"/>
  <c r="A256" i="1" s="1"/>
  <c r="A257" i="1" s="1"/>
  <c r="A241" i="1"/>
  <c r="A242" i="1" s="1"/>
  <c r="A243" i="1" s="1"/>
  <c r="A244" i="1" s="1"/>
  <c r="A245" i="1" s="1"/>
  <c r="A246" i="1" s="1"/>
  <c r="A247" i="1" s="1"/>
  <c r="A232" i="1"/>
  <c r="A233" i="1" s="1"/>
  <c r="A234" i="1" s="1"/>
  <c r="A237" i="1" s="1"/>
  <c r="A238" i="1" s="1"/>
  <c r="I231" i="1"/>
  <c r="E228" i="1"/>
  <c r="D228" i="1"/>
  <c r="E227" i="1"/>
  <c r="D227" i="1"/>
  <c r="E226" i="1"/>
  <c r="D226" i="1"/>
  <c r="E225" i="1"/>
  <c r="D225" i="1"/>
  <c r="E224" i="1"/>
  <c r="D224" i="1"/>
  <c r="E223" i="1"/>
  <c r="D223" i="1"/>
  <c r="E222" i="1"/>
  <c r="D222" i="1"/>
  <c r="E221" i="1"/>
  <c r="D221" i="1"/>
  <c r="E220" i="1"/>
  <c r="D220" i="1"/>
  <c r="E218" i="1"/>
  <c r="D218" i="1"/>
  <c r="E217" i="1"/>
  <c r="D217" i="1"/>
  <c r="E216" i="1"/>
  <c r="D216" i="1"/>
  <c r="E215" i="1"/>
  <c r="D215" i="1"/>
  <c r="E214" i="1"/>
  <c r="D214" i="1"/>
  <c r="E213" i="1"/>
  <c r="D213" i="1"/>
  <c r="E212" i="1"/>
  <c r="D212" i="1"/>
  <c r="E211" i="1"/>
  <c r="D211" i="1"/>
  <c r="E210" i="1"/>
  <c r="D210" i="1"/>
  <c r="D208" i="1"/>
  <c r="F208" i="1" s="1"/>
  <c r="J208" i="1" s="1"/>
  <c r="E206" i="1"/>
  <c r="D206" i="1"/>
  <c r="E205" i="1"/>
  <c r="D205" i="1"/>
  <c r="E204" i="1"/>
  <c r="D204" i="1"/>
  <c r="E203" i="1"/>
  <c r="D203" i="1"/>
  <c r="E202" i="1"/>
  <c r="D202" i="1"/>
  <c r="E201" i="1"/>
  <c r="D201" i="1"/>
  <c r="D200" i="1"/>
  <c r="A221" i="1"/>
  <c r="A222" i="1" s="1"/>
  <c r="A223" i="1" s="1"/>
  <c r="A224" i="1" s="1"/>
  <c r="A225" i="1" s="1"/>
  <c r="A226" i="1" s="1"/>
  <c r="A227" i="1" s="1"/>
  <c r="A228" i="1" s="1"/>
  <c r="I200" i="1"/>
  <c r="A211" i="1"/>
  <c r="A212" i="1" s="1"/>
  <c r="A213" i="1" s="1"/>
  <c r="A214" i="1" s="1"/>
  <c r="A215" i="1" s="1"/>
  <c r="A216" i="1" s="1"/>
  <c r="A217" i="1" s="1"/>
  <c r="A218" i="1" s="1"/>
  <c r="H192" i="1"/>
  <c r="G147" i="1" s="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J162" i="1"/>
  <c r="I175" i="1"/>
  <c r="I162" i="1"/>
  <c r="F162" i="1" l="1"/>
  <c r="F227" i="1"/>
  <c r="J227" i="1" s="1"/>
  <c r="F205" i="1"/>
  <c r="J205" i="1" s="1"/>
  <c r="F223" i="1"/>
  <c r="J223" i="1" s="1"/>
  <c r="K227" i="1"/>
  <c r="L227" i="1" s="1"/>
  <c r="K223" i="1"/>
  <c r="F211" i="1"/>
  <c r="F215" i="1"/>
  <c r="F220" i="1"/>
  <c r="F224" i="1"/>
  <c r="J224" i="1" s="1"/>
  <c r="F228" i="1"/>
  <c r="J228" i="1" s="1"/>
  <c r="H169" i="1"/>
  <c r="H173" i="1"/>
  <c r="H181" i="1"/>
  <c r="F189" i="1"/>
  <c r="F204" i="1"/>
  <c r="J204" i="1" s="1"/>
  <c r="F237" i="1"/>
  <c r="J237" i="1" s="1"/>
  <c r="F246" i="1"/>
  <c r="J246" i="1" s="1"/>
  <c r="F247" i="1"/>
  <c r="J247" i="1" s="1"/>
  <c r="F249" i="1"/>
  <c r="J249" i="1" s="1"/>
  <c r="F221" i="1"/>
  <c r="J221" i="1" s="1"/>
  <c r="F174" i="1"/>
  <c r="F251" i="1"/>
  <c r="J251" i="1" s="1"/>
  <c r="H183" i="1"/>
  <c r="F169" i="1"/>
  <c r="F236" i="1"/>
  <c r="J236" i="1" s="1"/>
  <c r="F177" i="1"/>
  <c r="F185" i="1"/>
  <c r="F241" i="1"/>
  <c r="J241" i="1" s="1"/>
  <c r="F243" i="1"/>
  <c r="J243" i="1" s="1"/>
  <c r="F256" i="1"/>
  <c r="J256" i="1" s="1"/>
  <c r="F166" i="1"/>
  <c r="H170" i="1"/>
  <c r="H174" i="1"/>
  <c r="H178" i="1"/>
  <c r="H182" i="1"/>
  <c r="F186" i="1"/>
  <c r="F213" i="1"/>
  <c r="F217" i="1"/>
  <c r="F222" i="1"/>
  <c r="J222" i="1" s="1"/>
  <c r="F206" i="1"/>
  <c r="J206" i="1" s="1"/>
  <c r="F210" i="1"/>
  <c r="J210" i="1" s="1"/>
  <c r="F218" i="1"/>
  <c r="F240" i="1"/>
  <c r="J240" i="1" s="1"/>
  <c r="F168" i="1"/>
  <c r="F172" i="1"/>
  <c r="F176" i="1"/>
  <c r="F188" i="1"/>
  <c r="F232" i="1"/>
  <c r="J232" i="1" s="1"/>
  <c r="F245" i="1"/>
  <c r="J245" i="1" s="1"/>
  <c r="F242" i="1"/>
  <c r="J242" i="1" s="1"/>
  <c r="F183" i="1"/>
  <c r="F233" i="1"/>
  <c r="J233" i="1" s="1"/>
  <c r="F253" i="1"/>
  <c r="J253" i="1" s="1"/>
  <c r="F212" i="1"/>
  <c r="F216" i="1"/>
  <c r="F225" i="1"/>
  <c r="J225" i="1" s="1"/>
  <c r="F231" i="1"/>
  <c r="J231" i="1" s="1"/>
  <c r="F234" i="1"/>
  <c r="J234" i="1" s="1"/>
  <c r="F250" i="1"/>
  <c r="J250" i="1" s="1"/>
  <c r="F257" i="1"/>
  <c r="J257" i="1" s="1"/>
  <c r="H171" i="1"/>
  <c r="H175" i="1"/>
  <c r="F226" i="1"/>
  <c r="J226" i="1" s="1"/>
  <c r="F244" i="1"/>
  <c r="J244" i="1" s="1"/>
  <c r="F214" i="1"/>
  <c r="H168" i="1"/>
  <c r="H188" i="1"/>
  <c r="F192" i="1"/>
  <c r="F170" i="1"/>
  <c r="H186" i="1"/>
  <c r="H166" i="1"/>
  <c r="F171" i="1"/>
  <c r="F187" i="1"/>
  <c r="H184" i="1"/>
  <c r="H180" i="1"/>
  <c r="H179" i="1"/>
  <c r="F175" i="1"/>
  <c r="H167" i="1"/>
  <c r="F182" i="1"/>
  <c r="H189" i="1"/>
  <c r="H187" i="1"/>
  <c r="H185" i="1"/>
  <c r="F184" i="1"/>
  <c r="F181" i="1"/>
  <c r="F180" i="1"/>
  <c r="F179" i="1"/>
  <c r="F178" i="1"/>
  <c r="H177" i="1"/>
  <c r="H176" i="1"/>
  <c r="F173" i="1"/>
  <c r="H172" i="1"/>
  <c r="F167" i="1"/>
  <c r="B260" i="1"/>
  <c r="K213" i="1" l="1"/>
  <c r="L213" i="1" s="1"/>
  <c r="J213" i="1"/>
  <c r="K220" i="1"/>
  <c r="J220" i="1"/>
  <c r="K216" i="1"/>
  <c r="L216" i="1" s="1"/>
  <c r="J216" i="1"/>
  <c r="K215" i="1"/>
  <c r="L215" i="1" s="1"/>
  <c r="J215" i="1"/>
  <c r="K212" i="1"/>
  <c r="L212" i="1" s="1"/>
  <c r="J212" i="1"/>
  <c r="K218" i="1"/>
  <c r="L218" i="1" s="1"/>
  <c r="J218" i="1"/>
  <c r="K211" i="1"/>
  <c r="L211" i="1" s="1"/>
  <c r="J211" i="1"/>
  <c r="K214" i="1"/>
  <c r="L214" i="1" s="1"/>
  <c r="J214" i="1"/>
  <c r="K217" i="1"/>
  <c r="L217" i="1" s="1"/>
  <c r="J217" i="1"/>
  <c r="K210" i="1"/>
  <c r="L210" i="1" s="1"/>
  <c r="G152" i="1"/>
  <c r="E152" i="1"/>
  <c r="C152" i="1"/>
  <c r="C147" i="1"/>
  <c r="E147" i="1"/>
  <c r="G58" i="1"/>
  <c r="G56" i="1"/>
  <c r="C56" i="1"/>
  <c r="S33" i="1" l="1"/>
  <c r="F11" i="5" l="1"/>
  <c r="G11" i="5" s="1"/>
  <c r="F10" i="5"/>
  <c r="G10" i="5" s="1"/>
  <c r="F9" i="5"/>
  <c r="G9" i="5" s="1"/>
  <c r="F8" i="5"/>
  <c r="G8" i="5" s="1"/>
  <c r="F7" i="5"/>
  <c r="G7" i="5" s="1"/>
  <c r="F6" i="5"/>
  <c r="G6" i="5" s="1"/>
  <c r="F5" i="5"/>
  <c r="G5" i="5" s="1"/>
  <c r="G12" i="5" s="1"/>
  <c r="D282" i="1"/>
  <c r="B261" i="1"/>
  <c r="F203" i="1"/>
  <c r="J203" i="1" s="1"/>
  <c r="F202" i="1"/>
  <c r="J202" i="1" s="1"/>
  <c r="F201" i="1"/>
  <c r="J201" i="1" s="1"/>
  <c r="A201" i="1"/>
  <c r="A202" i="1" s="1"/>
  <c r="A203" i="1" s="1"/>
  <c r="F200" i="1"/>
  <c r="H165" i="1"/>
  <c r="F165" i="1"/>
  <c r="H164" i="1"/>
  <c r="F164" i="1"/>
  <c r="H163" i="1"/>
  <c r="F163" i="1"/>
  <c r="A163" i="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H162" i="1"/>
  <c r="F143" i="1"/>
  <c r="C117" i="1"/>
  <c r="C103" i="1"/>
  <c r="C75" i="1"/>
  <c r="D69" i="1"/>
  <c r="D62" i="1"/>
  <c r="G51" i="1"/>
  <c r="G52" i="1" s="1"/>
  <c r="C51" i="1"/>
  <c r="E44" i="1"/>
  <c r="E45" i="1" s="1"/>
  <c r="E31" i="1"/>
  <c r="E28" i="1"/>
  <c r="E26" i="1"/>
  <c r="C16" i="1"/>
  <c r="I15" i="1"/>
  <c r="Z13" i="1"/>
  <c r="E8" i="1"/>
  <c r="E3" i="1"/>
  <c r="H76" i="1"/>
  <c r="H104" i="1"/>
  <c r="H118" i="1"/>
  <c r="G146" i="1" l="1"/>
  <c r="G148" i="1" s="1"/>
  <c r="E146" i="1"/>
  <c r="E148" i="1" s="1"/>
  <c r="C146" i="1"/>
  <c r="C148" i="1" s="1"/>
  <c r="K200" i="1"/>
  <c r="J200" i="1"/>
  <c r="G151" i="1"/>
  <c r="G153" i="1" s="1"/>
  <c r="C151" i="1"/>
  <c r="C153" i="1" s="1"/>
  <c r="E151" i="1"/>
  <c r="E153" i="1" s="1"/>
  <c r="A204" i="1"/>
  <c r="A205" i="1" s="1"/>
  <c r="A206" i="1" s="1"/>
  <c r="J75" i="1"/>
  <c r="J77" i="1" s="1"/>
  <c r="J78" i="1"/>
  <c r="J79" i="1"/>
  <c r="J80" i="1"/>
  <c r="C79" i="1" s="1"/>
  <c r="J108" i="1"/>
  <c r="D112" i="1"/>
  <c r="D114" i="1"/>
  <c r="J107" i="1"/>
  <c r="D113" i="1"/>
  <c r="J103" i="1"/>
  <c r="J105" i="1" s="1"/>
  <c r="D111" i="1"/>
  <c r="J106" i="1"/>
  <c r="D110" i="1"/>
  <c r="D116" i="1"/>
  <c r="D115" i="1"/>
  <c r="D109" i="1"/>
  <c r="D83" i="1"/>
  <c r="D85" i="1"/>
  <c r="D84" i="1"/>
  <c r="D88" i="1"/>
  <c r="D82" i="1"/>
  <c r="D87" i="1"/>
  <c r="D81" i="1"/>
  <c r="D86" i="1"/>
  <c r="C123" i="1"/>
  <c r="J117" i="1" s="1"/>
  <c r="J119" i="1" s="1"/>
  <c r="D126" i="1"/>
  <c r="D128" i="1"/>
  <c r="J122" i="1"/>
  <c r="C121" i="1" s="1"/>
  <c r="D121" i="1" s="1"/>
  <c r="D127" i="1"/>
  <c r="J121" i="1"/>
  <c r="D125" i="1"/>
  <c r="J120" i="1"/>
  <c r="D124" i="1"/>
  <c r="D130" i="1"/>
  <c r="D129" i="1"/>
  <c r="B118" i="1"/>
  <c r="B104" i="1"/>
  <c r="B76" i="1"/>
  <c r="J81" i="1" s="1"/>
  <c r="D107" i="1" l="1"/>
  <c r="C154" i="1"/>
  <c r="E154" i="1"/>
  <c r="G154" i="1"/>
  <c r="D79" i="1"/>
  <c r="D123" i="1"/>
  <c r="J128" i="1"/>
  <c r="J125" i="1"/>
  <c r="J127" i="1"/>
  <c r="J126" i="1"/>
  <c r="J123" i="1"/>
  <c r="J124" i="1" s="1"/>
  <c r="J129" i="1" s="1"/>
  <c r="J130" i="1" s="1"/>
  <c r="C122" i="1" s="1"/>
  <c r="J114" i="1"/>
  <c r="J111" i="1"/>
  <c r="J113" i="1"/>
  <c r="J112" i="1"/>
  <c r="J109" i="1"/>
  <c r="J110" i="1" s="1"/>
  <c r="J85" i="1"/>
  <c r="J83" i="1"/>
  <c r="J84" i="1"/>
  <c r="J82" i="1"/>
  <c r="J87" i="1" s="1"/>
  <c r="J86" i="1"/>
  <c r="J88" i="1" l="1"/>
  <c r="C80" i="1" s="1"/>
  <c r="E79" i="1" s="1"/>
  <c r="J115" i="1"/>
  <c r="J116" i="1" s="1"/>
  <c r="E121" i="1"/>
  <c r="D122" i="1"/>
  <c r="I118" i="1" s="1"/>
  <c r="J118" i="1"/>
  <c r="G121" i="1"/>
  <c r="J76" i="1" l="1"/>
  <c r="G79" i="1"/>
  <c r="D73" i="1" s="1"/>
  <c r="F74" i="1" s="1"/>
  <c r="D80" i="1"/>
  <c r="I119" i="1"/>
  <c r="I117" i="1" s="1"/>
  <c r="C119" i="1" s="1"/>
  <c r="D108" i="1" l="1"/>
  <c r="I104" i="1" s="1"/>
  <c r="I105" i="1" s="1"/>
  <c r="E107" i="1"/>
  <c r="G107" i="1"/>
  <c r="J104" i="1"/>
  <c r="I76" i="1"/>
  <c r="I77" i="1" s="1"/>
  <c r="D74" i="1"/>
  <c r="I103" i="1" l="1"/>
  <c r="C105" i="1" s="1"/>
  <c r="I75" i="1"/>
  <c r="C77" i="1" s="1"/>
  <c r="B90" i="1"/>
  <c r="H90" i="1"/>
  <c r="D101" i="1" l="1"/>
  <c r="D97" i="1"/>
  <c r="J93" i="1"/>
  <c r="D98" i="1"/>
  <c r="D100" i="1"/>
  <c r="D96" i="1"/>
  <c r="D99" i="1"/>
  <c r="J92" i="1"/>
  <c r="J89" i="1"/>
  <c r="J91" i="1" s="1"/>
  <c r="D95" i="1"/>
  <c r="J94" i="1"/>
  <c r="C93" i="1" s="1"/>
  <c r="D102" i="1"/>
  <c r="J100" i="1"/>
  <c r="J98" i="1"/>
  <c r="J97" i="1"/>
  <c r="J99" i="1"/>
  <c r="J95" i="1"/>
  <c r="J96" i="1" s="1"/>
  <c r="J101" i="1" l="1"/>
  <c r="D93" i="1"/>
  <c r="J102" i="1" l="1"/>
  <c r="C94" i="1" s="1"/>
  <c r="G93" i="1" s="1"/>
  <c r="D94" i="1" l="1"/>
  <c r="I90" i="1" s="1"/>
  <c r="I91" i="1" s="1"/>
  <c r="E93" i="1"/>
  <c r="J90" i="1"/>
  <c r="I89" i="1" l="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6"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9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<sst xmlns="http://schemas.openxmlformats.org/spreadsheetml/2006/main" count="725" uniqueCount="370">
  <si>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</si>
  <si>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</si>
  <si>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</si>
  <si>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</si>
  <si>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</si>
  <si>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</si>
  <si>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</si>
  <si>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</si>
  <si>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</si>
  <si>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</si>
  <si>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</si>
  <si>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</si>
  <si>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</si>
  <si>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</si>
  <si>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</si>
  <si>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</si>
  <si>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</si>
  <si>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</si>
  <si>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</si>
  <si>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</si>
  <si>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</si>
  <si>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</si>
  <si>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</si>
  <si>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</si>
  <si>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</si>
  <si>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</si>
  <si>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</si>
  <si>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</si>
  <si>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</si>
  <si>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</si>
  <si>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</si>
  <si>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</si>
  <si>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</si>
  <si>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</si>
  <si>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</si>
  <si>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</si>
  <si>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</si>
  <si>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</si>
  <si>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</si>
  <si>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</si>
  <si>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</si>
  <si>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</si>
  <si>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</si>
  <si>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</si>
  <si>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</si>
  <si>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</si>
  <si>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</si>
  <si>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</si>
  <si>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</si>
  <si>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</si>
  <si>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</si>
  <si>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</si>
  <si>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</si>
  <si>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</si>
  <si>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</si>
  <si>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</si>
  <si>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</si>
  <si>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</si>
  <si>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</si>
  <si>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</si>
  <si>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</si>
  <si>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</si>
  <si>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</si>
  <si>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</si>
  <si>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</si>
  <si>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</si>
  <si>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</si>
  <si>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</si>
  <si>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</si>
  <si>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</si>
  <si>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</si>
  <si>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</si>
  <si>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</si>
  <si>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</si>
  <si>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</si>
  <si>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</si>
  <si>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</si>
  <si>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</si>
  <si>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</si>
  <si>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</si>
  <si>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</si>
  <si>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</si>
  <si>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</si>
  <si>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</si>
  <si>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</si>
  <si>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</si>
  <si>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</si>
  <si>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</si>
  <si>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</si>
  <si>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</si>
  <si>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</si>
  <si>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</si>
  <si>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</si>
  <si>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</si>
  <si>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</si>
  <si>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</si>
  <si>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</si>
  <si>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</si>
  <si>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</si>
  <si>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</si>
  <si>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</si>
  <si>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</si>
  <si>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</si>
  <si>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</si>
  <si>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</si>
  <si>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</si>
  <si>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</si>
  <si>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</si>
  <si>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</si>
  <si>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</si>
  <si>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</si>
  <si>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</si>
  <si>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</si>
  <si>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</si>
  <si>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</si>
  <si>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</si>
  <si>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</si>
  <si>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</si>
  <si>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</si>
  <si>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</si>
  <si>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</si>
  <si>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</si>
  <si>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</si>
  <si>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</si>
  <si>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</si>
  <si>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</si>
  <si>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</si>
  <si>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</si>
  <si>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</si>
  <si>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</si>
  <si>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</si>
  <si>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</si>
  <si>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</si>
  <si>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</si>
  <si>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</si>
  <si>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</si>
  <si>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</si>
  <si>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</si>
  <si>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</si>
  <si>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</si>
  <si>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</si>
  <si>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</si>
  <si>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</si>
  <si>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</si>
  <si>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</si>
  <si>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</si>
  <si>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</si>
  <si>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</si>
  <si>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</si>
  <si>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</si>
  <si>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</si>
  <si>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</si>
  <si>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</si>
  <si>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</si>
  <si>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</si>
  <si>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</si>
  <si>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</si>
  <si>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</si>
  <si>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</si>
  <si>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</si>
  <si>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</si>
  <si>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</si>
  <si>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</si>
  <si>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</si>
  <si>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</si>
  <si>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</si>
  <si>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</si>
  <si>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</si>
  <si>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</si>
  <si>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</si>
  <si>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</si>
  <si>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</si>
  <si>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</si>
  <si>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</si>
  <si>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</si>
  <si>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</si>
  <si>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</si>
  <si>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</si>
  <si>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</si>
  <si>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</si>
  <si>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</si>
  <si>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</si>
  <si>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</si>
  <si>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</si>
  <si>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</si>
  <si>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</si>
  <si>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</si>
  <si>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</si>
  <si>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</si>
  <si>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</si>
  <si>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</si>
  <si>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</si>
  <si>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</si>
  <si>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</si>
  <si>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</si>
  <si>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</si>
  <si>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</si>
  <si>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</si>
  <si>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</si>
  <si>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</si>
  <si>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</si>
  <si>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</si>
  <si>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</si>
  <si>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</si>
  <si>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</si>
  <si>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</si>
  <si>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</si>
  <si>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</si>
  <si>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</si>
  <si>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</si>
  <si>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</si>
  <si>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</si>
  <si>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</si>
  <si>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</si>
  <si>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</si>
  <si>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</si>
  <si>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</si>
  <si>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</si>
  <si>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</si>
  <si>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</si>
  <si>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</si>
  <si>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</si>
  <si>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</si>
  <si>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</si>
  <si>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</si>
  <si>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</si>
  <si>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</si>
  <si>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</si>
  <si>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</si>
  <si>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</si>
  <si>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</si>
  <si>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</si>
  <si>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</si>
  <si>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</si>
  <si>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</si>
  <si>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</si>
  <si>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</si>
  <si>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</si>
  <si>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</si>
  <si>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</si>
  <si>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</si>
  <si>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</si>
  <si>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</si>
  <si>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</si>
  <si>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</si>
  <si>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</si>
  <si>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</si>
  <si>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</si>
  <si>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</si>
  <si>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</si>
  <si>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</si>
  <si>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</si>
  <si>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</si>
  <si>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</si>
  <si>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</si>
  <si>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</si>
  <si>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</si>
  <si>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</si>
  <si>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</si>
  <si>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</si>
  <si>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</si>
  <si>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</si>
  <si>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</si>
  <si>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</si>
  <si>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</si>
  <si>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</si>
  <si>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</si>
  <si>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</si>
  <si>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</si>
  <si>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</si>
  <si>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</si>
  <si>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</si>
  <si>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</si>
  <si>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</si>
  <si>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</si>
  <si>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</si>
  <si>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</si>
  <si>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</si>
  <si>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</si>
  <si>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</si>
  <si>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</si>
  <si>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</si>
  <si>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</si>
  <si>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</si>
  <si>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</si>
  <si>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</si>
  <si>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</si>
  <si>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</si>
  <si>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</si>
  <si>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</si>
  <si>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</si>
  <si>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</si>
  <si>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</si>
  <si>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</si>
  <si>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</si>
  <si>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</si>
  <si>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</si>
  <si>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</si>
  <si>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S M Hitech Developers</t>
  </si>
  <si>
    <t>SM Emerald</t>
  </si>
  <si>
    <t>Mr. Khayum Patel 9930357927</t>
  </si>
  <si>
    <t>02 Building</t>
  </si>
  <si>
    <t>Approved Plans, CC, Sale Plans &amp; Cost Sheet</t>
  </si>
  <si>
    <t>P52000051962</t>
  </si>
  <si>
    <t>Survey No</t>
  </si>
  <si>
    <t>112/5/1(Pt)</t>
  </si>
  <si>
    <t>Taloja Majkur</t>
  </si>
  <si>
    <t>19.077976,73.105899</t>
  </si>
  <si>
    <t>https://maps.app.goo.gl/vmGN1xDyb1oWPnBq8</t>
  </si>
  <si>
    <t>Open Plot</t>
  </si>
  <si>
    <t>Ghotlamp koayana vele</t>
  </si>
  <si>
    <t>Ghot Road</t>
  </si>
  <si>
    <t>Taloja</t>
  </si>
  <si>
    <t>Simran Majestic</t>
  </si>
  <si>
    <t>Internal Road</t>
  </si>
  <si>
    <t>Seaqueen Park</t>
  </si>
  <si>
    <t>12.00 M. Wide Road</t>
  </si>
  <si>
    <t>Other Plot</t>
  </si>
  <si>
    <t>PMP/NRV/16635/1140/2023</t>
  </si>
  <si>
    <t>PMC/Taloje Majkur/112/5/1(Pt)/21-23/
16635/1140/2023</t>
  </si>
  <si>
    <t>Building 1 = Ground + 10 Upper Floor
Building 2 = Ground + 1st Upper Floor</t>
  </si>
  <si>
    <t>Building 1 (Wing A &amp; B) = Gr + 1st to 10th Floor
Building 2 = Gr + 1st Floor</t>
  </si>
  <si>
    <t>Building 2 = Gr + 1st Floor</t>
  </si>
  <si>
    <t>As per RERA - 31/12/2027</t>
  </si>
  <si>
    <r>
      <t xml:space="preserve">Proposed Amenities :                                                                                                                                                                                                                         </t>
    </r>
    <r>
      <rPr>
        <b/>
        <sz val="12"/>
        <rFont val="Times New Roman"/>
        <family val="1"/>
      </rPr>
      <t xml:space="preserve">                                               </t>
    </r>
  </si>
  <si>
    <t>Swimming Pool, Kids Play Area, Senior Sit-Outs, Garden, Indoor Games, Jogging rack, Fitness Centre, etc.</t>
  </si>
  <si>
    <t>as per sale Plan</t>
  </si>
  <si>
    <t>Building 1</t>
  </si>
  <si>
    <t>Wing A</t>
  </si>
  <si>
    <t>Wing A + B</t>
  </si>
  <si>
    <t>Ground Floor For Commercial, Entrance Lobby, Drivers Room &amp; Parking</t>
  </si>
  <si>
    <t>Shop</t>
  </si>
  <si>
    <t>Building 2</t>
  </si>
  <si>
    <t>Ground Floor For Commercial</t>
  </si>
  <si>
    <t>Shop (Duplex With 1st Floor)</t>
  </si>
  <si>
    <t>1st Floor (Shop Duplex With Ground Floor)</t>
  </si>
  <si>
    <t>1st Floor For Residential</t>
  </si>
  <si>
    <t>1BHK</t>
  </si>
  <si>
    <t>2BHK</t>
  </si>
  <si>
    <t>2nd to 6th &amp; 8th to 10th Floor</t>
  </si>
  <si>
    <t>7th Floor (Refuge Balcony At Staircase)</t>
  </si>
  <si>
    <t>Wing B</t>
  </si>
  <si>
    <t>We considered Gross carpet area = Net carpet + W.S. Area.</t>
  </si>
  <si>
    <t>WS Area</t>
  </si>
  <si>
    <t>-</t>
  </si>
  <si>
    <t>Multipurpose Hall</t>
  </si>
  <si>
    <t>Building 1 (Wing A) = Gr + 1st to 14th Floor</t>
  </si>
  <si>
    <t>Building 1 (Wing B) = Gr + 1st to 14th Floor</t>
  </si>
  <si>
    <t>7th Floor (Refuge Area Between Flat No. 5 &amp; 6)</t>
  </si>
  <si>
    <t>Refuge Area</t>
  </si>
  <si>
    <t>Buidlding 1 Wing A + B</t>
  </si>
  <si>
    <t>Buidlding 1 Wing A</t>
  </si>
  <si>
    <t>Buidlding 1 Wing B</t>
  </si>
  <si>
    <t>Flats - 168, Shops - 29</t>
  </si>
  <si>
    <t>sale plan</t>
  </si>
  <si>
    <t>2.70KM from Pethali Taloja Metro Station</t>
  </si>
  <si>
    <t>Building No. 1 &amp; 2</t>
  </si>
  <si>
    <t>High Tension lines are passing through project (SM Emerald).</t>
  </si>
  <si>
    <t>Fitness Centre/Society Office</t>
  </si>
  <si>
    <t>Builder saleable area</t>
  </si>
  <si>
    <t>NAVI/WEST/B</t>
  </si>
  <si>
    <t>PMC/FIRE/2023/555</t>
  </si>
  <si>
    <t>Ground + 14 Upper Floor</t>
  </si>
  <si>
    <t>A Document is provided by Bank official regarding remark no. 9, which suggests that construction work can be done parallel to high tension line apart the distance of 11m.
Document is attached below.</t>
  </si>
  <si>
    <t>Remark No. 10</t>
  </si>
  <si>
    <t>Mr. Patel : 9004544112</t>
  </si>
  <si>
    <t>Bldg No. 1 = Construction work is in process at the time of Visit. Internal visit not allowed.
Bldg No. 2 = Work not yet started.</t>
  </si>
  <si>
    <t>Sunil Peravi</t>
  </si>
  <si>
    <t>Mr. Irfan Patel</t>
  </si>
  <si>
    <t>Pooja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</si>
</sst>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0" fillId="0" borderId="1" xfId="0" applyFill="1" applyBorder="1" applyAlignment="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0" fontId="10" fillId="0" borderId="0" xfId="1" applyFont="1"/>
    <xf numFmtId="9" fontId="13" fillId="0" borderId="16" xfId="8" applyFont="1" applyFill="1" applyBorder="1" applyAlignment="1" applyProtection="1">
      <alignment horizontal="center" vertical="top"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164" fontId="7" fillId="0" borderId="0" xfId="1" applyNumberFormat="1" applyFont="1" applyAlignment="1">
      <alignment horizontal="center" vertical="center"/>
    </xf>
    <xf numFmtId="168" fontId="7" fillId="0" borderId="0" xfId="1" applyNumberFormat="1" applyFont="1" applyAlignment="1">
      <alignment horizontal="center" vertical="center"/>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8" xfId="0" applyNumberFormat="1" applyFont="1" applyBorder="1" applyAlignment="1" applyProtection="1">
      <alignment horizontal="center" vertical="center" wrapText="1"/>
      <protection locked="0"/>
    </xf>
    <xf numFmtId="1" fontId="6" fillId="0" borderId="9"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10"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0" fontId="8" fillId="0" borderId="16"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4" fontId="12" fillId="0" borderId="8" xfId="1" applyNumberFormat="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6" fillId="0" borderId="3" xfId="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1" fontId="7" fillId="0" borderId="8" xfId="0" applyNumberFormat="1" applyFont="1" applyBorder="1" applyAlignment="1" applyProtection="1">
      <alignment horizontal="center" vertical="top" wrapText="1"/>
      <protection locked="0"/>
    </xf>
    <xf numFmtId="0" fontId="7" fillId="0" borderId="9" xfId="0" applyFont="1" applyBorder="1" applyAlignment="1" applyProtection="1">
      <alignment horizontal="center" vertical="top" wrapText="1"/>
      <protection locked="0"/>
    </xf>
    <xf numFmtId="1" fontId="8" fillId="0" borderId="8" xfId="0" applyNumberFormat="1" applyFont="1" applyBorder="1" applyAlignment="1" applyProtection="1">
      <alignment horizontal="center" vertical="center" wrapText="1"/>
      <protection locked="0"/>
    </xf>
    <xf numFmtId="1" fontId="8" fillId="0" borderId="9" xfId="0" applyNumberFormat="1" applyFont="1" applyBorder="1" applyAlignment="1" applyProtection="1">
      <alignment horizontal="center" vertical="center" wrapText="1"/>
      <protection locked="0"/>
    </xf>
    <xf numFmtId="1" fontId="10" fillId="0" borderId="8" xfId="0" applyNumberFormat="1"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emf"/><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326</xdr:row>
      <xdr:rowOff>19049</xdr:rowOff>
    </xdr:from>
    <xdr:to>
      <xdr:col>7</xdr:col>
      <xdr:colOff>643125</xdr:colOff>
      <xdr:row>352</xdr:row>
      <xdr:rowOff>118941</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104775" y="65474849"/>
          <a:ext cx="6120000" cy="5300542"/>
        </a:xfrm>
        <a:prstGeom prst="rect">
          <a:avLst/>
        </a:prstGeom>
        <a:ln>
          <a:solidFill>
            <a:sysClr val="windowText" lastClr="000000"/>
          </a:solidFill>
        </a:ln>
      </xdr:spPr>
    </xdr:pic>
    <xdr:clientData/>
  </xdr:twoCellAnchor>
  <xdr:twoCellAnchor>
    <xdr:from>
      <xdr:col>1</xdr:col>
      <xdr:colOff>419100</xdr:colOff>
      <xdr:row>337</xdr:row>
      <xdr:rowOff>171450</xdr:rowOff>
    </xdr:from>
    <xdr:to>
      <xdr:col>3</xdr:col>
      <xdr:colOff>495300</xdr:colOff>
      <xdr:row>346</xdr:row>
      <xdr:rowOff>95250</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1181100" y="67808475"/>
          <a:ext cx="1724025" cy="17240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542925</xdr:colOff>
      <xdr:row>338</xdr:row>
      <xdr:rowOff>104775</xdr:rowOff>
    </xdr:from>
    <xdr:to>
      <xdr:col>5</xdr:col>
      <xdr:colOff>571500</xdr:colOff>
      <xdr:row>346</xdr:row>
      <xdr:rowOff>95250</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2952750" y="67941825"/>
          <a:ext cx="1724025" cy="15906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oneCellAnchor>
    <xdr:from>
      <xdr:col>2</xdr:col>
      <xdr:colOff>190500</xdr:colOff>
      <xdr:row>346</xdr:row>
      <xdr:rowOff>95250</xdr:rowOff>
    </xdr:from>
    <xdr:ext cx="650306"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1752600" y="69532500"/>
          <a:ext cx="6503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WING</a:t>
          </a:r>
          <a:r>
            <a:rPr lang="en-IN" sz="1100" b="1" baseline="0">
              <a:solidFill>
                <a:srgbClr val="FF0000"/>
              </a:solidFill>
            </a:rPr>
            <a:t> A</a:t>
          </a:r>
          <a:endParaRPr lang="en-IN" sz="1100" b="1">
            <a:solidFill>
              <a:srgbClr val="FF0000"/>
            </a:solidFill>
          </a:endParaRPr>
        </a:p>
      </xdr:txBody>
    </xdr:sp>
    <xdr:clientData/>
  </xdr:oneCellAnchor>
  <xdr:oneCellAnchor>
    <xdr:from>
      <xdr:col>4</xdr:col>
      <xdr:colOff>142875</xdr:colOff>
      <xdr:row>346</xdr:row>
      <xdr:rowOff>123825</xdr:rowOff>
    </xdr:from>
    <xdr:ext cx="643894"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3467100" y="69561075"/>
          <a:ext cx="6438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WING</a:t>
          </a:r>
          <a:r>
            <a:rPr lang="en-IN" sz="1100" b="1" baseline="0">
              <a:solidFill>
                <a:srgbClr val="FF0000"/>
              </a:solidFill>
            </a:rPr>
            <a:t> B</a:t>
          </a:r>
          <a:endParaRPr lang="en-IN" sz="1100" b="1">
            <a:solidFill>
              <a:srgbClr val="FF0000"/>
            </a:solidFill>
          </a:endParaRPr>
        </a:p>
      </xdr:txBody>
    </xdr:sp>
    <xdr:clientData/>
  </xdr:oneCellAnchor>
  <xdr:twoCellAnchor editAs="oneCell">
    <xdr:from>
      <xdr:col>0</xdr:col>
      <xdr:colOff>285750</xdr:colOff>
      <xdr:row>410</xdr:row>
      <xdr:rowOff>28575</xdr:rowOff>
    </xdr:from>
    <xdr:to>
      <xdr:col>7</xdr:col>
      <xdr:colOff>464100</xdr:colOff>
      <xdr:row>430</xdr:row>
      <xdr:rowOff>80170</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85750" y="74104500"/>
          <a:ext cx="5760000" cy="4052094"/>
        </a:xfrm>
        <a:prstGeom prst="rect">
          <a:avLst/>
        </a:prstGeom>
        <a:ln>
          <a:solidFill>
            <a:schemeClr val="tx1"/>
          </a:solidFill>
        </a:ln>
      </xdr:spPr>
    </xdr:pic>
    <xdr:clientData/>
  </xdr:twoCellAnchor>
  <xdr:twoCellAnchor>
    <xdr:from>
      <xdr:col>0</xdr:col>
      <xdr:colOff>285750</xdr:colOff>
      <xdr:row>431</xdr:row>
      <xdr:rowOff>20488</xdr:rowOff>
    </xdr:from>
    <xdr:to>
      <xdr:col>7</xdr:col>
      <xdr:colOff>464100</xdr:colOff>
      <xdr:row>448</xdr:row>
      <xdr:rowOff>0</xdr:rowOff>
    </xdr:to>
    <xdr:grpSp>
      <xdr:nvGrpSpPr>
        <xdr:cNvPr id="24" name="Group 23">
          <a:extLst>
            <a:ext uri="{FF2B5EF4-FFF2-40B4-BE49-F238E27FC236}">
              <a16:creationId xmlns:a16="http://schemas.microsoft.com/office/drawing/2014/main" id="{00000000-0008-0000-0000-000018000000}"/>
            </a:ext>
          </a:extLst>
        </xdr:cNvPr>
        <xdr:cNvGrpSpPr/>
      </xdr:nvGrpSpPr>
      <xdr:grpSpPr>
        <a:xfrm>
          <a:off x="285750" y="85237488"/>
          <a:ext cx="6033050" cy="3325962"/>
          <a:chOff x="603849" y="4330460"/>
          <a:chExt cx="5760000" cy="3807999"/>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603849" y="4330460"/>
            <a:ext cx="5760000" cy="3807999"/>
          </a:xfrm>
          <a:prstGeom prst="rect">
            <a:avLst/>
          </a:prstGeom>
          <a:ln>
            <a:solidFill>
              <a:schemeClr val="tx1"/>
            </a:solidFill>
          </a:ln>
        </xdr:spPr>
      </xdr:pic>
      <xdr:sp macro="" textlink="">
        <xdr:nvSpPr>
          <xdr:cNvPr id="26" name="Rectangle 25">
            <a:extLst>
              <a:ext uri="{FF2B5EF4-FFF2-40B4-BE49-F238E27FC236}">
                <a16:creationId xmlns:a16="http://schemas.microsoft.com/office/drawing/2014/main" id="{00000000-0008-0000-0000-00001A000000}"/>
              </a:ext>
            </a:extLst>
          </xdr:cNvPr>
          <xdr:cNvSpPr/>
        </xdr:nvSpPr>
        <xdr:spPr>
          <a:xfrm rot="19936946">
            <a:off x="2203672" y="5117188"/>
            <a:ext cx="1702503" cy="1656272"/>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0</xdr:col>
      <xdr:colOff>133350</xdr:colOff>
      <xdr:row>366</xdr:row>
      <xdr:rowOff>28575</xdr:rowOff>
    </xdr:from>
    <xdr:to>
      <xdr:col>7</xdr:col>
      <xdr:colOff>643721</xdr:colOff>
      <xdr:row>387</xdr:row>
      <xdr:rowOff>148051</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33350" y="74380725"/>
          <a:ext cx="6092021" cy="4320000"/>
        </a:xfrm>
        <a:prstGeom prst="rect">
          <a:avLst/>
        </a:prstGeom>
        <a:ln>
          <a:solidFill>
            <a:schemeClr val="tx1"/>
          </a:solidFill>
        </a:ln>
      </xdr:spPr>
    </xdr:pic>
    <xdr:clientData/>
  </xdr:twoCellAnchor>
  <xdr:twoCellAnchor editAs="oneCell">
    <xdr:from>
      <xdr:col>1</xdr:col>
      <xdr:colOff>503238</xdr:colOff>
      <xdr:row>388</xdr:row>
      <xdr:rowOff>151944</xdr:rowOff>
    </xdr:from>
    <xdr:to>
      <xdr:col>6</xdr:col>
      <xdr:colOff>138344</xdr:colOff>
      <xdr:row>404</xdr:row>
      <xdr:rowOff>191544</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5"/>
        <a:stretch>
          <a:fillRect/>
        </a:stretch>
      </xdr:blipFill>
      <xdr:spPr>
        <a:xfrm>
          <a:off x="1265238" y="78304569"/>
          <a:ext cx="3721331" cy="3240000"/>
        </a:xfrm>
        <a:prstGeom prst="rect">
          <a:avLst/>
        </a:prstGeom>
        <a:ln>
          <a:solidFill>
            <a:schemeClr val="tx1"/>
          </a:solidFill>
        </a:ln>
      </xdr:spPr>
    </xdr:pic>
    <xdr:clientData/>
  </xdr:twoCellAnchor>
  <xdr:twoCellAnchor>
    <xdr:from>
      <xdr:col>8</xdr:col>
      <xdr:colOff>584200</xdr:colOff>
      <xdr:row>280</xdr:row>
      <xdr:rowOff>174625</xdr:rowOff>
    </xdr:from>
    <xdr:to>
      <xdr:col>15</xdr:col>
      <xdr:colOff>742481</xdr:colOff>
      <xdr:row>320</xdr:row>
      <xdr:rowOff>178383</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207250" y="55673625"/>
          <a:ext cx="6432081" cy="7871408"/>
          <a:chOff x="107950" y="55397400"/>
          <a:chExt cx="6422556" cy="7871408"/>
        </a:xfrm>
      </xdr:grpSpPr>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236984" y="61108808"/>
            <a:ext cx="1618313" cy="216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07951" y="55397400"/>
            <a:ext cx="2049863" cy="2736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294297" y="55397400"/>
            <a:ext cx="2049863" cy="2736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294297" y="58253104"/>
            <a:ext cx="2049863" cy="2736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7950" y="58253104"/>
            <a:ext cx="2049863" cy="2736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480643" y="55397400"/>
            <a:ext cx="2049863" cy="2736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480643" y="58253104"/>
            <a:ext cx="2049863" cy="2736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727390" y="61108808"/>
            <a:ext cx="1618313" cy="2160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482187" y="61108808"/>
            <a:ext cx="1618313" cy="2160000"/>
          </a:xfrm>
          <a:prstGeom prst="rect">
            <a:avLst/>
          </a:prstGeom>
          <a:ln>
            <a:solidFill>
              <a:schemeClr val="tx1"/>
            </a:solidFill>
          </a:ln>
        </xdr:spPr>
      </xdr:pic>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1250951" y="555371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A Wing</a:t>
            </a:r>
          </a:p>
        </xdr:txBody>
      </xdr:sp>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3246797" y="558482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A Wing</a:t>
            </a:r>
          </a:p>
        </xdr:txBody>
      </xdr:sp>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4480643" y="553974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A Wing</a:t>
            </a:r>
          </a:p>
        </xdr:txBody>
      </xdr:sp>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984250" y="58386454"/>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 Wing</a:t>
            </a:r>
          </a:p>
        </xdr:txBody>
      </xdr:sp>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3303947" y="58392804"/>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 Wing</a:t>
            </a:r>
          </a:p>
        </xdr:txBody>
      </xdr:sp>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4867993" y="58507104"/>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 Wing</a:t>
            </a:r>
          </a:p>
        </xdr:txBody>
      </xdr:sp>
    </xdr:grpSp>
    <xdr:clientData/>
  </xdr:twoCellAnchor>
  <xdr:twoCellAnchor>
    <xdr:from>
      <xdr:col>0</xdr:col>
      <xdr:colOff>88900</xdr:colOff>
      <xdr:row>282</xdr:row>
      <xdr:rowOff>63500</xdr:rowOff>
    </xdr:from>
    <xdr:to>
      <xdr:col>7</xdr:col>
      <xdr:colOff>682440</xdr:colOff>
      <xdr:row>322</xdr:row>
      <xdr:rowOff>97080</xdr:rowOff>
    </xdr:to>
    <xdr:grpSp>
      <xdr:nvGrpSpPr>
        <xdr:cNvPr id="2" name="Group 1"/>
        <xdr:cNvGrpSpPr/>
      </xdr:nvGrpSpPr>
      <xdr:grpSpPr>
        <a:xfrm>
          <a:off x="88900" y="55956200"/>
          <a:ext cx="6448240" cy="7901230"/>
          <a:chOff x="88900" y="55956200"/>
          <a:chExt cx="6448240" cy="7901230"/>
        </a:xfrm>
      </xdr:grpSpPr>
      <xdr:pic>
        <xdr:nvPicPr>
          <xdr:cNvPr id="61" name="Picture 6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337951" y="61697430"/>
            <a:ext cx="1618313" cy="216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88901" y="55956200"/>
            <a:ext cx="2049863" cy="2736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487277" y="55956200"/>
            <a:ext cx="2049863" cy="2736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88900" y="58826815"/>
            <a:ext cx="2049863" cy="2736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288089" y="55956200"/>
            <a:ext cx="2049863" cy="2736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802675" y="61697430"/>
            <a:ext cx="1618313" cy="2160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288088" y="58826815"/>
            <a:ext cx="2049863" cy="2736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487276" y="58826815"/>
            <a:ext cx="2049863" cy="2736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570313" y="61697430"/>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mGN1xDyb1oWPnBq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09"/>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78" t="s">
        <v>162</v>
      </c>
      <c r="B1" s="178"/>
      <c r="C1" s="178"/>
      <c r="D1" s="178"/>
      <c r="E1" s="178"/>
      <c r="F1" s="178"/>
      <c r="G1" s="178"/>
      <c r="H1" s="178"/>
    </row>
    <row r="2" spans="1:26" ht="16.5" customHeight="1" x14ac:dyDescent="0.35">
      <c r="A2" s="179" t="s">
        <v>0</v>
      </c>
      <c r="B2" s="179"/>
      <c r="C2" s="179"/>
      <c r="D2" s="179"/>
      <c r="E2" s="179"/>
      <c r="F2" s="179"/>
      <c r="G2" s="179"/>
      <c r="H2" s="179"/>
    </row>
    <row r="3" spans="1:26" x14ac:dyDescent="0.35">
      <c r="A3" s="147" t="s">
        <v>1</v>
      </c>
      <c r="B3" s="147"/>
      <c r="C3" s="147"/>
      <c r="D3" s="147"/>
      <c r="E3" s="147" t="str">
        <f ca="1">TEXT(TODAY(),"DD/MM/YYYY")</f>
        <v>09/07/2025</v>
      </c>
      <c r="F3" s="147"/>
      <c r="G3" s="147"/>
      <c r="H3" s="147"/>
      <c r="K3" s="61" t="s">
        <v>233</v>
      </c>
      <c r="L3" s="58" t="s">
        <v>231</v>
      </c>
      <c r="M3" s="58" t="s">
        <v>236</v>
      </c>
      <c r="N3" s="58" t="s">
        <v>234</v>
      </c>
      <c r="O3" s="58" t="s">
        <v>235</v>
      </c>
      <c r="P3" s="58" t="s">
        <v>237</v>
      </c>
    </row>
    <row r="4" spans="1:26" ht="15" customHeight="1" x14ac:dyDescent="0.35">
      <c r="A4" s="147" t="s">
        <v>230</v>
      </c>
      <c r="B4" s="147"/>
      <c r="C4" s="147"/>
      <c r="D4" s="147"/>
      <c r="E4" s="147" t="s">
        <v>231</v>
      </c>
      <c r="F4" s="147"/>
      <c r="G4" s="147"/>
      <c r="H4" s="147"/>
      <c r="K4" s="57" t="s">
        <v>232</v>
      </c>
      <c r="L4" s="58" t="s">
        <v>168</v>
      </c>
      <c r="M4" s="58" t="s">
        <v>241</v>
      </c>
      <c r="N4" s="58" t="s">
        <v>243</v>
      </c>
      <c r="O4" s="58" t="s">
        <v>245</v>
      </c>
      <c r="P4" s="58"/>
    </row>
    <row r="5" spans="1:26" ht="15" customHeight="1" x14ac:dyDescent="0.35">
      <c r="A5" s="147" t="s">
        <v>2</v>
      </c>
      <c r="B5" s="147"/>
      <c r="C5" s="147"/>
      <c r="D5" s="147"/>
      <c r="E5" s="147" t="s">
        <v>239</v>
      </c>
      <c r="F5" s="147"/>
      <c r="G5" s="147"/>
      <c r="H5" s="147"/>
      <c r="K5" s="57"/>
      <c r="L5" s="58" t="s">
        <v>238</v>
      </c>
      <c r="M5" s="58" t="s">
        <v>242</v>
      </c>
      <c r="N5" s="58" t="s">
        <v>244</v>
      </c>
      <c r="O5" s="58" t="s">
        <v>246</v>
      </c>
      <c r="P5" s="58"/>
    </row>
    <row r="6" spans="1:26" x14ac:dyDescent="0.35">
      <c r="A6" s="147" t="s">
        <v>3</v>
      </c>
      <c r="B6" s="147"/>
      <c r="C6" s="147"/>
      <c r="D6" s="147"/>
      <c r="E6" s="181">
        <v>45846</v>
      </c>
      <c r="F6" s="147"/>
      <c r="G6" s="147"/>
      <c r="H6" s="147"/>
      <c r="K6" s="57"/>
      <c r="L6" s="58" t="s">
        <v>239</v>
      </c>
      <c r="M6" s="58"/>
      <c r="N6" s="58"/>
      <c r="O6" s="58" t="s">
        <v>247</v>
      </c>
      <c r="P6" s="58"/>
    </row>
    <row r="7" spans="1:26" ht="16.5" customHeight="1" x14ac:dyDescent="0.35">
      <c r="A7" s="147" t="s">
        <v>4</v>
      </c>
      <c r="B7" s="147"/>
      <c r="C7" s="147"/>
      <c r="D7" s="147"/>
      <c r="E7" s="147" t="s">
        <v>298</v>
      </c>
      <c r="F7" s="147"/>
      <c r="G7" s="147"/>
      <c r="H7" s="147"/>
      <c r="K7" s="57"/>
      <c r="L7" s="58" t="s">
        <v>240</v>
      </c>
      <c r="M7" s="58"/>
      <c r="N7" s="58"/>
      <c r="O7" s="58" t="s">
        <v>247</v>
      </c>
      <c r="P7" s="58"/>
    </row>
    <row r="8" spans="1:26" ht="15" customHeight="1" x14ac:dyDescent="0.35">
      <c r="A8" s="147" t="s">
        <v>5</v>
      </c>
      <c r="B8" s="147"/>
      <c r="C8" s="147"/>
      <c r="D8" s="147"/>
      <c r="E8" s="147" t="str">
        <f>E7</f>
        <v>S M Hitech Developers</v>
      </c>
      <c r="F8" s="147"/>
      <c r="G8" s="147"/>
      <c r="H8" s="147"/>
      <c r="K8" s="57"/>
      <c r="L8" s="58"/>
      <c r="M8" s="58"/>
      <c r="N8" s="58"/>
      <c r="O8" s="58" t="s">
        <v>248</v>
      </c>
      <c r="P8" s="58"/>
    </row>
    <row r="9" spans="1:26" x14ac:dyDescent="0.35">
      <c r="A9" s="147" t="s">
        <v>6</v>
      </c>
      <c r="B9" s="147"/>
      <c r="C9" s="147"/>
      <c r="D9" s="147"/>
      <c r="E9" s="170" t="s">
        <v>299</v>
      </c>
      <c r="F9" s="180"/>
      <c r="G9" s="180"/>
      <c r="H9" s="180"/>
      <c r="K9" s="57"/>
      <c r="L9" s="58"/>
      <c r="M9" s="58"/>
      <c r="N9" s="58"/>
      <c r="O9" s="58" t="s">
        <v>249</v>
      </c>
      <c r="P9" s="58"/>
    </row>
    <row r="10" spans="1:26" x14ac:dyDescent="0.35">
      <c r="A10" s="147" t="s">
        <v>165</v>
      </c>
      <c r="B10" s="147"/>
      <c r="C10" s="147"/>
      <c r="D10" s="147"/>
      <c r="E10" s="146" t="s">
        <v>300</v>
      </c>
      <c r="F10" s="147"/>
      <c r="G10" s="147"/>
      <c r="H10" s="147"/>
      <c r="K10" s="57"/>
      <c r="L10" s="58"/>
      <c r="M10" s="58"/>
      <c r="N10" s="58"/>
      <c r="O10" s="58"/>
      <c r="P10" s="58"/>
    </row>
    <row r="11" spans="1:26" x14ac:dyDescent="0.35">
      <c r="A11" s="147" t="s">
        <v>166</v>
      </c>
      <c r="B11" s="147"/>
      <c r="C11" s="147"/>
      <c r="D11" s="147"/>
      <c r="E11" s="147" t="s">
        <v>368</v>
      </c>
      <c r="F11" s="147"/>
      <c r="G11" s="147"/>
      <c r="H11" s="147"/>
      <c r="I11" s="147" t="s">
        <v>365</v>
      </c>
      <c r="J11" s="147"/>
      <c r="K11" s="147"/>
      <c r="L11" s="147"/>
    </row>
    <row r="12" spans="1:26" x14ac:dyDescent="0.35">
      <c r="A12" s="147" t="s">
        <v>7</v>
      </c>
      <c r="B12" s="147"/>
      <c r="C12" s="147"/>
      <c r="D12" s="147"/>
      <c r="E12" s="147" t="s">
        <v>356</v>
      </c>
      <c r="F12" s="147"/>
      <c r="G12" s="147"/>
      <c r="H12" s="147"/>
    </row>
    <row r="13" spans="1:26" x14ac:dyDescent="0.35">
      <c r="A13" s="147" t="s">
        <v>169</v>
      </c>
      <c r="B13" s="147"/>
      <c r="C13" s="147"/>
      <c r="D13" s="147"/>
      <c r="E13" s="147" t="s">
        <v>28</v>
      </c>
      <c r="F13" s="147"/>
      <c r="G13" s="147"/>
      <c r="H13" s="147"/>
      <c r="S13" s="58" t="s">
        <v>176</v>
      </c>
      <c r="T13" s="58" t="s">
        <v>186</v>
      </c>
      <c r="U13" s="58" t="s">
        <v>170</v>
      </c>
      <c r="V13" s="58" t="s">
        <v>191</v>
      </c>
      <c r="W13" s="58" t="s">
        <v>209</v>
      </c>
      <c r="X13"/>
      <c r="Y13" t="s">
        <v>191</v>
      </c>
      <c r="Z13" t="e">
        <f ca="1">OFFSET($S$13,1,MATCH($G20,$S$13:$W$13,0)-1,15,1)</f>
        <v>#VALUE!</v>
      </c>
    </row>
    <row r="14" spans="1:26" x14ac:dyDescent="0.35">
      <c r="A14" s="96" t="s">
        <v>276</v>
      </c>
      <c r="B14" s="96"/>
      <c r="C14" s="96"/>
      <c r="D14" s="96"/>
      <c r="E14" s="146" t="s">
        <v>302</v>
      </c>
      <c r="F14" s="146"/>
      <c r="G14" s="146"/>
      <c r="H14" s="146"/>
      <c r="S14" s="58" t="s">
        <v>177</v>
      </c>
      <c r="T14" s="58" t="s">
        <v>184</v>
      </c>
      <c r="U14" s="58" t="s">
        <v>206</v>
      </c>
      <c r="V14" s="58" t="s">
        <v>192</v>
      </c>
      <c r="W14" s="58" t="s">
        <v>210</v>
      </c>
      <c r="X14"/>
      <c r="Y14"/>
      <c r="Z14"/>
    </row>
    <row r="15" spans="1:26" x14ac:dyDescent="0.35">
      <c r="A15" s="96" t="s">
        <v>8</v>
      </c>
      <c r="B15" s="96"/>
      <c r="C15" s="96"/>
      <c r="D15" s="96"/>
      <c r="E15" s="146" t="s">
        <v>303</v>
      </c>
      <c r="F15" s="147"/>
      <c r="G15" s="147"/>
      <c r="H15" s="147"/>
      <c r="I15" s="91" t="e">
        <f ca="1">OFFSET($D$5,1,MATCH($J13,$D$5:$H$5,0)-1,15,1)</f>
        <v>#N/A</v>
      </c>
      <c r="J15" s="92"/>
      <c r="K15" s="92"/>
      <c r="L15" s="92"/>
      <c r="M15" s="92"/>
      <c r="N15" s="92"/>
      <c r="O15" s="92"/>
      <c r="P15" s="92"/>
      <c r="S15" s="58" t="s">
        <v>178</v>
      </c>
      <c r="T15" s="58" t="s">
        <v>185</v>
      </c>
      <c r="U15" s="58" t="s">
        <v>207</v>
      </c>
      <c r="V15" s="58" t="s">
        <v>193</v>
      </c>
      <c r="W15" s="58" t="s">
        <v>223</v>
      </c>
      <c r="X15"/>
      <c r="Y15"/>
      <c r="Z15"/>
    </row>
    <row r="16" spans="1:26" ht="34.5" customHeight="1" x14ac:dyDescent="0.35">
      <c r="A16" s="104" t="s">
        <v>9</v>
      </c>
      <c r="B16" s="104"/>
      <c r="C16" s="104" t="str">
        <f>CONCATENATE((IF(OR(E9="",E9="NA"),"",E9)),", ",(IF(OR(A17="",A17="NA"),"",A17)),".",(IF(OR(C17="",C17="NA"),"",C17)),", near ",(IF(OR(C22="",C22="NA"),"",C22)),", ",(IF(OR(C19="",C19="NA"),"",C19)),", ",(IF(OR(C18="",C18="NA"),"",C18)),", ",(IF(OR(G19="",G19="NA"),"",G19)),", ",(IF(OR(C20="",C20="NA"),"",C20)),", ",(IF(OR(C21="",C21="NA"),"",C21)),", ",(IF(OR(G20="",G20="NA"),"",G20))," - ",(IF(OR(G21="",G21="NA"),"",G21)),".")</f>
        <v>SM Emerald, Survey No.112/5/1(Pt), near Simran Majestic, Ghot Road, Ghotlamp koayana vele, Taloja Majkur, Taloja, Panvel, Raigad - 410208.</v>
      </c>
      <c r="D16" s="104"/>
      <c r="E16" s="104"/>
      <c r="F16" s="104"/>
      <c r="G16" s="104"/>
      <c r="H16" s="104"/>
      <c r="S16" s="58" t="s">
        <v>179</v>
      </c>
      <c r="T16" s="58" t="s">
        <v>187</v>
      </c>
      <c r="U16" s="58" t="s">
        <v>208</v>
      </c>
      <c r="V16" s="58" t="s">
        <v>194</v>
      </c>
      <c r="W16" s="58" t="s">
        <v>211</v>
      </c>
      <c r="X16"/>
      <c r="Y16"/>
      <c r="Z16"/>
    </row>
    <row r="17" spans="1:26" x14ac:dyDescent="0.35">
      <c r="A17" s="146" t="s">
        <v>304</v>
      </c>
      <c r="B17" s="146"/>
      <c r="C17" s="146" t="s">
        <v>305</v>
      </c>
      <c r="D17" s="146"/>
      <c r="E17" s="146"/>
      <c r="F17" s="146"/>
      <c r="G17" s="146"/>
      <c r="H17" s="146"/>
      <c r="S17" s="58" t="s">
        <v>180</v>
      </c>
      <c r="T17" s="58" t="s">
        <v>188</v>
      </c>
      <c r="U17" s="58" t="s">
        <v>170</v>
      </c>
      <c r="V17" s="58" t="s">
        <v>195</v>
      </c>
      <c r="W17" s="58" t="s">
        <v>212</v>
      </c>
      <c r="X17"/>
      <c r="Y17"/>
      <c r="Z17"/>
    </row>
    <row r="18" spans="1:26" ht="15.75" customHeight="1" x14ac:dyDescent="0.35">
      <c r="A18" s="146" t="s">
        <v>160</v>
      </c>
      <c r="B18" s="146"/>
      <c r="C18" s="146" t="s">
        <v>310</v>
      </c>
      <c r="D18" s="146"/>
      <c r="E18" s="146"/>
      <c r="F18" s="146"/>
      <c r="G18" s="146"/>
      <c r="H18" s="146"/>
      <c r="S18" s="58" t="s">
        <v>181</v>
      </c>
      <c r="T18" s="58" t="s">
        <v>186</v>
      </c>
      <c r="U18" s="58"/>
      <c r="V18" s="58" t="s">
        <v>196</v>
      </c>
      <c r="W18" s="58" t="s">
        <v>213</v>
      </c>
      <c r="X18"/>
      <c r="Y18"/>
      <c r="Z18"/>
    </row>
    <row r="19" spans="1:26" ht="15.75" customHeight="1" x14ac:dyDescent="0.35">
      <c r="A19" s="104" t="s">
        <v>10</v>
      </c>
      <c r="B19" s="104"/>
      <c r="C19" s="147" t="s">
        <v>311</v>
      </c>
      <c r="D19" s="147"/>
      <c r="E19" s="104" t="s">
        <v>70</v>
      </c>
      <c r="F19" s="104"/>
      <c r="G19" s="146" t="s">
        <v>306</v>
      </c>
      <c r="H19" s="146"/>
      <c r="S19" s="58" t="s">
        <v>182</v>
      </c>
      <c r="T19" s="58" t="s">
        <v>189</v>
      </c>
      <c r="U19" s="58"/>
      <c r="V19" s="58" t="s">
        <v>197</v>
      </c>
      <c r="W19" s="58" t="s">
        <v>214</v>
      </c>
      <c r="X19"/>
      <c r="Y19"/>
      <c r="Z19"/>
    </row>
    <row r="20" spans="1:26" x14ac:dyDescent="0.35">
      <c r="A20" s="96" t="s">
        <v>12</v>
      </c>
      <c r="B20" s="96"/>
      <c r="C20" s="146" t="s">
        <v>312</v>
      </c>
      <c r="D20" s="146"/>
      <c r="E20" s="146" t="s">
        <v>11</v>
      </c>
      <c r="F20" s="146"/>
      <c r="G20" s="185" t="s">
        <v>191</v>
      </c>
      <c r="H20" s="185"/>
      <c r="S20" s="58" t="s">
        <v>183</v>
      </c>
      <c r="T20" s="58" t="s">
        <v>190</v>
      </c>
      <c r="U20" s="58"/>
      <c r="V20" s="58" t="s">
        <v>198</v>
      </c>
      <c r="W20" s="58" t="s">
        <v>215</v>
      </c>
      <c r="X20"/>
      <c r="Y20"/>
      <c r="Z20"/>
    </row>
    <row r="21" spans="1:26" x14ac:dyDescent="0.35">
      <c r="A21" s="96" t="s">
        <v>71</v>
      </c>
      <c r="B21" s="96"/>
      <c r="C21" s="146" t="s">
        <v>193</v>
      </c>
      <c r="D21" s="146"/>
      <c r="E21" s="146" t="s">
        <v>13</v>
      </c>
      <c r="F21" s="146"/>
      <c r="G21" s="146">
        <v>410208</v>
      </c>
      <c r="H21" s="146"/>
      <c r="S21" s="58"/>
      <c r="T21" s="58"/>
      <c r="U21" s="58"/>
      <c r="V21" s="58" t="s">
        <v>199</v>
      </c>
      <c r="W21" s="58" t="s">
        <v>216</v>
      </c>
      <c r="X21"/>
      <c r="Y21"/>
      <c r="Z21"/>
    </row>
    <row r="22" spans="1:26" ht="35.25" customHeight="1" x14ac:dyDescent="0.35">
      <c r="A22" s="96" t="s">
        <v>119</v>
      </c>
      <c r="B22" s="96"/>
      <c r="C22" s="146" t="s">
        <v>313</v>
      </c>
      <c r="D22" s="146"/>
      <c r="E22" s="146" t="s">
        <v>14</v>
      </c>
      <c r="F22" s="146"/>
      <c r="G22" s="146" t="s">
        <v>355</v>
      </c>
      <c r="H22" s="146"/>
      <c r="S22" s="58"/>
      <c r="T22" s="58"/>
      <c r="U22" s="58"/>
      <c r="V22" s="58" t="s">
        <v>200</v>
      </c>
      <c r="W22" s="58" t="s">
        <v>217</v>
      </c>
      <c r="X22"/>
      <c r="Y22"/>
      <c r="Z22"/>
    </row>
    <row r="23" spans="1:26" ht="15" customHeight="1" x14ac:dyDescent="0.35">
      <c r="A23" s="104" t="s">
        <v>73</v>
      </c>
      <c r="B23" s="104"/>
      <c r="C23" s="104"/>
      <c r="D23" s="104"/>
      <c r="E23" s="147" t="s">
        <v>15</v>
      </c>
      <c r="F23" s="147"/>
      <c r="G23" s="147"/>
      <c r="H23" s="147"/>
      <c r="S23" s="58"/>
      <c r="T23" s="58"/>
      <c r="U23" s="58"/>
      <c r="V23" s="58" t="s">
        <v>201</v>
      </c>
      <c r="W23" s="58" t="s">
        <v>218</v>
      </c>
      <c r="X23"/>
      <c r="Y23"/>
      <c r="Z23"/>
    </row>
    <row r="24" spans="1:26" ht="18.75" customHeight="1" x14ac:dyDescent="0.35">
      <c r="A24" s="104"/>
      <c r="B24" s="104"/>
      <c r="C24" s="104"/>
      <c r="D24" s="104"/>
      <c r="E24" s="147"/>
      <c r="F24" s="147"/>
      <c r="G24" s="147"/>
      <c r="H24" s="147"/>
      <c r="S24" s="58"/>
      <c r="T24" s="58"/>
      <c r="U24" s="58"/>
      <c r="V24" s="58" t="s">
        <v>202</v>
      </c>
      <c r="W24" s="58" t="s">
        <v>219</v>
      </c>
      <c r="X24"/>
      <c r="Y24"/>
      <c r="Z24"/>
    </row>
    <row r="25" spans="1:26" ht="15" customHeight="1" x14ac:dyDescent="0.35">
      <c r="A25" s="104" t="s">
        <v>16</v>
      </c>
      <c r="B25" s="104"/>
      <c r="C25" s="104"/>
      <c r="D25" s="104"/>
      <c r="E25" s="146" t="s">
        <v>17</v>
      </c>
      <c r="F25" s="146"/>
      <c r="G25" s="146"/>
      <c r="H25" s="146"/>
      <c r="S25" s="58"/>
      <c r="T25" s="58"/>
      <c r="U25" s="58"/>
      <c r="V25" s="58" t="s">
        <v>203</v>
      </c>
      <c r="W25" s="58" t="s">
        <v>220</v>
      </c>
      <c r="X25"/>
      <c r="Y25"/>
      <c r="Z25"/>
    </row>
    <row r="26" spans="1:26" ht="15" customHeight="1" x14ac:dyDescent="0.35">
      <c r="A26" s="96" t="s">
        <v>18</v>
      </c>
      <c r="B26" s="96"/>
      <c r="C26" s="96"/>
      <c r="D26" s="96"/>
      <c r="E26" s="146" t="str">
        <f>IF(AND(G20="Mumbai"),"Upper Class","Middle Class")</f>
        <v>Middle Class</v>
      </c>
      <c r="F26" s="146"/>
      <c r="G26" s="146"/>
      <c r="H26" s="146"/>
      <c r="S26" s="58"/>
      <c r="T26" s="58"/>
      <c r="U26" s="58"/>
      <c r="V26" s="58" t="s">
        <v>204</v>
      </c>
      <c r="W26" s="58" t="s">
        <v>221</v>
      </c>
      <c r="X26"/>
      <c r="Y26"/>
      <c r="Z26"/>
    </row>
    <row r="27" spans="1:26" x14ac:dyDescent="0.35">
      <c r="A27" s="96" t="s">
        <v>19</v>
      </c>
      <c r="B27" s="96"/>
      <c r="C27" s="96"/>
      <c r="D27" s="96"/>
      <c r="E27" s="146" t="s">
        <v>20</v>
      </c>
      <c r="F27" s="146"/>
      <c r="G27" s="146"/>
      <c r="H27" s="146"/>
      <c r="S27" s="58"/>
      <c r="T27" s="58"/>
      <c r="U27" s="58"/>
      <c r="V27" s="58" t="s">
        <v>205</v>
      </c>
      <c r="W27" s="58" t="s">
        <v>222</v>
      </c>
      <c r="X27"/>
      <c r="Y27"/>
      <c r="Z27"/>
    </row>
    <row r="28" spans="1:26" ht="15.75" customHeight="1" x14ac:dyDescent="0.35">
      <c r="A28" s="96" t="s">
        <v>21</v>
      </c>
      <c r="B28" s="96"/>
      <c r="C28" s="96"/>
      <c r="D28" s="96"/>
      <c r="E28" s="146" t="str">
        <f>IF(AND(G20="Mumbai"),"Developed","Developing")</f>
        <v>Developing</v>
      </c>
      <c r="F28" s="146"/>
      <c r="G28" s="146"/>
      <c r="H28" s="146"/>
    </row>
    <row r="29" spans="1:26" x14ac:dyDescent="0.35">
      <c r="A29" s="96" t="s">
        <v>22</v>
      </c>
      <c r="B29" s="96"/>
      <c r="C29" s="96"/>
      <c r="D29" s="96"/>
      <c r="E29" s="146" t="s">
        <v>23</v>
      </c>
      <c r="F29" s="146"/>
      <c r="G29" s="146"/>
      <c r="H29" s="146"/>
    </row>
    <row r="30" spans="1:26" ht="15.75" customHeight="1" x14ac:dyDescent="0.35">
      <c r="A30" s="96" t="s">
        <v>78</v>
      </c>
      <c r="B30" s="96"/>
      <c r="C30" s="96"/>
      <c r="D30" s="96"/>
      <c r="E30" s="146" t="s">
        <v>79</v>
      </c>
      <c r="F30" s="146"/>
      <c r="G30" s="146"/>
      <c r="H30" s="146"/>
    </row>
    <row r="31" spans="1:26" ht="15" customHeight="1" x14ac:dyDescent="0.35">
      <c r="A31" s="96" t="s">
        <v>30</v>
      </c>
      <c r="B31" s="96"/>
      <c r="C31" s="96"/>
      <c r="D31" s="96"/>
      <c r="E31" s="14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6"/>
      <c r="G31" s="146"/>
      <c r="H31" s="146"/>
    </row>
    <row r="32" spans="1:26" ht="15.75" customHeight="1" x14ac:dyDescent="0.35">
      <c r="A32" s="96" t="s">
        <v>90</v>
      </c>
      <c r="B32" s="96"/>
      <c r="C32" s="96"/>
      <c r="D32" s="96"/>
      <c r="E32" s="146" t="s">
        <v>31</v>
      </c>
      <c r="F32" s="146"/>
      <c r="G32" s="146"/>
      <c r="H32" s="146"/>
    </row>
    <row r="33" spans="1:19" s="22" customFormat="1" x14ac:dyDescent="0.35">
      <c r="A33" s="190" t="s">
        <v>91</v>
      </c>
      <c r="B33" s="190"/>
      <c r="C33" s="187" t="s">
        <v>171</v>
      </c>
      <c r="D33" s="188"/>
      <c r="E33" s="189"/>
      <c r="F33" s="187" t="s">
        <v>29</v>
      </c>
      <c r="G33" s="188"/>
      <c r="H33" s="189"/>
      <c r="S33" s="22" t="e">
        <f ca="1">OFFSET($S$13,1,MATCH($G20,$S$13:$W$13,0)-1,15,1)</f>
        <v>#VALUE!</v>
      </c>
    </row>
    <row r="34" spans="1:19" s="22" customFormat="1" x14ac:dyDescent="0.35">
      <c r="A34" s="186" t="s">
        <v>24</v>
      </c>
      <c r="B34" s="186" t="s">
        <v>28</v>
      </c>
      <c r="C34" s="182" t="s">
        <v>317</v>
      </c>
      <c r="D34" s="183"/>
      <c r="E34" s="184"/>
      <c r="F34" s="182" t="s">
        <v>315</v>
      </c>
      <c r="G34" s="183"/>
      <c r="H34" s="184"/>
    </row>
    <row r="35" spans="1:19" x14ac:dyDescent="0.35">
      <c r="A35" s="186" t="s">
        <v>25</v>
      </c>
      <c r="B35" s="186" t="s">
        <v>28</v>
      </c>
      <c r="C35" s="182" t="s">
        <v>317</v>
      </c>
      <c r="D35" s="183"/>
      <c r="E35" s="184"/>
      <c r="F35" s="182" t="s">
        <v>309</v>
      </c>
      <c r="G35" s="183"/>
      <c r="H35" s="184"/>
    </row>
    <row r="36" spans="1:19" s="22" customFormat="1" x14ac:dyDescent="0.35">
      <c r="A36" s="186" t="s">
        <v>27</v>
      </c>
      <c r="B36" s="186" t="s">
        <v>28</v>
      </c>
      <c r="C36" s="182" t="s">
        <v>317</v>
      </c>
      <c r="D36" s="183"/>
      <c r="E36" s="184"/>
      <c r="F36" s="182" t="s">
        <v>309</v>
      </c>
      <c r="G36" s="183"/>
      <c r="H36" s="184"/>
    </row>
    <row r="37" spans="1:19" x14ac:dyDescent="0.35">
      <c r="A37" s="186" t="s">
        <v>26</v>
      </c>
      <c r="B37" s="186" t="s">
        <v>28</v>
      </c>
      <c r="C37" s="182" t="s">
        <v>316</v>
      </c>
      <c r="D37" s="183"/>
      <c r="E37" s="184"/>
      <c r="F37" s="182" t="s">
        <v>314</v>
      </c>
      <c r="G37" s="183"/>
      <c r="H37" s="184"/>
    </row>
    <row r="38" spans="1:19" x14ac:dyDescent="0.35">
      <c r="A38" s="96" t="s">
        <v>277</v>
      </c>
      <c r="B38" s="96"/>
      <c r="C38" s="96"/>
      <c r="D38" s="96"/>
      <c r="E38" s="96"/>
      <c r="F38" s="96"/>
      <c r="G38" s="96"/>
      <c r="H38" s="96"/>
    </row>
    <row r="39" spans="1:19" ht="15.75" customHeight="1" x14ac:dyDescent="0.35">
      <c r="A39" s="96" t="s">
        <v>163</v>
      </c>
      <c r="B39" s="96"/>
      <c r="C39" s="176" t="s">
        <v>307</v>
      </c>
      <c r="D39" s="176"/>
      <c r="E39" s="176"/>
      <c r="F39" s="176"/>
      <c r="G39" s="176"/>
      <c r="H39" s="176"/>
    </row>
    <row r="40" spans="1:19" x14ac:dyDescent="0.35">
      <c r="A40" s="96" t="s">
        <v>159</v>
      </c>
      <c r="B40" s="96"/>
      <c r="C40" s="211" t="s">
        <v>308</v>
      </c>
      <c r="D40" s="146"/>
      <c r="E40" s="146"/>
      <c r="F40" s="146"/>
      <c r="G40" s="146"/>
      <c r="H40" s="146"/>
    </row>
    <row r="41" spans="1:19" x14ac:dyDescent="0.35">
      <c r="A41" s="176" t="s">
        <v>32</v>
      </c>
      <c r="B41" s="176"/>
      <c r="C41" s="176"/>
      <c r="D41" s="176"/>
      <c r="E41" s="176"/>
      <c r="F41" s="176"/>
      <c r="G41" s="176"/>
      <c r="H41" s="176"/>
    </row>
    <row r="42" spans="1:19" x14ac:dyDescent="0.35">
      <c r="A42" s="96" t="s">
        <v>33</v>
      </c>
      <c r="B42" s="96"/>
      <c r="C42" s="96"/>
      <c r="D42" s="96"/>
      <c r="E42" s="194">
        <v>3538.91</v>
      </c>
      <c r="F42" s="194"/>
      <c r="G42" s="194"/>
      <c r="H42" s="194"/>
    </row>
    <row r="43" spans="1:19" x14ac:dyDescent="0.35">
      <c r="A43" s="96" t="s">
        <v>34</v>
      </c>
      <c r="B43" s="96"/>
      <c r="C43" s="96"/>
      <c r="D43" s="96"/>
      <c r="E43" s="106">
        <v>1.1000000000000001</v>
      </c>
      <c r="F43" s="106"/>
      <c r="G43" s="106"/>
      <c r="H43" s="106"/>
    </row>
    <row r="44" spans="1:19" x14ac:dyDescent="0.35">
      <c r="A44" s="96" t="s">
        <v>35</v>
      </c>
      <c r="B44" s="96"/>
      <c r="C44" s="96"/>
      <c r="D44" s="96"/>
      <c r="E44" s="106">
        <f>E46/E42-E43</f>
        <v>1.6939535054578951</v>
      </c>
      <c r="F44" s="106"/>
      <c r="G44" s="106"/>
      <c r="H44" s="106"/>
    </row>
    <row r="45" spans="1:19" x14ac:dyDescent="0.35">
      <c r="A45" s="96" t="s">
        <v>36</v>
      </c>
      <c r="B45" s="96"/>
      <c r="C45" s="96"/>
      <c r="D45" s="96"/>
      <c r="E45" s="106">
        <f>E43+E44</f>
        <v>2.7939535054578952</v>
      </c>
      <c r="F45" s="106"/>
      <c r="G45" s="106"/>
      <c r="H45" s="106"/>
    </row>
    <row r="46" spans="1:19" x14ac:dyDescent="0.35">
      <c r="A46" s="96" t="s">
        <v>89</v>
      </c>
      <c r="B46" s="96"/>
      <c r="C46" s="96"/>
      <c r="D46" s="96"/>
      <c r="E46" s="197">
        <v>9887.5499999999993</v>
      </c>
      <c r="F46" s="197"/>
      <c r="G46" s="197"/>
      <c r="H46" s="197"/>
    </row>
    <row r="47" spans="1:19" x14ac:dyDescent="0.35">
      <c r="A47" s="147" t="s">
        <v>37</v>
      </c>
      <c r="B47" s="147"/>
      <c r="C47" s="147"/>
      <c r="D47" s="147"/>
      <c r="E47" s="147" t="s">
        <v>301</v>
      </c>
      <c r="F47" s="147"/>
      <c r="G47" s="147"/>
      <c r="H47" s="147"/>
    </row>
    <row r="48" spans="1:19" x14ac:dyDescent="0.35">
      <c r="A48" s="176" t="s">
        <v>38</v>
      </c>
      <c r="B48" s="176"/>
      <c r="C48" s="176"/>
      <c r="D48" s="176"/>
      <c r="E48" s="176"/>
      <c r="F48" s="176"/>
      <c r="G48" s="176"/>
      <c r="H48" s="176"/>
    </row>
    <row r="49" spans="1:24" ht="33.75" customHeight="1" x14ac:dyDescent="0.35">
      <c r="A49" s="114" t="s">
        <v>148</v>
      </c>
      <c r="B49" s="115"/>
      <c r="C49" s="202" t="s">
        <v>267</v>
      </c>
      <c r="D49" s="203"/>
      <c r="E49" s="203"/>
      <c r="F49" s="203"/>
      <c r="G49" s="203"/>
      <c r="H49" s="204"/>
      <c r="R49" t="s">
        <v>250</v>
      </c>
      <c r="S49" t="s">
        <v>170</v>
      </c>
      <c r="T49" t="s">
        <v>176</v>
      </c>
      <c r="U49" t="s">
        <v>191</v>
      </c>
      <c r="V49" t="s">
        <v>186</v>
      </c>
    </row>
    <row r="50" spans="1:24" ht="15.75" customHeight="1" x14ac:dyDescent="0.35">
      <c r="A50" s="114" t="s">
        <v>39</v>
      </c>
      <c r="B50" s="115"/>
      <c r="C50" s="114" t="s">
        <v>318</v>
      </c>
      <c r="D50" s="116"/>
      <c r="E50" s="115"/>
      <c r="F50" s="18" t="s">
        <v>40</v>
      </c>
      <c r="G50" s="205">
        <v>45044</v>
      </c>
      <c r="H50" s="206"/>
      <c r="R50"/>
      <c r="S50" t="s">
        <v>251</v>
      </c>
      <c r="T50" t="s">
        <v>256</v>
      </c>
      <c r="U50" t="s">
        <v>267</v>
      </c>
      <c r="V50" t="s">
        <v>272</v>
      </c>
    </row>
    <row r="51" spans="1:24" ht="15.75" customHeight="1" x14ac:dyDescent="0.35">
      <c r="A51" s="114" t="s">
        <v>41</v>
      </c>
      <c r="B51" s="115"/>
      <c r="C51" s="114" t="str">
        <f>C50</f>
        <v>PMP/NRV/16635/1140/2023</v>
      </c>
      <c r="D51" s="116"/>
      <c r="E51" s="115"/>
      <c r="F51" s="18" t="s">
        <v>40</v>
      </c>
      <c r="G51" s="144">
        <f>G50</f>
        <v>45044</v>
      </c>
      <c r="H51" s="115"/>
      <c r="R51"/>
      <c r="S51" t="s">
        <v>252</v>
      </c>
      <c r="T51" t="s">
        <v>257</v>
      </c>
      <c r="U51" t="s">
        <v>265</v>
      </c>
      <c r="V51" t="s">
        <v>273</v>
      </c>
    </row>
    <row r="52" spans="1:24" s="23" customFormat="1" ht="34.5" customHeight="1" x14ac:dyDescent="0.35">
      <c r="A52" s="207" t="s">
        <v>152</v>
      </c>
      <c r="B52" s="208"/>
      <c r="C52" s="114" t="s">
        <v>319</v>
      </c>
      <c r="D52" s="116"/>
      <c r="E52" s="115"/>
      <c r="F52" s="18" t="s">
        <v>40</v>
      </c>
      <c r="G52" s="144">
        <f>G51</f>
        <v>45044</v>
      </c>
      <c r="H52" s="115"/>
      <c r="R52"/>
      <c r="S52" t="s">
        <v>253</v>
      </c>
      <c r="T52" t="s">
        <v>258</v>
      </c>
      <c r="U52" t="s">
        <v>255</v>
      </c>
      <c r="V52" t="s">
        <v>274</v>
      </c>
    </row>
    <row r="53" spans="1:24" s="23" customFormat="1" ht="33.75" customHeight="1" x14ac:dyDescent="0.35">
      <c r="A53" s="209"/>
      <c r="B53" s="210"/>
      <c r="C53" s="114" t="s">
        <v>320</v>
      </c>
      <c r="D53" s="116"/>
      <c r="E53" s="116"/>
      <c r="F53" s="116"/>
      <c r="G53" s="116"/>
      <c r="H53" s="115"/>
      <c r="R53"/>
      <c r="S53" t="s">
        <v>254</v>
      </c>
      <c r="T53" t="s">
        <v>261</v>
      </c>
      <c r="U53" t="s">
        <v>268</v>
      </c>
    </row>
    <row r="54" spans="1:24" s="23" customFormat="1" x14ac:dyDescent="0.35">
      <c r="A54" s="133" t="s">
        <v>278</v>
      </c>
      <c r="B54" s="151"/>
      <c r="C54" s="114" t="s">
        <v>361</v>
      </c>
      <c r="D54" s="116"/>
      <c r="E54" s="115"/>
      <c r="F54" s="18" t="s">
        <v>40</v>
      </c>
      <c r="G54" s="144">
        <v>45016</v>
      </c>
      <c r="H54" s="115"/>
      <c r="R54"/>
      <c r="S54" t="s">
        <v>253</v>
      </c>
      <c r="T54" t="s">
        <v>258</v>
      </c>
      <c r="U54" t="s">
        <v>255</v>
      </c>
      <c r="V54" t="s">
        <v>274</v>
      </c>
    </row>
    <row r="55" spans="1:24" s="23" customFormat="1" x14ac:dyDescent="0.35">
      <c r="A55" s="152"/>
      <c r="B55" s="153"/>
      <c r="C55" s="158" t="s">
        <v>362</v>
      </c>
      <c r="D55" s="159"/>
      <c r="E55" s="159"/>
      <c r="F55" s="159"/>
      <c r="G55" s="159"/>
      <c r="H55" s="160"/>
      <c r="R55"/>
      <c r="S55" t="s">
        <v>255</v>
      </c>
      <c r="T55" t="s">
        <v>259</v>
      </c>
      <c r="U55" t="s">
        <v>269</v>
      </c>
      <c r="V55" s="21"/>
      <c r="W55" s="21"/>
      <c r="X55" s="21"/>
    </row>
    <row r="56" spans="1:24" s="23" customFormat="1" ht="34.5" hidden="1" customHeight="1" x14ac:dyDescent="0.35">
      <c r="A56" s="154" t="s">
        <v>279</v>
      </c>
      <c r="B56" s="155"/>
      <c r="C56" s="114" t="str">
        <f>C55</f>
        <v>Ground + 14 Upper Floor</v>
      </c>
      <c r="D56" s="116"/>
      <c r="E56" s="115"/>
      <c r="F56" s="18" t="s">
        <v>40</v>
      </c>
      <c r="G56" s="114">
        <f>G55</f>
        <v>0</v>
      </c>
      <c r="H56" s="115"/>
      <c r="R56"/>
      <c r="S56" s="21"/>
      <c r="T56" t="s">
        <v>260</v>
      </c>
      <c r="U56" t="s">
        <v>270</v>
      </c>
      <c r="V56" s="21"/>
      <c r="W56" s="21"/>
      <c r="X56" s="21"/>
    </row>
    <row r="57" spans="1:24" s="23" customFormat="1" ht="41.25" hidden="1" customHeight="1" x14ac:dyDescent="0.35">
      <c r="A57" s="156"/>
      <c r="B57" s="157"/>
      <c r="C57" s="114"/>
      <c r="D57" s="116"/>
      <c r="E57" s="116"/>
      <c r="F57" s="116"/>
      <c r="G57" s="116"/>
      <c r="H57" s="115"/>
      <c r="R57"/>
      <c r="S57" s="21"/>
      <c r="T57" t="s">
        <v>262</v>
      </c>
      <c r="U57" t="s">
        <v>271</v>
      </c>
      <c r="V57" s="21"/>
      <c r="W57" s="21"/>
      <c r="X57" s="21"/>
    </row>
    <row r="58" spans="1:24" s="23" customFormat="1" ht="15.75" hidden="1" customHeight="1" x14ac:dyDescent="0.35">
      <c r="A58" s="154" t="s">
        <v>280</v>
      </c>
      <c r="B58" s="155"/>
      <c r="C58" s="114" t="s">
        <v>360</v>
      </c>
      <c r="D58" s="116"/>
      <c r="E58" s="115"/>
      <c r="F58" s="18" t="s">
        <v>40</v>
      </c>
      <c r="G58" s="114">
        <f>G57</f>
        <v>0</v>
      </c>
      <c r="H58" s="115"/>
      <c r="R58"/>
      <c r="S58" s="21"/>
      <c r="T58" t="s">
        <v>263</v>
      </c>
      <c r="U58" s="21" t="s">
        <v>294</v>
      </c>
      <c r="V58" s="21"/>
      <c r="W58" s="21"/>
      <c r="X58" s="21"/>
    </row>
    <row r="59" spans="1:24" s="23" customFormat="1" ht="33.75" hidden="1" customHeight="1" x14ac:dyDescent="0.35">
      <c r="A59" s="156"/>
      <c r="B59" s="157"/>
      <c r="C59" s="114"/>
      <c r="D59" s="116"/>
      <c r="E59" s="116"/>
      <c r="F59" s="116"/>
      <c r="G59" s="116"/>
      <c r="H59" s="115"/>
      <c r="R59"/>
      <c r="S59" s="21"/>
      <c r="T59" t="s">
        <v>264</v>
      </c>
      <c r="U59" s="21"/>
      <c r="V59" s="21"/>
      <c r="W59" s="21"/>
      <c r="X59" s="21"/>
    </row>
    <row r="60" spans="1:24" x14ac:dyDescent="0.35">
      <c r="A60" s="97" t="s">
        <v>42</v>
      </c>
      <c r="B60" s="98"/>
      <c r="C60" s="97" t="s">
        <v>103</v>
      </c>
      <c r="D60" s="99"/>
      <c r="E60" s="98"/>
      <c r="F60" s="45" t="s">
        <v>40</v>
      </c>
      <c r="G60" s="149" t="s">
        <v>28</v>
      </c>
      <c r="H60" s="150"/>
      <c r="R60"/>
      <c r="T60" t="s">
        <v>266</v>
      </c>
    </row>
    <row r="61" spans="1:24" x14ac:dyDescent="0.35">
      <c r="A61" s="145" t="s">
        <v>44</v>
      </c>
      <c r="B61" s="145"/>
      <c r="C61" s="145"/>
      <c r="D61" s="145"/>
      <c r="E61" s="145"/>
      <c r="F61" s="145"/>
      <c r="G61" s="145"/>
      <c r="H61" s="145"/>
      <c r="T61" t="s">
        <v>275</v>
      </c>
    </row>
    <row r="62" spans="1:24" x14ac:dyDescent="0.35">
      <c r="A62" s="104" t="s">
        <v>88</v>
      </c>
      <c r="B62" s="104"/>
      <c r="C62" s="104"/>
      <c r="D62" s="96">
        <f>E46</f>
        <v>9887.5499999999993</v>
      </c>
      <c r="E62" s="96"/>
      <c r="F62" s="96"/>
      <c r="G62" s="96"/>
      <c r="H62" s="96"/>
      <c r="R62"/>
    </row>
    <row r="63" spans="1:24" x14ac:dyDescent="0.35">
      <c r="A63" s="146" t="s">
        <v>45</v>
      </c>
      <c r="B63" s="147"/>
      <c r="C63" s="147"/>
      <c r="D63" s="148" t="s">
        <v>353</v>
      </c>
      <c r="E63" s="148"/>
      <c r="F63" s="148"/>
      <c r="G63" s="148"/>
      <c r="H63" s="148"/>
      <c r="I63" s="24"/>
      <c r="R63"/>
    </row>
    <row r="64" spans="1:24" ht="32.25" customHeight="1" x14ac:dyDescent="0.35">
      <c r="A64" s="133" t="s">
        <v>46</v>
      </c>
      <c r="B64" s="134"/>
      <c r="C64" s="151"/>
      <c r="D64" s="200" t="s">
        <v>321</v>
      </c>
      <c r="E64" s="201"/>
      <c r="F64" s="201"/>
      <c r="G64" s="201"/>
      <c r="H64" s="201"/>
      <c r="R64"/>
    </row>
    <row r="65" spans="1:19" ht="15.75" customHeight="1" x14ac:dyDescent="0.35">
      <c r="A65" s="133" t="s">
        <v>86</v>
      </c>
      <c r="B65" s="134"/>
      <c r="C65" s="134"/>
      <c r="D65" s="138" t="s">
        <v>346</v>
      </c>
      <c r="E65" s="139"/>
      <c r="F65" s="139"/>
      <c r="G65" s="139"/>
      <c r="H65" s="140"/>
      <c r="I65" s="72" t="s">
        <v>326</v>
      </c>
      <c r="R65"/>
    </row>
    <row r="66" spans="1:19" ht="15.75" customHeight="1" x14ac:dyDescent="0.35">
      <c r="A66" s="135"/>
      <c r="B66" s="136"/>
      <c r="C66" s="136"/>
      <c r="D66" s="141" t="s">
        <v>347</v>
      </c>
      <c r="E66" s="142"/>
      <c r="F66" s="142"/>
      <c r="G66" s="142"/>
      <c r="H66" s="143"/>
      <c r="I66" s="72"/>
      <c r="R66"/>
    </row>
    <row r="67" spans="1:19" ht="15.75" customHeight="1" x14ac:dyDescent="0.35">
      <c r="A67" s="135"/>
      <c r="B67" s="137"/>
      <c r="C67" s="137"/>
      <c r="D67" s="141" t="s">
        <v>322</v>
      </c>
      <c r="E67" s="142"/>
      <c r="F67" s="142"/>
      <c r="G67" s="142"/>
      <c r="H67" s="143"/>
      <c r="I67" s="72"/>
      <c r="R67"/>
    </row>
    <row r="68" spans="1:19" ht="15.75" customHeight="1" x14ac:dyDescent="0.35">
      <c r="A68" s="96" t="s">
        <v>43</v>
      </c>
      <c r="B68" s="96"/>
      <c r="C68" s="96"/>
      <c r="D68" s="195" t="s">
        <v>323</v>
      </c>
      <c r="E68" s="195"/>
      <c r="F68" s="195"/>
      <c r="G68" s="195"/>
      <c r="H68" s="195"/>
      <c r="J68" s="25"/>
      <c r="K68" s="24"/>
      <c r="N68" s="24"/>
      <c r="S68"/>
    </row>
    <row r="69" spans="1:19" ht="15.75" customHeight="1" x14ac:dyDescent="0.35">
      <c r="A69" s="96" t="s">
        <v>84</v>
      </c>
      <c r="B69" s="96"/>
      <c r="C69" s="96"/>
      <c r="D69" s="196" t="str">
        <f>(IF(G60="NA","60 Years After Completion",IF(G60&lt;&gt;"NA",""&amp;60-ROUNDDOWN((E3-G60)/360,0)&amp;" Years"," ")))</f>
        <v>60 Years After Completion</v>
      </c>
      <c r="E69" s="196"/>
      <c r="F69" s="196"/>
      <c r="G69" s="196"/>
      <c r="H69" s="196"/>
      <c r="N69" s="24"/>
      <c r="S69"/>
    </row>
    <row r="70" spans="1:19" ht="15.75" customHeight="1" x14ac:dyDescent="0.35">
      <c r="A70" s="96" t="s">
        <v>85</v>
      </c>
      <c r="B70" s="96"/>
      <c r="C70" s="96"/>
      <c r="D70" s="104" t="s">
        <v>23</v>
      </c>
      <c r="E70" s="104"/>
      <c r="F70" s="104"/>
      <c r="G70" s="104"/>
      <c r="H70" s="104"/>
      <c r="J70" s="26"/>
      <c r="K70" s="26"/>
      <c r="S70"/>
    </row>
    <row r="71" spans="1:19" ht="38.5" customHeight="1" x14ac:dyDescent="0.35">
      <c r="A71" s="147" t="s">
        <v>324</v>
      </c>
      <c r="B71" s="147"/>
      <c r="C71" s="147"/>
      <c r="D71" s="146" t="s">
        <v>325</v>
      </c>
      <c r="E71" s="104"/>
      <c r="F71" s="104"/>
      <c r="G71" s="104"/>
      <c r="H71" s="104"/>
      <c r="I71" s="21" t="s">
        <v>354</v>
      </c>
      <c r="S71"/>
    </row>
    <row r="72" spans="1:19" x14ac:dyDescent="0.35">
      <c r="A72" s="104" t="s">
        <v>145</v>
      </c>
      <c r="B72" s="104"/>
      <c r="C72" s="104"/>
      <c r="D72" s="104" t="s">
        <v>28</v>
      </c>
      <c r="E72" s="104"/>
      <c r="F72" s="104"/>
      <c r="G72" s="104"/>
      <c r="H72" s="104"/>
      <c r="I72" s="27"/>
      <c r="J72" s="27"/>
      <c r="K72" s="27"/>
      <c r="L72" s="27"/>
      <c r="M72" s="27"/>
      <c r="N72" s="27"/>
    </row>
    <row r="73" spans="1:19" ht="15.75" customHeight="1" x14ac:dyDescent="0.35">
      <c r="A73" s="105" t="s">
        <v>83</v>
      </c>
      <c r="B73" s="105"/>
      <c r="C73" s="105"/>
      <c r="D73" s="200" t="str">
        <f ca="1">(IF(G79&gt;95%,"Nothing",IF(G79&gt;0%,"Cement, Aggregate, Steel, etc",IF(G79=0%,"Work not yet Started"))))</f>
        <v>Cement, Aggregate, Steel, etc</v>
      </c>
      <c r="E73" s="200"/>
      <c r="F73" s="200"/>
      <c r="G73" s="200"/>
      <c r="H73" s="200"/>
      <c r="J73" s="26"/>
      <c r="S73"/>
    </row>
    <row r="74" spans="1:19" ht="33.75" customHeight="1" thickBot="1" x14ac:dyDescent="0.4">
      <c r="A74" s="213" t="s">
        <v>116</v>
      </c>
      <c r="B74" s="213"/>
      <c r="C74" s="213"/>
      <c r="D74" s="200" t="str">
        <f ca="1">(IF(D73="Nothing","Yes",IF(D73="Cement, Aggregate, Steel, etc","Under Construction",IF(D73="Work not yet Started","Work not yet Started"))))</f>
        <v>Under Construction</v>
      </c>
      <c r="E74" s="200"/>
      <c r="F74" s="200" t="str">
        <f ca="1">(IF(D73="Nothing","Yes",IF(D73="Cement, Aggregate, Steel, etc","Under Construction",IF(D73="Work not yet Started","Work not yet Started"))))</f>
        <v>Under Construction</v>
      </c>
      <c r="G74" s="200"/>
      <c r="H74" s="200"/>
      <c r="S74"/>
    </row>
    <row r="75" spans="1:19" ht="15.75" customHeight="1" x14ac:dyDescent="0.35">
      <c r="A75" s="107" t="s">
        <v>137</v>
      </c>
      <c r="B75" s="108"/>
      <c r="C75" s="109" t="str">
        <f>D65</f>
        <v>Building 1 (Wing A) = Gr + 1st to 14th Floor</v>
      </c>
      <c r="D75" s="110"/>
      <c r="E75" s="110"/>
      <c r="F75" s="110"/>
      <c r="G75" s="110"/>
      <c r="H75" s="111"/>
      <c r="I75" s="49" t="str">
        <f ca="1">IF(D88=100%,"All work Completed. Possession granted to the Building.",IF(D87=100%,"All work Completed, Waiting for OC",I76&amp;""&amp;I77&amp;""&amp;J76&amp;""&amp;J75&amp;" "&amp;J77))</f>
        <v>Excavation, Plinth Completed, RCC upto 10 Slab, Brickwork upto 7 Floor, Internal Plaster upto 3 Floor, External Plaster upto 2 Floor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10 Slab, Brickwork upto 7 Floor, Internal Plaster upto 3 Floor, External Plaster upto 2 Floor</v>
      </c>
      <c r="S75"/>
    </row>
    <row r="76" spans="1:19" x14ac:dyDescent="0.35">
      <c r="A76" s="16" t="s">
        <v>139</v>
      </c>
      <c r="B76" s="53">
        <f>IF(AND(ISNUMBER(SEARCH("1B",C75))),1,IF(AND(ISNUMBER(SEARCH("2B",C75))),2,IF(AND(ISNUMBER(SEARCH("3B",C75))),3,IF(AND(ISNUMBER(SEARCH("4B",C75))),4,IF(ISNUMBER(SEARCH("5B",C75)),5,0)))))</f>
        <v>0</v>
      </c>
      <c r="C76" s="47" t="s">
        <v>69</v>
      </c>
      <c r="D76" s="47">
        <v>1</v>
      </c>
      <c r="E76" s="47" t="s">
        <v>68</v>
      </c>
      <c r="F76" s="54">
        <v>0</v>
      </c>
      <c r="G76" s="48" t="s">
        <v>77</v>
      </c>
      <c r="H76" s="17">
        <f ca="1">--TRIM(RIGHT(SUBSTITUTE(LEFT(C75,_xlfn.AGGREGATE(16,6,FIND({0,1,2,3,4,5,6,7,8,9},C75,ROW(INDIRECT("1:"&amp;LEN(C75)))),1))," ",REPT(" ",LEN(C75))),LEN(C75)))</f>
        <v>14</v>
      </c>
      <c r="I76" s="51"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 customHeight="1" x14ac:dyDescent="0.35">
      <c r="A77" s="198" t="s">
        <v>87</v>
      </c>
      <c r="B77" s="180"/>
      <c r="C77" s="170" t="str">
        <f ca="1">I75</f>
        <v>Excavation, Plinth Completed, RCC upto 10 Slab, Brickwork upto 7 Floor, Internal Plaster upto 3 Floor, External Plaster upto 2 Floor Completed</v>
      </c>
      <c r="D77" s="170"/>
      <c r="E77" s="170"/>
      <c r="F77" s="170"/>
      <c r="G77" s="170"/>
      <c r="H77" s="171"/>
      <c r="I77" s="51" t="str">
        <f ca="1">IF(I76&lt;&gt;""," Completed","")</f>
        <v xml:space="preserve"> Completed</v>
      </c>
      <c r="J77" s="52" t="str">
        <f ca="1">IF(J75&lt;&gt;"","Completed","")</f>
        <v>Completed</v>
      </c>
      <c r="S77"/>
    </row>
    <row r="78" spans="1:19" ht="15.75" customHeight="1" x14ac:dyDescent="0.35">
      <c r="A78" s="112" t="s">
        <v>47</v>
      </c>
      <c r="B78" s="113"/>
      <c r="C78" s="43" t="s">
        <v>136</v>
      </c>
      <c r="D78" s="43" t="s">
        <v>80</v>
      </c>
      <c r="E78" s="113" t="s">
        <v>82</v>
      </c>
      <c r="F78" s="113"/>
      <c r="G78" s="113" t="s">
        <v>81</v>
      </c>
      <c r="H78" s="161"/>
      <c r="I78" s="13" t="s">
        <v>138</v>
      </c>
      <c r="J78" s="28">
        <f ca="1">H76*25%</f>
        <v>3.5</v>
      </c>
      <c r="S78"/>
    </row>
    <row r="79" spans="1:19" x14ac:dyDescent="0.35">
      <c r="A79" s="112" t="s">
        <v>125</v>
      </c>
      <c r="B79" s="113"/>
      <c r="C79" s="43">
        <f ca="1">J80</f>
        <v>14</v>
      </c>
      <c r="D79" s="19">
        <f ca="1">((100/H76)*C79)/100</f>
        <v>1</v>
      </c>
      <c r="E79" s="162">
        <f ca="1">(((C80/H76*10)+(40/(D76+F76+H76)*C81)+(7.5/(H76)*C82)+(7.5/(H76)*C83)+(10/H76*C84)+(10/H76*C85)+(5/H76*C86)+(5/H76*C87)+(5/H76*C88))/100)</f>
        <v>0.43452380952380948</v>
      </c>
      <c r="F79" s="163"/>
      <c r="G79" s="162">
        <f ca="1">((((C79/H76)*20)+((C80/H76)*25)+(30/(H76+F76+D76)*C81)+(5/H76*C82)+(5/H76*C83)+(5/H76*C84)+(5/H76*C85)+(0/H76*C86)+(0/H76*C87)+(5/H76*C88))/100)</f>
        <v>0.69285714285714273</v>
      </c>
      <c r="H79" s="191"/>
      <c r="I79" s="13" t="s">
        <v>98</v>
      </c>
      <c r="J79" s="29">
        <f ca="1">H76*50%</f>
        <v>7</v>
      </c>
    </row>
    <row r="80" spans="1:19" x14ac:dyDescent="0.35">
      <c r="A80" s="112" t="s">
        <v>48</v>
      </c>
      <c r="B80" s="113"/>
      <c r="C80" s="55">
        <f ca="1">J88</f>
        <v>14</v>
      </c>
      <c r="D80" s="19">
        <f ca="1">((100/H76)*C80)/100</f>
        <v>1</v>
      </c>
      <c r="E80" s="164"/>
      <c r="F80" s="165"/>
      <c r="G80" s="164"/>
      <c r="H80" s="192"/>
      <c r="I80" s="13" t="s">
        <v>99</v>
      </c>
      <c r="J80" s="29">
        <f ca="1">H76</f>
        <v>14</v>
      </c>
      <c r="S80"/>
    </row>
    <row r="81" spans="1:19" ht="15.75" customHeight="1" x14ac:dyDescent="0.35">
      <c r="A81" s="112" t="s">
        <v>126</v>
      </c>
      <c r="B81" s="113"/>
      <c r="C81" s="43">
        <v>10</v>
      </c>
      <c r="D81" s="19">
        <f ca="1">((100/(D76+F76+H76))*C81)/100</f>
        <v>0.66666666666666674</v>
      </c>
      <c r="E81" s="164"/>
      <c r="F81" s="165"/>
      <c r="G81" s="164"/>
      <c r="H81" s="192"/>
      <c r="I81" s="13" t="s">
        <v>100</v>
      </c>
      <c r="J81" s="30">
        <f ca="1">(IF(B76&gt;1,(H76/(B76+2)),H76/4))</f>
        <v>3.5</v>
      </c>
      <c r="S81"/>
    </row>
    <row r="82" spans="1:19" ht="15.75" customHeight="1" x14ac:dyDescent="0.35">
      <c r="A82" s="112" t="s">
        <v>133</v>
      </c>
      <c r="B82" s="113" t="s">
        <v>127</v>
      </c>
      <c r="C82" s="43">
        <v>7</v>
      </c>
      <c r="D82" s="19">
        <f ca="1">((100/H76)*C82)/100</f>
        <v>0.5</v>
      </c>
      <c r="E82" s="164"/>
      <c r="F82" s="165"/>
      <c r="G82" s="164"/>
      <c r="H82" s="192"/>
      <c r="I82" s="13" t="s">
        <v>101</v>
      </c>
      <c r="J82" s="30">
        <f ca="1">(IF(B76&gt;1,(H76/(B76+2)+J81),H76/4+J81))</f>
        <v>7</v>
      </c>
    </row>
    <row r="83" spans="1:19" ht="15.75" customHeight="1" x14ac:dyDescent="0.35">
      <c r="A83" s="112" t="s">
        <v>134</v>
      </c>
      <c r="B83" s="113" t="s">
        <v>127</v>
      </c>
      <c r="C83" s="43">
        <v>3</v>
      </c>
      <c r="D83" s="19">
        <f ca="1">((100/H76)*C83)/100</f>
        <v>0.2142857142857143</v>
      </c>
      <c r="E83" s="164"/>
      <c r="F83" s="165"/>
      <c r="G83" s="164"/>
      <c r="H83" s="192"/>
      <c r="I83" s="13" t="s">
        <v>143</v>
      </c>
      <c r="J83" s="30">
        <f>(IF(B76&gt;1,(H76/(B76+2)+J82),0))</f>
        <v>0</v>
      </c>
    </row>
    <row r="84" spans="1:19" ht="15" customHeight="1" x14ac:dyDescent="0.35">
      <c r="A84" s="112" t="s">
        <v>132</v>
      </c>
      <c r="B84" s="113" t="s">
        <v>129</v>
      </c>
      <c r="C84" s="43">
        <v>2</v>
      </c>
      <c r="D84" s="19">
        <f ca="1">((100/(H76))*C84)/100</f>
        <v>0.14285714285714288</v>
      </c>
      <c r="E84" s="164"/>
      <c r="F84" s="165"/>
      <c r="G84" s="164"/>
      <c r="H84" s="192"/>
      <c r="I84" s="13" t="s">
        <v>140</v>
      </c>
      <c r="J84" s="30">
        <f>(IF(B76&gt;2,(H76/(B76+2)+J83),0))</f>
        <v>0</v>
      </c>
    </row>
    <row r="85" spans="1:19" ht="15.75" customHeight="1" x14ac:dyDescent="0.35">
      <c r="A85" s="112" t="s">
        <v>128</v>
      </c>
      <c r="B85" s="113" t="s">
        <v>128</v>
      </c>
      <c r="C85" s="43">
        <v>0</v>
      </c>
      <c r="D85" s="19">
        <f ca="1">((100/H76)*C85)/100</f>
        <v>0</v>
      </c>
      <c r="E85" s="164"/>
      <c r="F85" s="165"/>
      <c r="G85" s="164"/>
      <c r="H85" s="192"/>
      <c r="I85" s="13" t="s">
        <v>141</v>
      </c>
      <c r="J85" s="31">
        <f>(IF(B76&gt;3,(H76/(B76+2)+J84),0))</f>
        <v>0</v>
      </c>
    </row>
    <row r="86" spans="1:19" ht="15.75" customHeight="1" x14ac:dyDescent="0.35">
      <c r="A86" s="112" t="s">
        <v>135</v>
      </c>
      <c r="B86" s="113"/>
      <c r="C86" s="43">
        <v>0</v>
      </c>
      <c r="D86" s="19">
        <f ca="1">((100/H76)*C86)/100</f>
        <v>0</v>
      </c>
      <c r="E86" s="164"/>
      <c r="F86" s="165"/>
      <c r="G86" s="164"/>
      <c r="H86" s="192"/>
      <c r="I86" s="13" t="s">
        <v>142</v>
      </c>
      <c r="J86" s="30">
        <f>(IF(B76&gt;4,(H76/(B76+2)+J85),0))</f>
        <v>0</v>
      </c>
    </row>
    <row r="87" spans="1:19" ht="15.75" customHeight="1" x14ac:dyDescent="0.35">
      <c r="A87" s="112" t="s">
        <v>130</v>
      </c>
      <c r="B87" s="113" t="s">
        <v>130</v>
      </c>
      <c r="C87" s="43">
        <v>0</v>
      </c>
      <c r="D87" s="19">
        <f ca="1">((100/(H76))*C87)/100</f>
        <v>0</v>
      </c>
      <c r="E87" s="164"/>
      <c r="F87" s="165"/>
      <c r="G87" s="164"/>
      <c r="H87" s="192"/>
      <c r="I87" s="13" t="s">
        <v>144</v>
      </c>
      <c r="J87" s="30">
        <f ca="1">(IF(B76=1,(H76/(B76+3)+J82),IF(B76=0,(H76/4+J82),IF(B76&gt;1,0))))</f>
        <v>10.5</v>
      </c>
    </row>
    <row r="88" spans="1:19" ht="16" thickBot="1" x14ac:dyDescent="0.4">
      <c r="A88" s="120" t="s">
        <v>131</v>
      </c>
      <c r="B88" s="121"/>
      <c r="C88" s="44">
        <v>0</v>
      </c>
      <c r="D88" s="20">
        <f ca="1">((100/(H76))*C88)/100</f>
        <v>0</v>
      </c>
      <c r="E88" s="166"/>
      <c r="F88" s="167"/>
      <c r="G88" s="166"/>
      <c r="H88" s="193"/>
      <c r="I88" s="15" t="s">
        <v>102</v>
      </c>
      <c r="J88" s="32">
        <f ca="1">(IF(B76&gt;1.5,(H76/(B76+2)+J82+MAX(0,J83-J82)+MAX(0,J84-J83)+MAX(0,J85-J84)+MAX(0,J86-J85)+MAX(0,J87-J86)),IF(B76=1,(H76/(B76+3)+J87),IF(B76=0,H76/4+J87))))</f>
        <v>14</v>
      </c>
    </row>
    <row r="89" spans="1:19" ht="15.75" customHeight="1" x14ac:dyDescent="0.35">
      <c r="A89" s="107" t="s">
        <v>137</v>
      </c>
      <c r="B89" s="108"/>
      <c r="C89" s="109" t="str">
        <f>D66</f>
        <v>Building 1 (Wing B) = Gr + 1st to 14th Floor</v>
      </c>
      <c r="D89" s="110"/>
      <c r="E89" s="110"/>
      <c r="F89" s="110"/>
      <c r="G89" s="110"/>
      <c r="H89" s="111"/>
      <c r="I89" s="49" t="str">
        <f ca="1">IF(D102=100%,"All work Completed. Possession granted to the Building.",IF(D101=100%,"All work Completed, Waiting for OC",I90&amp;""&amp;I91&amp;""&amp;J90&amp;""&amp;J89&amp;" "&amp;J91))</f>
        <v>Excavation, Plinth Completed, RCC upto 5 Slab, Brickwork upto 4 Floor Completed</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5 Slab, Brickwork upto 4 Floor</v>
      </c>
      <c r="S89"/>
    </row>
    <row r="90" spans="1:19" x14ac:dyDescent="0.35">
      <c r="A90" s="16" t="s">
        <v>139</v>
      </c>
      <c r="B90" s="54">
        <f>IF(AND(ISNUMBER(SEARCH("1B",C89))),1,IF(AND(ISNUMBER(SEARCH("2B",C89))),2,IF(AND(ISNUMBER(SEARCH("3B",C89))),3,IF(AND(ISNUMBER(SEARCH("4B",C89))),4,IF(ISNUMBER(SEARCH("5B",C89)),5,0)))))</f>
        <v>0</v>
      </c>
      <c r="C90" s="54" t="s">
        <v>69</v>
      </c>
      <c r="D90" s="54">
        <v>1</v>
      </c>
      <c r="E90" s="54" t="s">
        <v>68</v>
      </c>
      <c r="F90" s="54">
        <v>0</v>
      </c>
      <c r="G90" s="48" t="s">
        <v>77</v>
      </c>
      <c r="H90" s="17">
        <f ca="1">--TRIM(RIGHT(SUBSTITUTE(LEFT(C89,_xlfn.AGGREGATE(16,6,FIND({0,1,2,3,4,5,6,7,8,9},C89,ROW(INDIRECT("1:"&amp;LEN(C89)))),1))," ",REPT(" ",LEN(C89))),LEN(C89)))</f>
        <v>14</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0.75" customHeight="1" x14ac:dyDescent="0.35">
      <c r="A91" s="198" t="s">
        <v>87</v>
      </c>
      <c r="B91" s="180"/>
      <c r="C91" s="170" t="str">
        <f ca="1">I89</f>
        <v>Excavation, Plinth Completed, RCC upto 5 Slab, Brickwork upto 4 Floor Completed</v>
      </c>
      <c r="D91" s="170"/>
      <c r="E91" s="170"/>
      <c r="F91" s="170"/>
      <c r="G91" s="170"/>
      <c r="H91" s="171"/>
      <c r="I91" s="51" t="str">
        <f ca="1">IF(I90&lt;&gt;""," Completed","")</f>
        <v xml:space="preserve"> Completed</v>
      </c>
      <c r="J91" s="52" t="str">
        <f ca="1">IF(J89&lt;&gt;"","Completed","")</f>
        <v>Completed</v>
      </c>
      <c r="S91"/>
    </row>
    <row r="92" spans="1:19" ht="15.75" customHeight="1" x14ac:dyDescent="0.35">
      <c r="A92" s="112" t="s">
        <v>47</v>
      </c>
      <c r="B92" s="113"/>
      <c r="C92" s="70" t="s">
        <v>136</v>
      </c>
      <c r="D92" s="70" t="s">
        <v>80</v>
      </c>
      <c r="E92" s="113" t="s">
        <v>82</v>
      </c>
      <c r="F92" s="113"/>
      <c r="G92" s="113" t="s">
        <v>81</v>
      </c>
      <c r="H92" s="161"/>
      <c r="I92" s="13" t="s">
        <v>138</v>
      </c>
      <c r="J92" s="28">
        <f ca="1">H90*25%</f>
        <v>3.5</v>
      </c>
      <c r="S92"/>
    </row>
    <row r="93" spans="1:19" x14ac:dyDescent="0.35">
      <c r="A93" s="112" t="s">
        <v>125</v>
      </c>
      <c r="B93" s="113"/>
      <c r="C93" s="70">
        <f ca="1">J94</f>
        <v>14</v>
      </c>
      <c r="D93" s="19">
        <f ca="1">((100/H90)*C93)/100</f>
        <v>1</v>
      </c>
      <c r="E93" s="162">
        <f ca="1">(((C94/H90*10)+(40/(D90+F90+H90)*C95)+(7.5/(H90)*C96)+(7.5/(H90)*C97)+(10/H90*C98)+(10/H90*C99)+(5/H90*C100)+(5/H90*C101)+(5/H90*C102))/100)</f>
        <v>0.25476190476190474</v>
      </c>
      <c r="F93" s="163"/>
      <c r="G93" s="162">
        <f ca="1">((((C93/H90)*20)+((C94/H90)*25)+(30/(H90+F90+D90)*C95)+(5/H90*C96)+(5/H90*C97)+(5/H90*C98)+(5/H90*C99)+(0/H90*C100)+(0/H90*C101)+(5/H90*C102))/100)</f>
        <v>0.56428571428571428</v>
      </c>
      <c r="H93" s="191"/>
      <c r="I93" s="13" t="s">
        <v>98</v>
      </c>
      <c r="J93" s="29">
        <f ca="1">H90*50%</f>
        <v>7</v>
      </c>
    </row>
    <row r="94" spans="1:19" x14ac:dyDescent="0.35">
      <c r="A94" s="112" t="s">
        <v>48</v>
      </c>
      <c r="B94" s="113"/>
      <c r="C94" s="55">
        <f ca="1">J102</f>
        <v>14</v>
      </c>
      <c r="D94" s="19">
        <f ca="1">((100/H90)*C94)/100</f>
        <v>1</v>
      </c>
      <c r="E94" s="164"/>
      <c r="F94" s="165"/>
      <c r="G94" s="164"/>
      <c r="H94" s="192"/>
      <c r="I94" s="13" t="s">
        <v>99</v>
      </c>
      <c r="J94" s="29">
        <f ca="1">H90</f>
        <v>14</v>
      </c>
      <c r="S94"/>
    </row>
    <row r="95" spans="1:19" ht="15.75" customHeight="1" x14ac:dyDescent="0.35">
      <c r="A95" s="112" t="s">
        <v>126</v>
      </c>
      <c r="B95" s="113"/>
      <c r="C95" s="70">
        <v>5</v>
      </c>
      <c r="D95" s="19">
        <f ca="1">((100/(D90+F90+H90))*C95)/100</f>
        <v>0.33333333333333337</v>
      </c>
      <c r="E95" s="164"/>
      <c r="F95" s="165"/>
      <c r="G95" s="164"/>
      <c r="H95" s="192"/>
      <c r="I95" s="13" t="s">
        <v>100</v>
      </c>
      <c r="J95" s="30">
        <f ca="1">(IF(B90&gt;1,(H90/(B90+2)),H90/4))</f>
        <v>3.5</v>
      </c>
      <c r="S95"/>
    </row>
    <row r="96" spans="1:19" ht="15.75" customHeight="1" x14ac:dyDescent="0.35">
      <c r="A96" s="112" t="s">
        <v>133</v>
      </c>
      <c r="B96" s="113" t="s">
        <v>127</v>
      </c>
      <c r="C96" s="70">
        <v>4</v>
      </c>
      <c r="D96" s="19">
        <f ca="1">((100/H90)*C96)/100</f>
        <v>0.28571428571428575</v>
      </c>
      <c r="E96" s="164"/>
      <c r="F96" s="165"/>
      <c r="G96" s="164"/>
      <c r="H96" s="192"/>
      <c r="I96" s="13" t="s">
        <v>101</v>
      </c>
      <c r="J96" s="30">
        <f ca="1">(IF(B90&gt;1,(H90/(B90+2)+J95),H90/4+J95))</f>
        <v>7</v>
      </c>
    </row>
    <row r="97" spans="1:10" ht="15.75" customHeight="1" x14ac:dyDescent="0.35">
      <c r="A97" s="112" t="s">
        <v>134</v>
      </c>
      <c r="B97" s="113" t="s">
        <v>127</v>
      </c>
      <c r="C97" s="70">
        <v>0</v>
      </c>
      <c r="D97" s="19">
        <f ca="1">((100/H90)*C97)/100</f>
        <v>0</v>
      </c>
      <c r="E97" s="164"/>
      <c r="F97" s="165"/>
      <c r="G97" s="164"/>
      <c r="H97" s="192"/>
      <c r="I97" s="13" t="s">
        <v>143</v>
      </c>
      <c r="J97" s="30">
        <f>(IF(B90&gt;1,(H90/(B90+2)+J96),0))</f>
        <v>0</v>
      </c>
    </row>
    <row r="98" spans="1:10" ht="15" customHeight="1" x14ac:dyDescent="0.35">
      <c r="A98" s="112" t="s">
        <v>132</v>
      </c>
      <c r="B98" s="113" t="s">
        <v>129</v>
      </c>
      <c r="C98" s="70">
        <v>0</v>
      </c>
      <c r="D98" s="19">
        <f ca="1">((100/(H90))*C98)/100</f>
        <v>0</v>
      </c>
      <c r="E98" s="164"/>
      <c r="F98" s="165"/>
      <c r="G98" s="164"/>
      <c r="H98" s="192"/>
      <c r="I98" s="13" t="s">
        <v>140</v>
      </c>
      <c r="J98" s="30">
        <f>(IF(B90&gt;2,(H90/(B90+2)+J97),0))</f>
        <v>0</v>
      </c>
    </row>
    <row r="99" spans="1:10" ht="15.75" customHeight="1" x14ac:dyDescent="0.35">
      <c r="A99" s="112" t="s">
        <v>128</v>
      </c>
      <c r="B99" s="113" t="s">
        <v>128</v>
      </c>
      <c r="C99" s="70">
        <v>0</v>
      </c>
      <c r="D99" s="19">
        <f ca="1">((100/H90)*C99)/100</f>
        <v>0</v>
      </c>
      <c r="E99" s="164"/>
      <c r="F99" s="165"/>
      <c r="G99" s="164"/>
      <c r="H99" s="192"/>
      <c r="I99" s="13" t="s">
        <v>141</v>
      </c>
      <c r="J99" s="31">
        <f>(IF(B90&gt;3,(H90/(B90+2)+J98),0))</f>
        <v>0</v>
      </c>
    </row>
    <row r="100" spans="1:10" ht="15.75" customHeight="1" x14ac:dyDescent="0.35">
      <c r="A100" s="112" t="s">
        <v>135</v>
      </c>
      <c r="B100" s="113"/>
      <c r="C100" s="70">
        <v>0</v>
      </c>
      <c r="D100" s="19">
        <f ca="1">((100/H90)*C100)/100</f>
        <v>0</v>
      </c>
      <c r="E100" s="164"/>
      <c r="F100" s="165"/>
      <c r="G100" s="164"/>
      <c r="H100" s="192"/>
      <c r="I100" s="13" t="s">
        <v>142</v>
      </c>
      <c r="J100" s="30">
        <f>(IF(B90&gt;4,(H90/(B90+2)+J99),0))</f>
        <v>0</v>
      </c>
    </row>
    <row r="101" spans="1:10" ht="15.75" customHeight="1" x14ac:dyDescent="0.35">
      <c r="A101" s="112" t="s">
        <v>130</v>
      </c>
      <c r="B101" s="113" t="s">
        <v>130</v>
      </c>
      <c r="C101" s="70">
        <v>0</v>
      </c>
      <c r="D101" s="19">
        <f ca="1">((100/(H90))*C101)/100</f>
        <v>0</v>
      </c>
      <c r="E101" s="164"/>
      <c r="F101" s="165"/>
      <c r="G101" s="164"/>
      <c r="H101" s="192"/>
      <c r="I101" s="13" t="s">
        <v>144</v>
      </c>
      <c r="J101" s="30">
        <f ca="1">(IF(B90=1,(H90/(B90+3)+J96),IF(B90=0,(H90/4+J96),IF(B90&gt;1,0))))</f>
        <v>10.5</v>
      </c>
    </row>
    <row r="102" spans="1:10" ht="16" thickBot="1" x14ac:dyDescent="0.4">
      <c r="A102" s="120" t="s">
        <v>131</v>
      </c>
      <c r="B102" s="121"/>
      <c r="C102" s="69">
        <v>0</v>
      </c>
      <c r="D102" s="20">
        <f ca="1">((100/(H90))*C102)/100</f>
        <v>0</v>
      </c>
      <c r="E102" s="166"/>
      <c r="F102" s="167"/>
      <c r="G102" s="166"/>
      <c r="H102" s="193"/>
      <c r="I102" s="15" t="s">
        <v>102</v>
      </c>
      <c r="J102" s="32">
        <f ca="1">(IF(B90&gt;1.5,(H90/(B90+2)+J96+MAX(0,J97-J96)+MAX(0,J98-J97)+MAX(0,J99-J98)+MAX(0,J100-J99)+MAX(0,J101-J100)),IF(B90=1,(H90/(B90+3)+J101),IF(B90=0,H90/4+J101))))</f>
        <v>14</v>
      </c>
    </row>
    <row r="103" spans="1:10" ht="15.75" customHeight="1" x14ac:dyDescent="0.35">
      <c r="A103" s="107" t="s">
        <v>137</v>
      </c>
      <c r="B103" s="108"/>
      <c r="C103" s="109" t="str">
        <f>D67</f>
        <v>Building 2 = Gr + 1st Floor</v>
      </c>
      <c r="D103" s="110"/>
      <c r="E103" s="110"/>
      <c r="F103" s="110"/>
      <c r="G103" s="110"/>
      <c r="H103" s="111"/>
      <c r="I103" s="49" t="str">
        <f ca="1">IF(D116=100%,"All work Completed. Possession granted to the Building.",IF(D115=100%,"All work Completed, Waiting for OC",I104&amp;""&amp;I105&amp;""&amp;J104&amp;""&amp;J103&amp;" "&amp;J105))</f>
        <v xml:space="preserve">Work not yet Started.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x14ac:dyDescent="0.35">
      <c r="A104" s="16" t="s">
        <v>139</v>
      </c>
      <c r="B104" s="54">
        <f>IF(AND(ISNUMBER(SEARCH("1B",C103))),1,IF(AND(ISNUMBER(SEARCH("2B",C103))),2,IF(AND(ISNUMBER(SEARCH("3B",C103))),3,IF(AND(ISNUMBER(SEARCH("4B",C103))),4,IF(ISNUMBER(SEARCH("5B",C103)),5,0)))))</f>
        <v>0</v>
      </c>
      <c r="C104" s="47" t="s">
        <v>69</v>
      </c>
      <c r="D104" s="47">
        <v>1</v>
      </c>
      <c r="E104" s="47" t="s">
        <v>68</v>
      </c>
      <c r="F104" s="54">
        <v>0</v>
      </c>
      <c r="G104" s="48" t="s">
        <v>77</v>
      </c>
      <c r="H104" s="17">
        <f ca="1">--TRIM(RIGHT(SUBSTITUTE(LEFT(C103,_xlfn.AGGREGATE(16,6,FIND({0,1,2,3,4,5,6,7,8,9},C103,ROW(INDIRECT("1:"&amp;LEN(C103)))),1))," ",REPT(" ",LEN(C103))),LEN(C103)))</f>
        <v>1</v>
      </c>
      <c r="I104" s="51" t="str">
        <f ca="1">IF(D107=100%,"Excavation","")&amp;IF(D108=100%,", Plinth","")&amp;IF(D109=100%,", RCC Slab","")&amp;IF(D110=100%,", Brickwork","")&amp;IF(D111=100%,", Internal Plaster","")&amp;IF(D112=100%,", External Plaster","")&amp;IF(D113=100%,", Flooring","")&amp;IF(D114=100%,", Painting","")&amp;IF(D115=100%,", Building common Amenities","")</f>
        <v/>
      </c>
      <c r="J104" s="52" t="str">
        <f>(IF(C107=0,"Work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Work not yet Started.</v>
      </c>
    </row>
    <row r="105" spans="1:10" x14ac:dyDescent="0.35">
      <c r="A105" s="198" t="s">
        <v>87</v>
      </c>
      <c r="B105" s="180"/>
      <c r="C105" s="170" t="str">
        <f ca="1">(IF($G$60="NA",I103,"All work Completed. OC Received."))</f>
        <v xml:space="preserve">Work not yet Started. </v>
      </c>
      <c r="D105" s="170"/>
      <c r="E105" s="170"/>
      <c r="F105" s="170"/>
      <c r="G105" s="170"/>
      <c r="H105" s="171"/>
      <c r="I105" s="51" t="str">
        <f ca="1">IF(I104&lt;&gt;""," Completed","")</f>
        <v/>
      </c>
      <c r="J105" s="52" t="str">
        <f ca="1">IF(J103&lt;&gt;"","Completed","")</f>
        <v/>
      </c>
    </row>
    <row r="106" spans="1:10" ht="15.75" customHeight="1" x14ac:dyDescent="0.35">
      <c r="A106" s="112" t="s">
        <v>47</v>
      </c>
      <c r="B106" s="113"/>
      <c r="C106" s="43" t="s">
        <v>136</v>
      </c>
      <c r="D106" s="43" t="s">
        <v>80</v>
      </c>
      <c r="E106" s="113" t="s">
        <v>82</v>
      </c>
      <c r="F106" s="113"/>
      <c r="G106" s="113" t="s">
        <v>81</v>
      </c>
      <c r="H106" s="161"/>
      <c r="I106" s="13" t="s">
        <v>138</v>
      </c>
      <c r="J106" s="28">
        <f ca="1">H104*25%</f>
        <v>0.25</v>
      </c>
    </row>
    <row r="107" spans="1:10" x14ac:dyDescent="0.35">
      <c r="A107" s="112" t="s">
        <v>125</v>
      </c>
      <c r="B107" s="113"/>
      <c r="C107" s="43">
        <v>0</v>
      </c>
      <c r="D107" s="19">
        <f ca="1">((100/H104)*C107)/100</f>
        <v>0</v>
      </c>
      <c r="E107" s="162">
        <f ca="1">(((C108/H104*10)+(40/(D104+F104+H104)*C109)+(7.5/(H104)*C110)+(7.5/(H104)*C111)+(10/H104*C112)+(10/H104*C113)+(5/H104*C114)+(5/H104*C115)+(5/H104*C116))/100)</f>
        <v>0</v>
      </c>
      <c r="F107" s="163"/>
      <c r="G107" s="162">
        <f ca="1">((((C107/H104)*20)+((C108/H104)*25)+(30/(H104+F104+D104)*C109)+(5/H104*C110)+(5/H104*C111)+(5/H104*C112)+(5/H104*C113)+(0/H104*C114)+(0/H104*C115)+(5/H104*C116))/100)</f>
        <v>0</v>
      </c>
      <c r="H107" s="191"/>
      <c r="I107" s="13" t="s">
        <v>98</v>
      </c>
      <c r="J107" s="29">
        <f ca="1">H104*50%</f>
        <v>0.5</v>
      </c>
    </row>
    <row r="108" spans="1:10" x14ac:dyDescent="0.35">
      <c r="A108" s="112" t="s">
        <v>48</v>
      </c>
      <c r="B108" s="113"/>
      <c r="C108" s="55">
        <v>0</v>
      </c>
      <c r="D108" s="19">
        <f ca="1">((100/H104)*C108)/100</f>
        <v>0</v>
      </c>
      <c r="E108" s="164"/>
      <c r="F108" s="165"/>
      <c r="G108" s="164"/>
      <c r="H108" s="192"/>
      <c r="I108" s="13" t="s">
        <v>99</v>
      </c>
      <c r="J108" s="29">
        <f ca="1">H104</f>
        <v>1</v>
      </c>
    </row>
    <row r="109" spans="1:10" ht="15.75" customHeight="1" x14ac:dyDescent="0.35">
      <c r="A109" s="112" t="s">
        <v>126</v>
      </c>
      <c r="B109" s="113"/>
      <c r="C109" s="43">
        <v>0</v>
      </c>
      <c r="D109" s="19">
        <f ca="1">((100/(D104+F104+H104))*C109)/100</f>
        <v>0</v>
      </c>
      <c r="E109" s="164"/>
      <c r="F109" s="165"/>
      <c r="G109" s="164"/>
      <c r="H109" s="192"/>
      <c r="I109" s="13" t="s">
        <v>100</v>
      </c>
      <c r="J109" s="30">
        <f ca="1">(IF(B104&gt;1,(H104/(B104+2)),H104/4))</f>
        <v>0.25</v>
      </c>
    </row>
    <row r="110" spans="1:10" ht="15.75" customHeight="1" x14ac:dyDescent="0.35">
      <c r="A110" s="112" t="s">
        <v>133</v>
      </c>
      <c r="B110" s="113" t="s">
        <v>127</v>
      </c>
      <c r="C110" s="43">
        <v>0</v>
      </c>
      <c r="D110" s="19">
        <f ca="1">((100/H104)*C110)/100</f>
        <v>0</v>
      </c>
      <c r="E110" s="164"/>
      <c r="F110" s="165"/>
      <c r="G110" s="164"/>
      <c r="H110" s="192"/>
      <c r="I110" s="13" t="s">
        <v>101</v>
      </c>
      <c r="J110" s="30">
        <f ca="1">(IF(B104&gt;1,(H104/(B104+2)+J109),H104/4+J109))</f>
        <v>0.5</v>
      </c>
    </row>
    <row r="111" spans="1:10" ht="15.75" customHeight="1" x14ac:dyDescent="0.35">
      <c r="A111" s="112" t="s">
        <v>134</v>
      </c>
      <c r="B111" s="113" t="s">
        <v>127</v>
      </c>
      <c r="C111" s="43">
        <v>0</v>
      </c>
      <c r="D111" s="19">
        <f ca="1">((100/H104)*C111)/100</f>
        <v>0</v>
      </c>
      <c r="E111" s="164"/>
      <c r="F111" s="165"/>
      <c r="G111" s="164"/>
      <c r="H111" s="192"/>
      <c r="I111" s="13" t="s">
        <v>143</v>
      </c>
      <c r="J111" s="30">
        <f>(IF(B104&gt;1,(H104/(B104+2)+J110),0))</f>
        <v>0</v>
      </c>
    </row>
    <row r="112" spans="1:10" ht="15" customHeight="1" x14ac:dyDescent="0.35">
      <c r="A112" s="112" t="s">
        <v>132</v>
      </c>
      <c r="B112" s="113" t="s">
        <v>129</v>
      </c>
      <c r="C112" s="43">
        <v>0</v>
      </c>
      <c r="D112" s="19">
        <f ca="1">((100/(H104))*C112)/100</f>
        <v>0</v>
      </c>
      <c r="E112" s="164"/>
      <c r="F112" s="165"/>
      <c r="G112" s="164"/>
      <c r="H112" s="192"/>
      <c r="I112" s="13" t="s">
        <v>140</v>
      </c>
      <c r="J112" s="30">
        <f>(IF(B104&gt;2,(H104/(B104+2)+J111),0))</f>
        <v>0</v>
      </c>
    </row>
    <row r="113" spans="1:10" ht="15.75" customHeight="1" x14ac:dyDescent="0.35">
      <c r="A113" s="112" t="s">
        <v>128</v>
      </c>
      <c r="B113" s="113" t="s">
        <v>128</v>
      </c>
      <c r="C113" s="43">
        <v>0</v>
      </c>
      <c r="D113" s="19">
        <f ca="1">((100/H104)*C113)/100</f>
        <v>0</v>
      </c>
      <c r="E113" s="164"/>
      <c r="F113" s="165"/>
      <c r="G113" s="164"/>
      <c r="H113" s="192"/>
      <c r="I113" s="13" t="s">
        <v>141</v>
      </c>
      <c r="J113" s="31">
        <f>(IF(B104&gt;3,(H104/(B104+2)+J112),0))</f>
        <v>0</v>
      </c>
    </row>
    <row r="114" spans="1:10" ht="15.75" customHeight="1" x14ac:dyDescent="0.35">
      <c r="A114" s="112" t="s">
        <v>135</v>
      </c>
      <c r="B114" s="113"/>
      <c r="C114" s="43">
        <v>0</v>
      </c>
      <c r="D114" s="19">
        <f ca="1">((100/H104)*C114)/100</f>
        <v>0</v>
      </c>
      <c r="E114" s="164"/>
      <c r="F114" s="165"/>
      <c r="G114" s="164"/>
      <c r="H114" s="192"/>
      <c r="I114" s="13" t="s">
        <v>142</v>
      </c>
      <c r="J114" s="30">
        <f>(IF(B104&gt;4,(H104/(B104+2)+J113),0))</f>
        <v>0</v>
      </c>
    </row>
    <row r="115" spans="1:10" ht="15.75" customHeight="1" x14ac:dyDescent="0.35">
      <c r="A115" s="112" t="s">
        <v>130</v>
      </c>
      <c r="B115" s="113" t="s">
        <v>130</v>
      </c>
      <c r="C115" s="43">
        <v>0</v>
      </c>
      <c r="D115" s="19">
        <f ca="1">((100/(H104))*C115)/100</f>
        <v>0</v>
      </c>
      <c r="E115" s="164"/>
      <c r="F115" s="165"/>
      <c r="G115" s="164"/>
      <c r="H115" s="192"/>
      <c r="I115" s="13" t="s">
        <v>144</v>
      </c>
      <c r="J115" s="30">
        <f ca="1">(IF(B104=1,(H104/(B104+3)+J110),IF(B104=0,(H104/4+J110),IF(B104&gt;1,0))))</f>
        <v>0.75</v>
      </c>
    </row>
    <row r="116" spans="1:10" ht="16" thickBot="1" x14ac:dyDescent="0.4">
      <c r="A116" s="120" t="s">
        <v>131</v>
      </c>
      <c r="B116" s="121"/>
      <c r="C116" s="44">
        <v>0</v>
      </c>
      <c r="D116" s="20">
        <f ca="1">((100/(H104))*C116)/100</f>
        <v>0</v>
      </c>
      <c r="E116" s="166"/>
      <c r="F116" s="167"/>
      <c r="G116" s="166"/>
      <c r="H116" s="193"/>
      <c r="I116" s="15" t="s">
        <v>102</v>
      </c>
      <c r="J116" s="32">
        <f ca="1">(IF(B104&gt;1.5,(H104/(B104+2)+J110+MAX(0,J111-J110)+MAX(0,J112-J111)+MAX(0,J113-J112)+MAX(0,J114-J113)+MAX(0,J115-J114)),IF(B104=1,(H104/(B104+3)+J115),IF(B104=0,H104/4+J115))))</f>
        <v>1</v>
      </c>
    </row>
    <row r="117" spans="1:10" ht="15.75" hidden="1" customHeight="1" x14ac:dyDescent="0.35">
      <c r="A117" s="107" t="s">
        <v>137</v>
      </c>
      <c r="B117" s="108"/>
      <c r="C117" s="109" t="e">
        <f>#REF!</f>
        <v>#REF!</v>
      </c>
      <c r="D117" s="110"/>
      <c r="E117" s="110"/>
      <c r="F117" s="110"/>
      <c r="G117" s="110"/>
      <c r="H117" s="111"/>
      <c r="I117" s="49" t="e">
        <f ca="1">IF(D130=100%,"All work Completed. Possession granted to the Building.",IF(D129=100%,"All work Completed, Waiting for OC",I118&amp;""&amp;I119&amp;""&amp;J118&amp;""&amp;J117&amp;" "&amp;J119))</f>
        <v>#REF!</v>
      </c>
      <c r="J117" s="50" t="e">
        <f ca="1">(IF(C123=(D118+F118+H118),"",IF(C123&gt;0,", RCC upto "&amp;C123&amp;" Slab","")))&amp;(IF(C124=H118,"",IF(C124&gt;0,", Brickwork upto "&amp;C124&amp;" Floor","")))&amp;(IF(C125=H118,"",IF(C125&gt;0,", Internal Plaster upto "&amp;C125&amp;" Floor","")))&amp;(IF(C126=H118,"",IF(C126&gt;0,", External Plaster upto "&amp;C126&amp;" Floor","")))&amp;(IF(C127=H118,"",IF(C127&gt;0,", Flooring upto "&amp;C127&amp;" Floor","")))&amp;(IF(C128=H118,"",IF(C128&gt;0,", Painting upto "&amp;C128&amp;" Floor","")))&amp;(IF(C129=H118,"",IF(C129&gt;0,", Finishing upto "&amp;C129&amp;" Floor","")))&amp;(IF(C130=H118,"",IF(C130&gt;0,", Possession upto "&amp;C130&amp;" Floor","")))</f>
        <v>#REF!</v>
      </c>
    </row>
    <row r="118" spans="1:10" hidden="1" x14ac:dyDescent="0.35">
      <c r="A118" s="16" t="s">
        <v>139</v>
      </c>
      <c r="B118" s="54">
        <f>IF(AND(ISNUMBER(SEARCH("1B",C117))),1,IF(AND(ISNUMBER(SEARCH("2B",C117))),2,IF(AND(ISNUMBER(SEARCH("3B",C117))),3,IF(AND(ISNUMBER(SEARCH("4B",C117))),4,IF(ISNUMBER(SEARCH("5B",C117)),5,0)))))</f>
        <v>0</v>
      </c>
      <c r="C118" s="47" t="s">
        <v>69</v>
      </c>
      <c r="D118" s="47">
        <v>1</v>
      </c>
      <c r="E118" s="47" t="s">
        <v>68</v>
      </c>
      <c r="F118" s="14">
        <v>0</v>
      </c>
      <c r="G118" s="48" t="s">
        <v>77</v>
      </c>
      <c r="H118" s="17" t="e">
        <f ca="1">--TRIM(RIGHT(SUBSTITUTE(LEFT(C117,_xlfn.AGGREGATE(16,6,FIND({0,1,2,3,4,5,6,7,8,9},C117,ROW(INDIRECT("1:"&amp;LEN(C117)))),1))," ",REPT(" ",LEN(C117))),LEN(C117)))</f>
        <v>#REF!</v>
      </c>
      <c r="I118" s="51" t="e">
        <f ca="1">IF(D121=100%,"Excavation","")&amp;IF(D122=100%,", Plinth","")&amp;IF(D123=100%,", RCC Slab","")&amp;IF(D124=100%,", Brickwork","")&amp;IF(D125=100%,", Internal Plaster","")&amp;IF(D126=100%,", External Plaster","")&amp;IF(D127=100%,", Flooring","")&amp;IF(D128=100%,", Painting","")&amp;IF(D129=100%,", Building common Amenities","")</f>
        <v>#REF!</v>
      </c>
      <c r="J118" s="52" t="e">
        <f ca="1">(IF(C121=0,"Work not yet Started.",IF(D121=25%,"Piling work in process",IF(D121=50%,"Excavation work in process",IF(D121=100%,"","0")))))&amp;(IF(C122=0%,"",IF(C122=J123,", Footing work is process",IF(C122=J124,", Footing work Completed",IF(C122=J125,", 1st Basement Completed",IF(C122=J126,", 1st &amp; 2nd Basement Completed",IF(C122=J127,", 1st to 3rd Basement Completed",IF(C122=J128,", 1st to 4th Basement Completed",IF(C122=J129,", Plinth work is process",IF(C122=J130,"","0"))))))))))</f>
        <v>#REF!</v>
      </c>
    </row>
    <row r="119" spans="1:10" hidden="1" x14ac:dyDescent="0.35">
      <c r="A119" s="198" t="s">
        <v>87</v>
      </c>
      <c r="B119" s="180"/>
      <c r="C119" s="170" t="e">
        <f ca="1">(IF($G$60="NA",I117,"All work Completed. OC Received."))</f>
        <v>#REF!</v>
      </c>
      <c r="D119" s="170"/>
      <c r="E119" s="170"/>
      <c r="F119" s="170"/>
      <c r="G119" s="170"/>
      <c r="H119" s="171"/>
      <c r="I119" s="51" t="e">
        <f ca="1">IF(I118&lt;&gt;""," Completed","")</f>
        <v>#REF!</v>
      </c>
      <c r="J119" s="52" t="e">
        <f ca="1">IF(J117&lt;&gt;"","Completed","")</f>
        <v>#REF!</v>
      </c>
    </row>
    <row r="120" spans="1:10" ht="15.75" hidden="1" customHeight="1" x14ac:dyDescent="0.35">
      <c r="A120" s="112" t="s">
        <v>47</v>
      </c>
      <c r="B120" s="113"/>
      <c r="C120" s="43" t="s">
        <v>136</v>
      </c>
      <c r="D120" s="43" t="s">
        <v>80</v>
      </c>
      <c r="E120" s="113" t="s">
        <v>82</v>
      </c>
      <c r="F120" s="113"/>
      <c r="G120" s="113" t="s">
        <v>81</v>
      </c>
      <c r="H120" s="161"/>
      <c r="I120" s="13" t="s">
        <v>138</v>
      </c>
      <c r="J120" s="28" t="e">
        <f ca="1">H118*25%</f>
        <v>#REF!</v>
      </c>
    </row>
    <row r="121" spans="1:10" hidden="1" x14ac:dyDescent="0.35">
      <c r="A121" s="112" t="s">
        <v>125</v>
      </c>
      <c r="B121" s="113"/>
      <c r="C121" s="43" t="e">
        <f ca="1">J122</f>
        <v>#REF!</v>
      </c>
      <c r="D121" s="19" t="e">
        <f ca="1">((100/H118)*C121)/100</f>
        <v>#REF!</v>
      </c>
      <c r="E121" s="162" t="e">
        <f ca="1">(((C122/H118*10)+(40/(D118+F118+H118)*C123)+(7.5/(H118)*C124)+(7.5/(H118)*C125)+(10/H118*C126)+(10/H118*C127)+(5/H118*C128)+(5/H118*C129)+(5/H118*C130))/100)</f>
        <v>#REF!</v>
      </c>
      <c r="F121" s="163"/>
      <c r="G121" s="162" t="e">
        <f ca="1">((((C121/H118)*20)+((C122/H118)*25)+(30/(H118+F118+D118)*C123)+(5/H118*C124)+(5/H118*C125)+(5/H118*C126)+(5/H118*C127)+(0/H118*C128)+(0/H118*C129)+(5/H118*C130))/100)</f>
        <v>#REF!</v>
      </c>
      <c r="H121" s="191"/>
      <c r="I121" s="13" t="s">
        <v>98</v>
      </c>
      <c r="J121" s="29" t="e">
        <f ca="1">H118*50%</f>
        <v>#REF!</v>
      </c>
    </row>
    <row r="122" spans="1:10" hidden="1" x14ac:dyDescent="0.35">
      <c r="A122" s="112" t="s">
        <v>48</v>
      </c>
      <c r="B122" s="113"/>
      <c r="C122" s="43" t="e">
        <f ca="1">J130</f>
        <v>#REF!</v>
      </c>
      <c r="D122" s="19" t="e">
        <f ca="1">((100/H118)*C122)/100</f>
        <v>#REF!</v>
      </c>
      <c r="E122" s="164"/>
      <c r="F122" s="165"/>
      <c r="G122" s="164"/>
      <c r="H122" s="192"/>
      <c r="I122" s="13" t="s">
        <v>99</v>
      </c>
      <c r="J122" s="29" t="e">
        <f ca="1">H118</f>
        <v>#REF!</v>
      </c>
    </row>
    <row r="123" spans="1:10" ht="15.75" hidden="1" customHeight="1" x14ac:dyDescent="0.35">
      <c r="A123" s="112" t="s">
        <v>126</v>
      </c>
      <c r="B123" s="113"/>
      <c r="C123" s="43" t="e">
        <f ca="1">D118+H118</f>
        <v>#REF!</v>
      </c>
      <c r="D123" s="19" t="e">
        <f ca="1">((100/(D118+F118+H118))*C123)/100</f>
        <v>#REF!</v>
      </c>
      <c r="E123" s="164"/>
      <c r="F123" s="165"/>
      <c r="G123" s="164"/>
      <c r="H123" s="192"/>
      <c r="I123" s="13" t="s">
        <v>100</v>
      </c>
      <c r="J123" s="30" t="e">
        <f ca="1">(IF(B118&gt;1,(H118/(B118+2)),H118/4))</f>
        <v>#REF!</v>
      </c>
    </row>
    <row r="124" spans="1:10" ht="15.75" hidden="1" customHeight="1" x14ac:dyDescent="0.35">
      <c r="A124" s="112" t="s">
        <v>133</v>
      </c>
      <c r="B124" s="113" t="s">
        <v>127</v>
      </c>
      <c r="C124" s="43">
        <v>0</v>
      </c>
      <c r="D124" s="19" t="e">
        <f ca="1">((100/H118)*C124)/100</f>
        <v>#REF!</v>
      </c>
      <c r="E124" s="164"/>
      <c r="F124" s="165"/>
      <c r="G124" s="164"/>
      <c r="H124" s="192"/>
      <c r="I124" s="13" t="s">
        <v>101</v>
      </c>
      <c r="J124" s="30" t="e">
        <f ca="1">(IF(B118&gt;1,(H118/(B118+2)+J123),H118/4+J123))</f>
        <v>#REF!</v>
      </c>
    </row>
    <row r="125" spans="1:10" ht="15.75" hidden="1" customHeight="1" x14ac:dyDescent="0.35">
      <c r="A125" s="112" t="s">
        <v>134</v>
      </c>
      <c r="B125" s="113" t="s">
        <v>127</v>
      </c>
      <c r="C125" s="43">
        <v>0</v>
      </c>
      <c r="D125" s="19" t="e">
        <f ca="1">((100/H118)*C125)/100</f>
        <v>#REF!</v>
      </c>
      <c r="E125" s="164"/>
      <c r="F125" s="165"/>
      <c r="G125" s="164"/>
      <c r="H125" s="192"/>
      <c r="I125" s="13" t="s">
        <v>143</v>
      </c>
      <c r="J125" s="30">
        <f>(IF(B118&gt;1,(H118/(B118+2)+J124),0))</f>
        <v>0</v>
      </c>
    </row>
    <row r="126" spans="1:10" ht="15" hidden="1" customHeight="1" x14ac:dyDescent="0.35">
      <c r="A126" s="112" t="s">
        <v>132</v>
      </c>
      <c r="B126" s="113" t="s">
        <v>129</v>
      </c>
      <c r="C126" s="43">
        <v>0</v>
      </c>
      <c r="D126" s="19" t="e">
        <f ca="1">((100/(H118))*C126)/100</f>
        <v>#REF!</v>
      </c>
      <c r="E126" s="164"/>
      <c r="F126" s="165"/>
      <c r="G126" s="164"/>
      <c r="H126" s="192"/>
      <c r="I126" s="13" t="s">
        <v>140</v>
      </c>
      <c r="J126" s="30">
        <f>(IF(B118&gt;2,(H118/(B118+2)+J125),0))</f>
        <v>0</v>
      </c>
    </row>
    <row r="127" spans="1:10" ht="15.75" hidden="1" customHeight="1" x14ac:dyDescent="0.35">
      <c r="A127" s="112" t="s">
        <v>128</v>
      </c>
      <c r="B127" s="113" t="s">
        <v>128</v>
      </c>
      <c r="C127" s="43">
        <v>0</v>
      </c>
      <c r="D127" s="19" t="e">
        <f ca="1">((100/H118)*C127)/100</f>
        <v>#REF!</v>
      </c>
      <c r="E127" s="164"/>
      <c r="F127" s="165"/>
      <c r="G127" s="164"/>
      <c r="H127" s="192"/>
      <c r="I127" s="13" t="s">
        <v>141</v>
      </c>
      <c r="J127" s="31">
        <f>(IF(B118&gt;3,(H118/(B118+2)+J126),0))</f>
        <v>0</v>
      </c>
    </row>
    <row r="128" spans="1:10" ht="15.75" hidden="1" customHeight="1" x14ac:dyDescent="0.35">
      <c r="A128" s="112" t="s">
        <v>135</v>
      </c>
      <c r="B128" s="113"/>
      <c r="C128" s="43">
        <v>0</v>
      </c>
      <c r="D128" s="19" t="e">
        <f ca="1">((100/H118)*C128)/100</f>
        <v>#REF!</v>
      </c>
      <c r="E128" s="164"/>
      <c r="F128" s="165"/>
      <c r="G128" s="164"/>
      <c r="H128" s="192"/>
      <c r="I128" s="13" t="s">
        <v>142</v>
      </c>
      <c r="J128" s="30">
        <f>(IF(B118&gt;4,(H118/(B118+2)+J127),0))</f>
        <v>0</v>
      </c>
    </row>
    <row r="129" spans="1:22" ht="15.75" hidden="1" customHeight="1" x14ac:dyDescent="0.35">
      <c r="A129" s="112" t="s">
        <v>130</v>
      </c>
      <c r="B129" s="113" t="s">
        <v>130</v>
      </c>
      <c r="C129" s="43">
        <v>0</v>
      </c>
      <c r="D129" s="19" t="e">
        <f ca="1">((100/(H118))*C129)/100</f>
        <v>#REF!</v>
      </c>
      <c r="E129" s="164"/>
      <c r="F129" s="165"/>
      <c r="G129" s="164"/>
      <c r="H129" s="192"/>
      <c r="I129" s="13" t="s">
        <v>144</v>
      </c>
      <c r="J129" s="30" t="e">
        <f ca="1">(IF(B118=1,(H118/(B118+3)+J124),IF(B118=0,(H118/4+J124),IF(B118&gt;1,0))))</f>
        <v>#REF!</v>
      </c>
    </row>
    <row r="130" spans="1:22" ht="16" hidden="1" thickBot="1" x14ac:dyDescent="0.4">
      <c r="A130" s="120" t="s">
        <v>131</v>
      </c>
      <c r="B130" s="121"/>
      <c r="C130" s="44">
        <v>0</v>
      </c>
      <c r="D130" s="20" t="e">
        <f ca="1">((100/(H118))*C130)/100</f>
        <v>#REF!</v>
      </c>
      <c r="E130" s="166"/>
      <c r="F130" s="167"/>
      <c r="G130" s="166"/>
      <c r="H130" s="193"/>
      <c r="I130" s="15" t="s">
        <v>102</v>
      </c>
      <c r="J130" s="32" t="e">
        <f ca="1">(IF(B118&gt;1.5,(H118/(B118+2)+J124+MAX(0,J125-J124)+MAX(0,J126-J125)+MAX(0,J127-J126)+MAX(0,J128-J127)+MAX(0,J129-J128)),IF(B118=1,(H118/(B118+3)+J129),IF(B118=0,H118/4+J129))))</f>
        <v>#REF!</v>
      </c>
    </row>
    <row r="131" spans="1:22" x14ac:dyDescent="0.35">
      <c r="A131" s="169" t="s">
        <v>154</v>
      </c>
      <c r="B131" s="169"/>
      <c r="C131" s="169"/>
      <c r="D131" s="169"/>
      <c r="E131" s="169"/>
      <c r="F131" s="168" t="s">
        <v>158</v>
      </c>
      <c r="G131" s="168"/>
      <c r="H131" s="168"/>
      <c r="R131" t="s">
        <v>250</v>
      </c>
      <c r="S131" t="s">
        <v>170</v>
      </c>
      <c r="T131" t="s">
        <v>176</v>
      </c>
      <c r="U131" t="s">
        <v>191</v>
      </c>
      <c r="V131" t="s">
        <v>186</v>
      </c>
    </row>
    <row r="132" spans="1:22" x14ac:dyDescent="0.35">
      <c r="A132" s="96" t="s">
        <v>156</v>
      </c>
      <c r="B132" s="96"/>
      <c r="C132" s="96"/>
      <c r="D132" s="96"/>
      <c r="E132" s="96"/>
      <c r="F132" s="93">
        <v>5000</v>
      </c>
      <c r="G132" s="93"/>
      <c r="H132" s="93"/>
      <c r="R132"/>
      <c r="S132">
        <v>800000</v>
      </c>
      <c r="T132">
        <v>300000</v>
      </c>
      <c r="U132">
        <v>100000</v>
      </c>
      <c r="V132">
        <v>100000</v>
      </c>
    </row>
    <row r="133" spans="1:22" x14ac:dyDescent="0.35">
      <c r="A133" s="96" t="s">
        <v>155</v>
      </c>
      <c r="B133" s="96"/>
      <c r="C133" s="96"/>
      <c r="D133" s="96"/>
      <c r="E133" s="96"/>
      <c r="F133" s="93">
        <v>8500</v>
      </c>
      <c r="G133" s="93"/>
      <c r="H133" s="93"/>
      <c r="R133"/>
      <c r="S133">
        <v>900000</v>
      </c>
      <c r="T133">
        <v>350000</v>
      </c>
      <c r="U133">
        <v>150000</v>
      </c>
      <c r="V133">
        <v>150000</v>
      </c>
    </row>
    <row r="134" spans="1:22" hidden="1" x14ac:dyDescent="0.35">
      <c r="A134" s="96" t="s">
        <v>157</v>
      </c>
      <c r="B134" s="96"/>
      <c r="C134" s="96"/>
      <c r="D134" s="96"/>
      <c r="E134" s="96"/>
      <c r="F134" s="93"/>
      <c r="G134" s="93"/>
      <c r="H134" s="93"/>
      <c r="R134"/>
      <c r="S134">
        <v>1000000</v>
      </c>
      <c r="T134">
        <v>400000</v>
      </c>
      <c r="U134">
        <v>200000</v>
      </c>
      <c r="V134">
        <v>200000</v>
      </c>
    </row>
    <row r="135" spans="1:22" s="33" customFormat="1" hidden="1" x14ac:dyDescent="0.35">
      <c r="A135" s="96" t="s">
        <v>173</v>
      </c>
      <c r="B135" s="96"/>
      <c r="C135" s="96"/>
      <c r="D135" s="96"/>
      <c r="E135" s="96"/>
      <c r="F135" s="93"/>
      <c r="G135" s="93"/>
      <c r="H135" s="93"/>
      <c r="R135"/>
      <c r="S135">
        <v>1100000</v>
      </c>
      <c r="T135">
        <v>500000</v>
      </c>
      <c r="U135">
        <v>250000</v>
      </c>
      <c r="V135" s="23">
        <v>250000</v>
      </c>
    </row>
    <row r="136" spans="1:22" s="33" customFormat="1" x14ac:dyDescent="0.35">
      <c r="A136" s="96" t="s">
        <v>92</v>
      </c>
      <c r="B136" s="96"/>
      <c r="C136" s="96"/>
      <c r="D136" s="96"/>
      <c r="E136" s="96"/>
      <c r="F136" s="93">
        <v>175000</v>
      </c>
      <c r="G136" s="93"/>
      <c r="H136" s="93"/>
      <c r="R136"/>
      <c r="S136">
        <v>1200000</v>
      </c>
      <c r="T136">
        <v>600000</v>
      </c>
      <c r="U136">
        <v>300000</v>
      </c>
      <c r="V136">
        <v>300000</v>
      </c>
    </row>
    <row r="137" spans="1:22" s="33" customFormat="1" x14ac:dyDescent="0.35">
      <c r="A137" s="96" t="s">
        <v>93</v>
      </c>
      <c r="B137" s="96"/>
      <c r="C137" s="96"/>
      <c r="D137" s="96"/>
      <c r="E137" s="96"/>
      <c r="F137" s="93">
        <v>100000</v>
      </c>
      <c r="G137" s="93"/>
      <c r="H137" s="93"/>
      <c r="R137"/>
      <c r="S137">
        <v>1300000</v>
      </c>
      <c r="T137">
        <v>700000</v>
      </c>
      <c r="U137">
        <v>350000</v>
      </c>
      <c r="V137" s="23">
        <v>400000</v>
      </c>
    </row>
    <row r="138" spans="1:22" s="33" customFormat="1" hidden="1" x14ac:dyDescent="0.35">
      <c r="A138" s="96" t="s">
        <v>94</v>
      </c>
      <c r="B138" s="96"/>
      <c r="C138" s="96"/>
      <c r="D138" s="96"/>
      <c r="E138" s="96"/>
      <c r="F138" s="93"/>
      <c r="G138" s="93"/>
      <c r="H138" s="93"/>
      <c r="R138"/>
      <c r="S138">
        <v>1400000</v>
      </c>
      <c r="T138">
        <v>800000</v>
      </c>
      <c r="U138">
        <v>400000</v>
      </c>
      <c r="V138"/>
    </row>
    <row r="139" spans="1:22" s="33" customFormat="1" hidden="1" x14ac:dyDescent="0.35">
      <c r="A139" s="96" t="s">
        <v>95</v>
      </c>
      <c r="B139" s="96"/>
      <c r="C139" s="96"/>
      <c r="D139" s="96"/>
      <c r="E139" s="96"/>
      <c r="F139" s="93"/>
      <c r="G139" s="93"/>
      <c r="H139" s="93"/>
      <c r="R139"/>
      <c r="S139">
        <v>1500000</v>
      </c>
      <c r="T139">
        <v>900000</v>
      </c>
      <c r="U139">
        <v>500000</v>
      </c>
      <c r="V139" s="23"/>
    </row>
    <row r="140" spans="1:22" s="33" customFormat="1" x14ac:dyDescent="0.35">
      <c r="A140" s="96" t="s">
        <v>96</v>
      </c>
      <c r="B140" s="96"/>
      <c r="C140" s="96"/>
      <c r="D140" s="96"/>
      <c r="E140" s="96"/>
      <c r="F140" s="93">
        <v>25000</v>
      </c>
      <c r="G140" s="93"/>
      <c r="H140" s="93"/>
      <c r="R140"/>
      <c r="S140">
        <v>1600000</v>
      </c>
      <c r="T140">
        <v>1000000</v>
      </c>
      <c r="U140">
        <v>600000</v>
      </c>
      <c r="V140"/>
    </row>
    <row r="141" spans="1:22" s="33" customFormat="1" hidden="1" x14ac:dyDescent="0.35">
      <c r="A141" s="96" t="s">
        <v>97</v>
      </c>
      <c r="B141" s="96"/>
      <c r="C141" s="96"/>
      <c r="D141" s="96"/>
      <c r="E141" s="96"/>
      <c r="F141" s="93"/>
      <c r="G141" s="93"/>
      <c r="H141" s="93"/>
      <c r="R141"/>
      <c r="S141">
        <v>1700000</v>
      </c>
      <c r="T141"/>
      <c r="U141"/>
      <c r="V141" s="23"/>
    </row>
    <row r="142" spans="1:22" x14ac:dyDescent="0.35">
      <c r="A142" s="96" t="s">
        <v>49</v>
      </c>
      <c r="B142" s="96"/>
      <c r="C142" s="96"/>
      <c r="D142" s="96"/>
      <c r="E142" s="96"/>
      <c r="F142" s="175">
        <v>300000</v>
      </c>
      <c r="G142" s="175"/>
      <c r="H142" s="175"/>
      <c r="R142"/>
      <c r="S142">
        <v>1800000</v>
      </c>
      <c r="T142"/>
      <c r="U142"/>
    </row>
    <row r="143" spans="1:22" s="34" customFormat="1" x14ac:dyDescent="0.35">
      <c r="A143" s="176" t="s">
        <v>50</v>
      </c>
      <c r="B143" s="176"/>
      <c r="C143" s="176"/>
      <c r="D143" s="176"/>
      <c r="E143" s="176"/>
      <c r="F143" s="93">
        <f>F132*0.8</f>
        <v>4000</v>
      </c>
      <c r="G143" s="93"/>
      <c r="H143" s="93"/>
      <c r="R143" s="21"/>
      <c r="S143" s="21"/>
      <c r="T143"/>
      <c r="U143"/>
      <c r="V143" s="21"/>
    </row>
    <row r="144" spans="1:22" s="35" customFormat="1" ht="15.75" customHeight="1" x14ac:dyDescent="0.35">
      <c r="A144" s="174" t="s">
        <v>72</v>
      </c>
      <c r="B144" s="174"/>
      <c r="C144" s="174"/>
      <c r="D144" s="174"/>
      <c r="E144" s="174"/>
      <c r="F144" s="174"/>
      <c r="G144" s="174"/>
      <c r="H144" s="174"/>
      <c r="R144"/>
      <c r="S144" s="21"/>
      <c r="T144"/>
      <c r="U144"/>
      <c r="V144" s="21"/>
    </row>
    <row r="145" spans="1:22" s="35" customFormat="1" ht="15.75" customHeight="1" x14ac:dyDescent="0.35">
      <c r="A145" s="95" t="s">
        <v>51</v>
      </c>
      <c r="B145" s="95"/>
      <c r="C145" s="103" t="s">
        <v>75</v>
      </c>
      <c r="D145" s="103"/>
      <c r="E145" s="100" t="s">
        <v>52</v>
      </c>
      <c r="F145" s="100"/>
      <c r="G145" s="95" t="s">
        <v>53</v>
      </c>
      <c r="H145" s="95"/>
      <c r="R145"/>
      <c r="S145" s="21"/>
      <c r="T145"/>
      <c r="U145" s="21"/>
      <c r="V145" s="21"/>
    </row>
    <row r="146" spans="1:22" s="35" customFormat="1" x14ac:dyDescent="0.35">
      <c r="A146" s="177" t="s">
        <v>350</v>
      </c>
      <c r="B146" s="177"/>
      <c r="C146" s="212">
        <f>COUNT(F162:F189)</f>
        <v>28</v>
      </c>
      <c r="D146" s="199"/>
      <c r="E146" s="118">
        <f>SUM(F162:F189)</f>
        <v>11144.158646399999</v>
      </c>
      <c r="F146" s="119"/>
      <c r="G146" s="118">
        <f>SUM(H162:H189)</f>
        <v>17273.44590192</v>
      </c>
      <c r="H146" s="119"/>
      <c r="R146"/>
      <c r="S146" s="21"/>
      <c r="T146"/>
      <c r="U146" s="21"/>
      <c r="V146" s="21"/>
    </row>
    <row r="147" spans="1:22" s="35" customFormat="1" x14ac:dyDescent="0.35">
      <c r="A147" s="101" t="s">
        <v>332</v>
      </c>
      <c r="B147" s="102"/>
      <c r="C147" s="221">
        <f>COUNT(F192)</f>
        <v>1</v>
      </c>
      <c r="D147" s="222"/>
      <c r="E147" s="223">
        <f>SUM(F192)</f>
        <v>1270.1519999999998</v>
      </c>
      <c r="F147" s="224"/>
      <c r="G147" s="223">
        <f>SUM(H192)</f>
        <v>1968.7355999999997</v>
      </c>
      <c r="H147" s="224"/>
      <c r="R147"/>
      <c r="S147" s="21"/>
      <c r="T147"/>
      <c r="U147" s="21"/>
      <c r="V147" s="21"/>
    </row>
    <row r="148" spans="1:22" s="35" customFormat="1" x14ac:dyDescent="0.35">
      <c r="A148" s="225" t="s">
        <v>147</v>
      </c>
      <c r="B148" s="226"/>
      <c r="C148" s="227">
        <f>SUM(C146:D147)</f>
        <v>29</v>
      </c>
      <c r="D148" s="228"/>
      <c r="E148" s="227">
        <f t="shared" ref="E148" si="0">SUM(E146:F147)</f>
        <v>12414.310646399999</v>
      </c>
      <c r="F148" s="228"/>
      <c r="G148" s="227">
        <f t="shared" ref="G148" si="1">SUM(G146:H147)</f>
        <v>19242.18150192</v>
      </c>
      <c r="H148" s="228"/>
      <c r="R148"/>
      <c r="S148" s="21"/>
      <c r="T148"/>
      <c r="U148" s="21"/>
      <c r="V148" s="21"/>
    </row>
    <row r="149" spans="1:22" s="35" customFormat="1" x14ac:dyDescent="0.35">
      <c r="A149" s="174" t="s">
        <v>67</v>
      </c>
      <c r="B149" s="174"/>
      <c r="C149" s="174"/>
      <c r="D149" s="174"/>
      <c r="E149" s="174"/>
      <c r="F149" s="174"/>
      <c r="G149" s="174"/>
      <c r="H149" s="174"/>
      <c r="T149"/>
    </row>
    <row r="150" spans="1:22" s="35" customFormat="1" ht="15.75" customHeight="1" x14ac:dyDescent="0.35">
      <c r="A150" s="95" t="s">
        <v>51</v>
      </c>
      <c r="B150" s="95"/>
      <c r="C150" s="103" t="s">
        <v>75</v>
      </c>
      <c r="D150" s="103"/>
      <c r="E150" s="100" t="s">
        <v>52</v>
      </c>
      <c r="F150" s="100"/>
      <c r="G150" s="95" t="s">
        <v>53</v>
      </c>
      <c r="H150" s="95"/>
      <c r="T150"/>
    </row>
    <row r="151" spans="1:22" s="35" customFormat="1" x14ac:dyDescent="0.35">
      <c r="A151" s="177" t="s">
        <v>351</v>
      </c>
      <c r="B151" s="177"/>
      <c r="C151" s="199">
        <f>COUNT(F200:F206,F208)+COUNT(F210:F218)*8+COUNT(F220:F228)</f>
        <v>89</v>
      </c>
      <c r="D151" s="199"/>
      <c r="E151" s="118">
        <f>SUM(F200:F206,F208)+SUM(F210:F218)*8+SUM(F220:F228)</f>
        <v>40996.227869999995</v>
      </c>
      <c r="F151" s="118"/>
      <c r="G151" s="118">
        <f>SUM(H200:H206,H208)+SUM(H210:H218)*8+SUM(H220:H228)</f>
        <v>63440</v>
      </c>
      <c r="H151" s="118"/>
      <c r="I151" s="35">
        <f>8+9*9</f>
        <v>89</v>
      </c>
      <c r="T151"/>
    </row>
    <row r="152" spans="1:22" s="35" customFormat="1" x14ac:dyDescent="0.35">
      <c r="A152" s="177" t="s">
        <v>352</v>
      </c>
      <c r="B152" s="177"/>
      <c r="C152" s="199">
        <f>COUNT(F231:F234,F236:F238)+COUNT(F240:F247)*8+COUNT(F249:F253,F255:F257)</f>
        <v>79</v>
      </c>
      <c r="D152" s="199"/>
      <c r="E152" s="118">
        <f>SUM(F231:F234,F236:F238)+SUM(F240:F247)*8+SUM(F249:F253,F255:F257)</f>
        <v>38005.827210000003</v>
      </c>
      <c r="F152" s="118"/>
      <c r="G152" s="118">
        <f>SUM(H231:H234,H236:H238)+SUM(H240:H247)*8+SUM(H249:H253,H255:H257)</f>
        <v>59790</v>
      </c>
      <c r="H152" s="118"/>
      <c r="I152" s="35">
        <f>7+8*9</f>
        <v>79</v>
      </c>
    </row>
    <row r="153" spans="1:22" s="35" customFormat="1" ht="16" thickBot="1" x14ac:dyDescent="0.4">
      <c r="A153" s="214" t="s">
        <v>147</v>
      </c>
      <c r="B153" s="214"/>
      <c r="C153" s="122">
        <f>SUM(C151:D152)</f>
        <v>168</v>
      </c>
      <c r="D153" s="122"/>
      <c r="E153" s="215">
        <f>SUM(E151:F152)</f>
        <v>79002.055079999991</v>
      </c>
      <c r="F153" s="215"/>
      <c r="G153" s="215">
        <f>SUM(G151:H152)</f>
        <v>123230</v>
      </c>
      <c r="H153" s="215"/>
    </row>
    <row r="154" spans="1:22" s="35" customFormat="1" ht="16" thickBot="1" x14ac:dyDescent="0.4">
      <c r="A154" s="126" t="s">
        <v>164</v>
      </c>
      <c r="B154" s="127"/>
      <c r="C154" s="128">
        <f>C148+C153</f>
        <v>197</v>
      </c>
      <c r="D154" s="129"/>
      <c r="E154" s="220">
        <f>E148+E153</f>
        <v>91416.365726399992</v>
      </c>
      <c r="F154" s="220"/>
      <c r="G154" s="216">
        <f>G148+G153</f>
        <v>142472.18150191999</v>
      </c>
      <c r="H154" s="217"/>
    </row>
    <row r="155" spans="1:22" s="34" customFormat="1" x14ac:dyDescent="0.35">
      <c r="A155" s="168" t="s">
        <v>54</v>
      </c>
      <c r="B155" s="168"/>
      <c r="C155" s="168"/>
      <c r="D155" s="168"/>
      <c r="E155" s="168"/>
      <c r="F155" s="168"/>
      <c r="G155" s="168"/>
      <c r="H155" s="168"/>
      <c r="T155" s="35"/>
    </row>
    <row r="156" spans="1:22" x14ac:dyDescent="0.35">
      <c r="A156" s="94" t="s">
        <v>172</v>
      </c>
      <c r="B156" s="94"/>
      <c r="C156" s="94"/>
      <c r="D156" s="94"/>
      <c r="E156" s="94"/>
      <c r="F156" s="94"/>
      <c r="G156" s="94"/>
      <c r="H156" s="94"/>
      <c r="T156" s="35"/>
    </row>
    <row r="157" spans="1:22" ht="47.25" customHeight="1" x14ac:dyDescent="0.35">
      <c r="A157" s="87" t="s">
        <v>117</v>
      </c>
      <c r="B157" s="87" t="s">
        <v>174</v>
      </c>
      <c r="C157" s="87" t="s">
        <v>55</v>
      </c>
      <c r="D157" s="87" t="s">
        <v>229</v>
      </c>
      <c r="E157" s="89" t="s">
        <v>153</v>
      </c>
      <c r="F157" s="87" t="s">
        <v>56</v>
      </c>
      <c r="G157" s="89" t="s">
        <v>57</v>
      </c>
      <c r="H157" s="60" t="s">
        <v>146</v>
      </c>
      <c r="T157" s="35"/>
    </row>
    <row r="158" spans="1:22" s="37" customFormat="1" x14ac:dyDescent="0.35">
      <c r="A158" s="88"/>
      <c r="B158" s="88"/>
      <c r="C158" s="88"/>
      <c r="D158" s="88"/>
      <c r="E158" s="90"/>
      <c r="F158" s="88"/>
      <c r="G158" s="90"/>
      <c r="H158" s="73">
        <v>0.55000000000000004</v>
      </c>
      <c r="I158" s="66">
        <v>10.763999999999999</v>
      </c>
      <c r="T158" s="34"/>
    </row>
    <row r="159" spans="1:22" s="67" customFormat="1" x14ac:dyDescent="0.35">
      <c r="A159" s="80" t="s">
        <v>327</v>
      </c>
      <c r="B159" s="81"/>
      <c r="C159" s="81"/>
      <c r="D159" s="81"/>
      <c r="E159" s="81"/>
      <c r="F159" s="81"/>
      <c r="G159" s="81"/>
      <c r="H159" s="82"/>
      <c r="J159" s="36"/>
      <c r="T159" s="21"/>
    </row>
    <row r="160" spans="1:22" s="67" customFormat="1" x14ac:dyDescent="0.35">
      <c r="A160" s="80" t="s">
        <v>329</v>
      </c>
      <c r="B160" s="81"/>
      <c r="C160" s="81"/>
      <c r="D160" s="81"/>
      <c r="E160" s="81"/>
      <c r="F160" s="81"/>
      <c r="G160" s="81"/>
      <c r="H160" s="82"/>
      <c r="J160" s="36"/>
      <c r="T160" s="21"/>
    </row>
    <row r="161" spans="1:20" s="37" customFormat="1" x14ac:dyDescent="0.35">
      <c r="A161" s="80" t="s">
        <v>330</v>
      </c>
      <c r="B161" s="81"/>
      <c r="C161" s="81"/>
      <c r="D161" s="81"/>
      <c r="E161" s="81"/>
      <c r="F161" s="81"/>
      <c r="G161" s="81"/>
      <c r="H161" s="82"/>
      <c r="J161" s="36"/>
      <c r="T161" s="21"/>
    </row>
    <row r="162" spans="1:20" s="37" customFormat="1" ht="15.75" customHeight="1" x14ac:dyDescent="0.35">
      <c r="A162" s="83">
        <v>1</v>
      </c>
      <c r="B162" s="84"/>
      <c r="C162" s="42" t="s">
        <v>331</v>
      </c>
      <c r="D162" s="66">
        <f>(18.84)*10.764</f>
        <v>202.79375999999999</v>
      </c>
      <c r="E162" s="66">
        <f>(2.4*2.4)*10.764</f>
        <v>62.000639999999997</v>
      </c>
      <c r="F162" s="42">
        <f>D162+E162</f>
        <v>264.7944</v>
      </c>
      <c r="G162" s="59">
        <v>0</v>
      </c>
      <c r="H162" s="59">
        <f>(D162+E162)*(($H$158)+1)</f>
        <v>410.43132000000003</v>
      </c>
      <c r="I162" s="36">
        <f>7.85*2.4</f>
        <v>18.84</v>
      </c>
      <c r="J162" s="37">
        <f>2.4*2.4</f>
        <v>5.76</v>
      </c>
      <c r="L162" s="79"/>
      <c r="M162" s="79"/>
      <c r="N162" s="36"/>
      <c r="T162" s="21"/>
    </row>
    <row r="163" spans="1:20" s="37" customFormat="1" ht="15.75" customHeight="1" x14ac:dyDescent="0.35">
      <c r="A163" s="83">
        <f>A162+1</f>
        <v>2</v>
      </c>
      <c r="B163" s="84"/>
      <c r="C163" s="66" t="s">
        <v>331</v>
      </c>
      <c r="D163" s="66">
        <f>(18.84)*10.764</f>
        <v>202.79375999999999</v>
      </c>
      <c r="E163" s="66">
        <f>(2.4*2.4)*10.764</f>
        <v>62.000639999999997</v>
      </c>
      <c r="F163" s="59">
        <f>D163+E163</f>
        <v>264.7944</v>
      </c>
      <c r="G163" s="59">
        <v>0</v>
      </c>
      <c r="H163" s="59">
        <f>(D163+E163)*(($H$158)+1)</f>
        <v>410.43132000000003</v>
      </c>
      <c r="I163" s="36"/>
      <c r="L163" s="79"/>
      <c r="M163" s="79"/>
      <c r="N163" s="36"/>
    </row>
    <row r="164" spans="1:20" s="37" customFormat="1" ht="15.75" customHeight="1" x14ac:dyDescent="0.35">
      <c r="A164" s="83">
        <f>A163+1</f>
        <v>3</v>
      </c>
      <c r="B164" s="84"/>
      <c r="C164" s="66" t="s">
        <v>331</v>
      </c>
      <c r="D164" s="66">
        <f>(21.2)*10.764</f>
        <v>228.19679999999997</v>
      </c>
      <c r="E164" s="66">
        <f>(2.62*2.7)*10.764</f>
        <v>76.144536000000002</v>
      </c>
      <c r="F164" s="59">
        <f>D164+E164</f>
        <v>304.34133599999996</v>
      </c>
      <c r="G164" s="59">
        <v>0</v>
      </c>
      <c r="H164" s="59">
        <f>(D164+E164)*(($H$158)+1)</f>
        <v>471.72907079999993</v>
      </c>
      <c r="I164" s="36"/>
      <c r="L164" s="79"/>
      <c r="M164" s="79"/>
      <c r="N164" s="36"/>
    </row>
    <row r="165" spans="1:20" s="37" customFormat="1" ht="15.75" customHeight="1" x14ac:dyDescent="0.35">
      <c r="A165" s="83">
        <f>A164+1</f>
        <v>4</v>
      </c>
      <c r="B165" s="84"/>
      <c r="C165" s="66" t="s">
        <v>331</v>
      </c>
      <c r="D165" s="66">
        <f>(21.2)*10.764</f>
        <v>228.19679999999997</v>
      </c>
      <c r="E165" s="66">
        <f>(2.62*2.7)*10.764</f>
        <v>76.144536000000002</v>
      </c>
      <c r="F165" s="59">
        <f>D165+E165</f>
        <v>304.34133599999996</v>
      </c>
      <c r="G165" s="59">
        <v>0</v>
      </c>
      <c r="H165" s="59">
        <f>(D165+E165)*(($H$158)+1)</f>
        <v>471.72907079999993</v>
      </c>
      <c r="I165" s="36"/>
      <c r="L165" s="79"/>
      <c r="M165" s="79"/>
      <c r="N165" s="36"/>
    </row>
    <row r="166" spans="1:20" s="67" customFormat="1" ht="15.75" customHeight="1" x14ac:dyDescent="0.35">
      <c r="A166" s="83">
        <f t="shared" ref="A166:A189" si="2">A165+1</f>
        <v>5</v>
      </c>
      <c r="B166" s="84"/>
      <c r="C166" s="66" t="s">
        <v>331</v>
      </c>
      <c r="D166" s="66">
        <f>(18.84)*10.764</f>
        <v>202.79375999999999</v>
      </c>
      <c r="E166" s="66">
        <f>(2.4*2.4)*10.764</f>
        <v>62.000639999999997</v>
      </c>
      <c r="F166" s="66">
        <f t="shared" ref="F166:F189" si="3">D166+E166</f>
        <v>264.7944</v>
      </c>
      <c r="G166" s="66">
        <v>0</v>
      </c>
      <c r="H166" s="66">
        <f t="shared" ref="H166:H189" si="4">(D166+E166)*(($H$158)+1)</f>
        <v>410.43132000000003</v>
      </c>
      <c r="I166" s="36"/>
      <c r="L166" s="79"/>
      <c r="M166" s="79"/>
      <c r="N166" s="36"/>
    </row>
    <row r="167" spans="1:20" s="67" customFormat="1" ht="15.75" customHeight="1" x14ac:dyDescent="0.35">
      <c r="A167" s="83">
        <f t="shared" si="2"/>
        <v>6</v>
      </c>
      <c r="B167" s="84"/>
      <c r="C167" s="66" t="s">
        <v>331</v>
      </c>
      <c r="D167" s="66">
        <f>(18.84)*10.764</f>
        <v>202.79375999999999</v>
      </c>
      <c r="E167" s="66">
        <f>(2.4*2.4)*10.764</f>
        <v>62.000639999999997</v>
      </c>
      <c r="F167" s="66">
        <f t="shared" si="3"/>
        <v>264.7944</v>
      </c>
      <c r="G167" s="66">
        <v>0</v>
      </c>
      <c r="H167" s="66">
        <f t="shared" si="4"/>
        <v>410.43132000000003</v>
      </c>
      <c r="I167" s="36"/>
      <c r="L167" s="79"/>
      <c r="M167" s="79"/>
      <c r="N167" s="36"/>
    </row>
    <row r="168" spans="1:20" s="67" customFormat="1" ht="15.75" customHeight="1" x14ac:dyDescent="0.35">
      <c r="A168" s="83">
        <f t="shared" si="2"/>
        <v>7</v>
      </c>
      <c r="B168" s="84"/>
      <c r="C168" s="66" t="s">
        <v>331</v>
      </c>
      <c r="D168" s="66">
        <f>(18.84)*10.764</f>
        <v>202.79375999999999</v>
      </c>
      <c r="E168" s="66">
        <f>(2.4*2.4)*10.764</f>
        <v>62.000639999999997</v>
      </c>
      <c r="F168" s="66">
        <f t="shared" si="3"/>
        <v>264.7944</v>
      </c>
      <c r="G168" s="66">
        <v>0</v>
      </c>
      <c r="H168" s="66">
        <f t="shared" si="4"/>
        <v>410.43132000000003</v>
      </c>
      <c r="I168" s="36"/>
      <c r="L168" s="79"/>
      <c r="M168" s="79"/>
      <c r="N168" s="36"/>
    </row>
    <row r="169" spans="1:20" s="67" customFormat="1" ht="15.75" customHeight="1" x14ac:dyDescent="0.35">
      <c r="A169" s="83">
        <f t="shared" si="2"/>
        <v>8</v>
      </c>
      <c r="B169" s="84"/>
      <c r="C169" s="66" t="s">
        <v>331</v>
      </c>
      <c r="D169" s="66">
        <f>(18.84)*10.764</f>
        <v>202.79375999999999</v>
      </c>
      <c r="E169" s="66">
        <f>(2.4*2.4)*10.764</f>
        <v>62.000639999999997</v>
      </c>
      <c r="F169" s="66">
        <f t="shared" si="3"/>
        <v>264.7944</v>
      </c>
      <c r="G169" s="66">
        <v>0</v>
      </c>
      <c r="H169" s="66">
        <f t="shared" si="4"/>
        <v>410.43132000000003</v>
      </c>
      <c r="I169" s="36"/>
      <c r="L169" s="79"/>
      <c r="M169" s="79"/>
      <c r="N169" s="36"/>
    </row>
    <row r="170" spans="1:20" s="67" customFormat="1" ht="15.75" customHeight="1" x14ac:dyDescent="0.35">
      <c r="A170" s="83">
        <f t="shared" si="2"/>
        <v>9</v>
      </c>
      <c r="B170" s="84"/>
      <c r="C170" s="66" t="s">
        <v>331</v>
      </c>
      <c r="D170" s="66">
        <f>(21.2)*10.764</f>
        <v>228.19679999999997</v>
      </c>
      <c r="E170" s="66">
        <f>(2.62*2.7)*10.764</f>
        <v>76.144536000000002</v>
      </c>
      <c r="F170" s="66">
        <f t="shared" si="3"/>
        <v>304.34133599999996</v>
      </c>
      <c r="G170" s="66">
        <v>0</v>
      </c>
      <c r="H170" s="66">
        <f t="shared" si="4"/>
        <v>471.72907079999993</v>
      </c>
      <c r="I170" s="36"/>
      <c r="L170" s="79"/>
      <c r="M170" s="79"/>
      <c r="N170" s="36"/>
    </row>
    <row r="171" spans="1:20" s="67" customFormat="1" ht="15.75" customHeight="1" x14ac:dyDescent="0.35">
      <c r="A171" s="83">
        <f t="shared" si="2"/>
        <v>10</v>
      </c>
      <c r="B171" s="84"/>
      <c r="C171" s="66" t="s">
        <v>331</v>
      </c>
      <c r="D171" s="66">
        <f>(16.74)*10.764</f>
        <v>180.18935999999997</v>
      </c>
      <c r="E171" s="66">
        <f>(2.28*2.7)*10.764</f>
        <v>66.263183999999995</v>
      </c>
      <c r="F171" s="66">
        <f t="shared" si="3"/>
        <v>246.45254399999996</v>
      </c>
      <c r="G171" s="66">
        <v>0</v>
      </c>
      <c r="H171" s="66">
        <f t="shared" si="4"/>
        <v>382.00144319999993</v>
      </c>
      <c r="I171" s="36"/>
      <c r="L171" s="79"/>
      <c r="M171" s="79"/>
      <c r="N171" s="36"/>
    </row>
    <row r="172" spans="1:20" s="67" customFormat="1" ht="15.75" customHeight="1" x14ac:dyDescent="0.35">
      <c r="A172" s="83">
        <f t="shared" si="2"/>
        <v>11</v>
      </c>
      <c r="B172" s="84"/>
      <c r="C172" s="66" t="s">
        <v>331</v>
      </c>
      <c r="D172" s="66">
        <f>(16.21)*10.764</f>
        <v>174.48444000000001</v>
      </c>
      <c r="E172" s="66">
        <f>(2.28*2.62)*10.764</f>
        <v>64.299830399999991</v>
      </c>
      <c r="F172" s="66">
        <f t="shared" si="3"/>
        <v>238.7842704</v>
      </c>
      <c r="G172" s="66">
        <v>0</v>
      </c>
      <c r="H172" s="66">
        <f t="shared" si="4"/>
        <v>370.11561912000002</v>
      </c>
      <c r="I172" s="36"/>
      <c r="L172" s="79"/>
      <c r="M172" s="79"/>
      <c r="N172" s="36"/>
    </row>
    <row r="173" spans="1:20" s="67" customFormat="1" ht="15.75" customHeight="1" x14ac:dyDescent="0.35">
      <c r="A173" s="83">
        <f t="shared" si="2"/>
        <v>12</v>
      </c>
      <c r="B173" s="84"/>
      <c r="C173" s="66" t="s">
        <v>331</v>
      </c>
      <c r="D173" s="66">
        <f>(16.21)*10.764</f>
        <v>174.48444000000001</v>
      </c>
      <c r="E173" s="66">
        <f>(2.28*2.62)*10.764</f>
        <v>64.299830399999991</v>
      </c>
      <c r="F173" s="66">
        <f t="shared" si="3"/>
        <v>238.7842704</v>
      </c>
      <c r="G173" s="66">
        <v>0</v>
      </c>
      <c r="H173" s="66">
        <f t="shared" si="4"/>
        <v>370.11561912000002</v>
      </c>
      <c r="I173" s="36"/>
      <c r="L173" s="79"/>
      <c r="M173" s="79"/>
      <c r="N173" s="36"/>
    </row>
    <row r="174" spans="1:20" s="67" customFormat="1" ht="15.75" customHeight="1" x14ac:dyDescent="0.35">
      <c r="A174" s="83">
        <f t="shared" si="2"/>
        <v>13</v>
      </c>
      <c r="B174" s="84"/>
      <c r="C174" s="66" t="s">
        <v>331</v>
      </c>
      <c r="D174" s="66">
        <f>(36.9)*10.764</f>
        <v>397.19159999999994</v>
      </c>
      <c r="E174" s="66">
        <f>(3.7*3.85)*10.764</f>
        <v>153.33318</v>
      </c>
      <c r="F174" s="66">
        <f t="shared" si="3"/>
        <v>550.52477999999996</v>
      </c>
      <c r="G174" s="66">
        <v>0</v>
      </c>
      <c r="H174" s="66">
        <f t="shared" si="4"/>
        <v>853.31340899999998</v>
      </c>
      <c r="I174" s="78">
        <f>3.7*3.85</f>
        <v>14.245000000000001</v>
      </c>
      <c r="L174" s="79"/>
      <c r="M174" s="79"/>
      <c r="N174" s="36"/>
    </row>
    <row r="175" spans="1:20" s="67" customFormat="1" ht="15.75" customHeight="1" x14ac:dyDescent="0.35">
      <c r="A175" s="83">
        <f t="shared" si="2"/>
        <v>14</v>
      </c>
      <c r="B175" s="84"/>
      <c r="C175" s="66" t="s">
        <v>331</v>
      </c>
      <c r="D175" s="66">
        <f>(35.8)*10.764</f>
        <v>385.35119999999995</v>
      </c>
      <c r="E175" s="66">
        <f>(3.2*5.75)*10.764</f>
        <v>198.05760000000001</v>
      </c>
      <c r="F175" s="66">
        <f t="shared" si="3"/>
        <v>583.40879999999993</v>
      </c>
      <c r="G175" s="66">
        <v>0</v>
      </c>
      <c r="H175" s="66">
        <f t="shared" si="4"/>
        <v>904.28363999999988</v>
      </c>
      <c r="I175" s="36">
        <f>3.2*11.75</f>
        <v>37.6</v>
      </c>
      <c r="L175" s="79"/>
      <c r="M175" s="79"/>
      <c r="N175" s="36"/>
    </row>
    <row r="176" spans="1:20" s="67" customFormat="1" ht="15.75" customHeight="1" x14ac:dyDescent="0.35">
      <c r="A176" s="83">
        <f t="shared" si="2"/>
        <v>15</v>
      </c>
      <c r="B176" s="84"/>
      <c r="C176" s="66" t="s">
        <v>331</v>
      </c>
      <c r="D176" s="66">
        <f>(39.29)*10.764</f>
        <v>422.91755999999998</v>
      </c>
      <c r="E176" s="66">
        <f>(3.2*5.55)*10.764</f>
        <v>191.16864000000001</v>
      </c>
      <c r="F176" s="66">
        <f t="shared" si="3"/>
        <v>614.08619999999996</v>
      </c>
      <c r="G176" s="66">
        <v>0</v>
      </c>
      <c r="H176" s="66">
        <f t="shared" si="4"/>
        <v>951.83361000000002</v>
      </c>
      <c r="I176" s="36"/>
      <c r="L176" s="79"/>
      <c r="M176" s="79"/>
      <c r="N176" s="36"/>
    </row>
    <row r="177" spans="1:20" s="67" customFormat="1" ht="15.75" customHeight="1" x14ac:dyDescent="0.35">
      <c r="A177" s="83">
        <f t="shared" si="2"/>
        <v>16</v>
      </c>
      <c r="B177" s="84"/>
      <c r="C177" s="66" t="s">
        <v>331</v>
      </c>
      <c r="D177" s="66">
        <f>(37.69)*10.764</f>
        <v>405.69515999999993</v>
      </c>
      <c r="E177" s="66">
        <f>(3.66*5.35)*10.764</f>
        <v>210.76988399999999</v>
      </c>
      <c r="F177" s="66">
        <f t="shared" si="3"/>
        <v>616.46504399999992</v>
      </c>
      <c r="G177" s="66">
        <v>0</v>
      </c>
      <c r="H177" s="66">
        <f t="shared" si="4"/>
        <v>955.52081819999989</v>
      </c>
      <c r="I177" s="36"/>
      <c r="L177" s="79"/>
      <c r="M177" s="79"/>
      <c r="N177" s="36"/>
    </row>
    <row r="178" spans="1:20" s="67" customFormat="1" ht="15.75" customHeight="1" x14ac:dyDescent="0.35">
      <c r="A178" s="83">
        <f t="shared" si="2"/>
        <v>17</v>
      </c>
      <c r="B178" s="84"/>
      <c r="C178" s="66" t="s">
        <v>331</v>
      </c>
      <c r="D178" s="66">
        <f>(37.23)*10.764</f>
        <v>400.74371999999994</v>
      </c>
      <c r="E178" s="66">
        <f>(3.66*5.15)*10.764</f>
        <v>202.89063600000003</v>
      </c>
      <c r="F178" s="66">
        <f t="shared" si="3"/>
        <v>603.63435600000003</v>
      </c>
      <c r="G178" s="66">
        <v>0</v>
      </c>
      <c r="H178" s="66">
        <f t="shared" si="4"/>
        <v>935.63325180000004</v>
      </c>
      <c r="I178" s="36"/>
      <c r="L178" s="79"/>
      <c r="M178" s="79"/>
      <c r="N178" s="36"/>
    </row>
    <row r="179" spans="1:20" s="67" customFormat="1" ht="15.75" customHeight="1" x14ac:dyDescent="0.35">
      <c r="A179" s="83">
        <f t="shared" si="2"/>
        <v>18</v>
      </c>
      <c r="B179" s="84"/>
      <c r="C179" s="66" t="s">
        <v>331</v>
      </c>
      <c r="D179" s="66">
        <f>(36.05)*10.764</f>
        <v>388.04219999999992</v>
      </c>
      <c r="E179" s="66">
        <f>(3.66*5.17)*10.764</f>
        <v>203.67856079999999</v>
      </c>
      <c r="F179" s="66">
        <f t="shared" si="3"/>
        <v>591.72076079999988</v>
      </c>
      <c r="G179" s="66">
        <v>0</v>
      </c>
      <c r="H179" s="66">
        <f t="shared" si="4"/>
        <v>917.16717923999988</v>
      </c>
      <c r="I179" s="36"/>
      <c r="L179" s="79"/>
      <c r="M179" s="79"/>
      <c r="N179" s="36"/>
    </row>
    <row r="180" spans="1:20" s="67" customFormat="1" ht="15.75" customHeight="1" x14ac:dyDescent="0.35">
      <c r="A180" s="83">
        <f t="shared" si="2"/>
        <v>19</v>
      </c>
      <c r="B180" s="84"/>
      <c r="C180" s="66" t="s">
        <v>331</v>
      </c>
      <c r="D180" s="66">
        <f>(34.42)*10.764</f>
        <v>370.49687999999998</v>
      </c>
      <c r="E180" s="66">
        <f>(3.66*4.7)*10.764</f>
        <v>185.162328</v>
      </c>
      <c r="F180" s="66">
        <f t="shared" si="3"/>
        <v>555.65920800000004</v>
      </c>
      <c r="G180" s="66">
        <v>0</v>
      </c>
      <c r="H180" s="66">
        <f t="shared" si="4"/>
        <v>861.27177240000003</v>
      </c>
      <c r="I180" s="36"/>
      <c r="L180" s="79"/>
      <c r="M180" s="79"/>
      <c r="N180" s="36"/>
    </row>
    <row r="181" spans="1:20" s="67" customFormat="1" ht="15.75" customHeight="1" x14ac:dyDescent="0.35">
      <c r="A181" s="83">
        <f t="shared" si="2"/>
        <v>20</v>
      </c>
      <c r="B181" s="84"/>
      <c r="C181" s="66" t="s">
        <v>331</v>
      </c>
      <c r="D181" s="66">
        <f>(32.78)*10.764</f>
        <v>352.84391999999997</v>
      </c>
      <c r="E181" s="66">
        <f>(3.66*4.47)*10.764</f>
        <v>176.10119279999998</v>
      </c>
      <c r="F181" s="66">
        <f t="shared" si="3"/>
        <v>528.94511279999995</v>
      </c>
      <c r="G181" s="66">
        <v>0</v>
      </c>
      <c r="H181" s="66">
        <f t="shared" si="4"/>
        <v>819.86492483999996</v>
      </c>
      <c r="I181" s="36"/>
      <c r="L181" s="79"/>
      <c r="M181" s="79"/>
      <c r="N181" s="36"/>
    </row>
    <row r="182" spans="1:20" s="67" customFormat="1" ht="15.75" customHeight="1" x14ac:dyDescent="0.35">
      <c r="A182" s="83">
        <f t="shared" si="2"/>
        <v>21</v>
      </c>
      <c r="B182" s="84"/>
      <c r="C182" s="66" t="s">
        <v>331</v>
      </c>
      <c r="D182" s="66">
        <f>(31.15)*10.764</f>
        <v>335.29859999999996</v>
      </c>
      <c r="E182" s="66">
        <f>(3.66*4.25)*10.764</f>
        <v>167.43401999999998</v>
      </c>
      <c r="F182" s="66">
        <f t="shared" si="3"/>
        <v>502.73261999999994</v>
      </c>
      <c r="G182" s="66">
        <v>0</v>
      </c>
      <c r="H182" s="66">
        <f t="shared" si="4"/>
        <v>779.23556099999996</v>
      </c>
      <c r="I182" s="36"/>
      <c r="L182" s="79"/>
      <c r="M182" s="79"/>
      <c r="N182" s="36"/>
    </row>
    <row r="183" spans="1:20" s="67" customFormat="1" ht="15.75" customHeight="1" x14ac:dyDescent="0.35">
      <c r="A183" s="83">
        <f t="shared" si="2"/>
        <v>22</v>
      </c>
      <c r="B183" s="84"/>
      <c r="C183" s="66" t="s">
        <v>331</v>
      </c>
      <c r="D183" s="66">
        <f>(29.52)*10.764</f>
        <v>317.75327999999996</v>
      </c>
      <c r="E183" s="66">
        <f>(3.66*4)*10.764</f>
        <v>157.58496</v>
      </c>
      <c r="F183" s="66">
        <f t="shared" si="3"/>
        <v>475.33823999999993</v>
      </c>
      <c r="G183" s="66">
        <v>0</v>
      </c>
      <c r="H183" s="66">
        <f t="shared" si="4"/>
        <v>736.77427199999988</v>
      </c>
      <c r="I183" s="36"/>
      <c r="L183" s="79"/>
      <c r="M183" s="79"/>
      <c r="N183" s="36"/>
    </row>
    <row r="184" spans="1:20" s="67" customFormat="1" ht="15.75" customHeight="1" x14ac:dyDescent="0.35">
      <c r="A184" s="83">
        <f t="shared" si="2"/>
        <v>23</v>
      </c>
      <c r="B184" s="84"/>
      <c r="C184" s="66" t="s">
        <v>331</v>
      </c>
      <c r="D184" s="66">
        <f>(27.69)*10.764</f>
        <v>298.05516</v>
      </c>
      <c r="E184" s="66">
        <f>(3.66*3.75)*10.764</f>
        <v>147.73590000000002</v>
      </c>
      <c r="F184" s="66">
        <f t="shared" si="3"/>
        <v>445.79106000000002</v>
      </c>
      <c r="G184" s="66">
        <v>0</v>
      </c>
      <c r="H184" s="66">
        <f t="shared" si="4"/>
        <v>690.97614300000009</v>
      </c>
      <c r="I184" s="36"/>
      <c r="L184" s="79"/>
      <c r="M184" s="79"/>
      <c r="N184" s="36"/>
    </row>
    <row r="185" spans="1:20" s="67" customFormat="1" ht="15.75" customHeight="1" x14ac:dyDescent="0.35">
      <c r="A185" s="83">
        <f t="shared" si="2"/>
        <v>24</v>
      </c>
      <c r="B185" s="84"/>
      <c r="C185" s="66" t="s">
        <v>331</v>
      </c>
      <c r="D185" s="66">
        <f>(26.25)*10.764</f>
        <v>282.55500000000001</v>
      </c>
      <c r="E185" s="66">
        <f>(3.66*3.55)*10.764</f>
        <v>139.856652</v>
      </c>
      <c r="F185" s="66">
        <f t="shared" si="3"/>
        <v>422.411652</v>
      </c>
      <c r="G185" s="66">
        <v>0</v>
      </c>
      <c r="H185" s="66">
        <f t="shared" si="4"/>
        <v>654.73806060000004</v>
      </c>
      <c r="I185" s="36"/>
      <c r="L185" s="79"/>
      <c r="M185" s="79"/>
      <c r="N185" s="36"/>
    </row>
    <row r="186" spans="1:20" s="67" customFormat="1" ht="15.75" customHeight="1" x14ac:dyDescent="0.35">
      <c r="A186" s="83">
        <f t="shared" si="2"/>
        <v>25</v>
      </c>
      <c r="B186" s="84"/>
      <c r="C186" s="66" t="s">
        <v>331</v>
      </c>
      <c r="D186" s="66">
        <f>(24.63)*10.764</f>
        <v>265.11731999999995</v>
      </c>
      <c r="E186" s="66">
        <f>(3.66*3.35)*10.764</f>
        <v>131.97740400000001</v>
      </c>
      <c r="F186" s="66">
        <f t="shared" si="3"/>
        <v>397.09472399999993</v>
      </c>
      <c r="G186" s="66">
        <v>0</v>
      </c>
      <c r="H186" s="66">
        <f t="shared" si="4"/>
        <v>615.49682219999988</v>
      </c>
      <c r="I186" s="36"/>
      <c r="L186" s="79"/>
      <c r="M186" s="79"/>
      <c r="N186" s="36"/>
    </row>
    <row r="187" spans="1:20" s="67" customFormat="1" ht="15.75" customHeight="1" x14ac:dyDescent="0.35">
      <c r="A187" s="83">
        <f t="shared" si="2"/>
        <v>26</v>
      </c>
      <c r="B187" s="84"/>
      <c r="C187" s="66" t="s">
        <v>331</v>
      </c>
      <c r="D187" s="66">
        <f>(22.96)*10.764</f>
        <v>247.14143999999999</v>
      </c>
      <c r="E187" s="66">
        <f>(3.66*3.1)*10.764</f>
        <v>122.128344</v>
      </c>
      <c r="F187" s="66">
        <f t="shared" si="3"/>
        <v>369.26978399999996</v>
      </c>
      <c r="G187" s="66">
        <v>0</v>
      </c>
      <c r="H187" s="66">
        <f t="shared" si="4"/>
        <v>572.36816519999991</v>
      </c>
      <c r="I187" s="36"/>
      <c r="L187" s="79"/>
      <c r="M187" s="79"/>
      <c r="N187" s="36"/>
    </row>
    <row r="188" spans="1:20" s="67" customFormat="1" ht="15.75" customHeight="1" x14ac:dyDescent="0.35">
      <c r="A188" s="83">
        <f t="shared" si="2"/>
        <v>27</v>
      </c>
      <c r="B188" s="84"/>
      <c r="C188" s="66" t="s">
        <v>331</v>
      </c>
      <c r="D188" s="66">
        <f>(21.35)*10.764</f>
        <v>229.81139999999999</v>
      </c>
      <c r="E188" s="66">
        <f>(3.66*2.9)*10.764</f>
        <v>114.24909599999999</v>
      </c>
      <c r="F188" s="66">
        <f t="shared" si="3"/>
        <v>344.060496</v>
      </c>
      <c r="G188" s="66">
        <v>0</v>
      </c>
      <c r="H188" s="66">
        <f t="shared" si="4"/>
        <v>533.29376880000007</v>
      </c>
      <c r="I188" s="36"/>
      <c r="L188" s="79"/>
      <c r="M188" s="79"/>
      <c r="N188" s="36"/>
    </row>
    <row r="189" spans="1:20" s="67" customFormat="1" ht="15.75" customHeight="1" x14ac:dyDescent="0.35">
      <c r="A189" s="83">
        <f t="shared" si="2"/>
        <v>28</v>
      </c>
      <c r="B189" s="84"/>
      <c r="C189" s="66" t="s">
        <v>331</v>
      </c>
      <c r="D189" s="66">
        <f>(19.77)*10.764</f>
        <v>212.80427999999998</v>
      </c>
      <c r="E189" s="66">
        <f>(3.66*2.65)*10.764</f>
        <v>104.40003599999999</v>
      </c>
      <c r="F189" s="66">
        <f t="shared" si="3"/>
        <v>317.20431599999995</v>
      </c>
      <c r="G189" s="66">
        <v>0</v>
      </c>
      <c r="H189" s="66">
        <f t="shared" si="4"/>
        <v>491.66668979999992</v>
      </c>
      <c r="I189" s="36"/>
      <c r="L189" s="79"/>
      <c r="M189" s="79"/>
      <c r="N189" s="36"/>
    </row>
    <row r="190" spans="1:20" s="67" customFormat="1" x14ac:dyDescent="0.35">
      <c r="A190" s="80" t="s">
        <v>332</v>
      </c>
      <c r="B190" s="81"/>
      <c r="C190" s="81"/>
      <c r="D190" s="81"/>
      <c r="E190" s="81"/>
      <c r="F190" s="81"/>
      <c r="G190" s="81"/>
      <c r="H190" s="82"/>
      <c r="J190" s="36"/>
      <c r="T190" s="21"/>
    </row>
    <row r="191" spans="1:20" s="67" customFormat="1" x14ac:dyDescent="0.35">
      <c r="A191" s="80" t="s">
        <v>333</v>
      </c>
      <c r="B191" s="81"/>
      <c r="C191" s="81"/>
      <c r="D191" s="81"/>
      <c r="E191" s="81"/>
      <c r="F191" s="81"/>
      <c r="G191" s="81"/>
      <c r="H191" s="82"/>
      <c r="J191" s="36"/>
      <c r="T191" s="21"/>
    </row>
    <row r="192" spans="1:20" s="67" customFormat="1" ht="71.25" customHeight="1" x14ac:dyDescent="0.35">
      <c r="A192" s="83">
        <v>1</v>
      </c>
      <c r="B192" s="84"/>
      <c r="C192" s="66" t="s">
        <v>334</v>
      </c>
      <c r="D192" s="66">
        <f>(59+59)*10.764</f>
        <v>1270.1519999999998</v>
      </c>
      <c r="E192" s="66">
        <v>0</v>
      </c>
      <c r="F192" s="66">
        <f>D192+E192</f>
        <v>1270.1519999999998</v>
      </c>
      <c r="G192" s="66">
        <v>0</v>
      </c>
      <c r="H192" s="66">
        <f>(D192+E192)*(($H$158)+1)</f>
        <v>1968.7355999999997</v>
      </c>
      <c r="I192" s="76">
        <f>13.68*5.05</f>
        <v>69.084000000000003</v>
      </c>
      <c r="J192" s="67">
        <f>1/2*6.14*15+15.71*1.5</f>
        <v>69.614999999999995</v>
      </c>
      <c r="L192" s="79"/>
      <c r="M192" s="79"/>
      <c r="N192" s="36"/>
      <c r="T192" s="21"/>
    </row>
    <row r="193" spans="1:20" s="67" customFormat="1" x14ac:dyDescent="0.35">
      <c r="A193" s="80" t="s">
        <v>335</v>
      </c>
      <c r="B193" s="81"/>
      <c r="C193" s="81"/>
      <c r="D193" s="81"/>
      <c r="E193" s="81"/>
      <c r="F193" s="81"/>
      <c r="G193" s="81"/>
      <c r="H193" s="82"/>
      <c r="J193" s="36"/>
      <c r="T193" s="21"/>
    </row>
    <row r="194" spans="1:20" s="37" customFormat="1" x14ac:dyDescent="0.35">
      <c r="A194" s="83"/>
      <c r="B194" s="86"/>
      <c r="C194" s="86"/>
      <c r="D194" s="86"/>
      <c r="E194" s="86"/>
      <c r="F194" s="86"/>
      <c r="G194" s="86"/>
      <c r="H194" s="84"/>
      <c r="I194" s="36"/>
      <c r="N194" s="36"/>
    </row>
    <row r="195" spans="1:20" ht="47.25" customHeight="1" x14ac:dyDescent="0.35">
      <c r="A195" s="218" t="s">
        <v>118</v>
      </c>
      <c r="B195" s="87" t="s">
        <v>175</v>
      </c>
      <c r="C195" s="87" t="s">
        <v>55</v>
      </c>
      <c r="D195" s="87" t="s">
        <v>229</v>
      </c>
      <c r="E195" s="87" t="s">
        <v>343</v>
      </c>
      <c r="F195" s="87" t="s">
        <v>56</v>
      </c>
      <c r="G195" s="89" t="s">
        <v>57</v>
      </c>
      <c r="H195" s="60" t="s">
        <v>359</v>
      </c>
      <c r="I195" s="36"/>
      <c r="T195" s="37"/>
    </row>
    <row r="196" spans="1:20" s="37" customFormat="1" hidden="1" x14ac:dyDescent="0.35">
      <c r="A196" s="219"/>
      <c r="B196" s="88"/>
      <c r="C196" s="88"/>
      <c r="D196" s="88"/>
      <c r="E196" s="88"/>
      <c r="F196" s="88"/>
      <c r="G196" s="90"/>
      <c r="H196" s="73">
        <v>0.5</v>
      </c>
      <c r="I196" s="36"/>
    </row>
    <row r="197" spans="1:20" s="67" customFormat="1" ht="15.75" customHeight="1" x14ac:dyDescent="0.35">
      <c r="A197" s="80" t="s">
        <v>327</v>
      </c>
      <c r="B197" s="81"/>
      <c r="C197" s="81"/>
      <c r="D197" s="81"/>
      <c r="E197" s="81"/>
      <c r="F197" s="81"/>
      <c r="G197" s="81"/>
      <c r="H197" s="82"/>
      <c r="I197" s="66">
        <v>10.763999999999999</v>
      </c>
      <c r="J197" s="36"/>
    </row>
    <row r="198" spans="1:20" s="67" customFormat="1" x14ac:dyDescent="0.35">
      <c r="A198" s="80" t="s">
        <v>328</v>
      </c>
      <c r="B198" s="81"/>
      <c r="C198" s="81"/>
      <c r="D198" s="81"/>
      <c r="E198" s="81"/>
      <c r="F198" s="81"/>
      <c r="G198" s="81"/>
      <c r="H198" s="82"/>
      <c r="J198" s="36"/>
    </row>
    <row r="199" spans="1:20" s="37" customFormat="1" x14ac:dyDescent="0.35">
      <c r="A199" s="80" t="s">
        <v>336</v>
      </c>
      <c r="B199" s="81"/>
      <c r="C199" s="81"/>
      <c r="D199" s="81"/>
      <c r="E199" s="81"/>
      <c r="F199" s="81"/>
      <c r="G199" s="81"/>
      <c r="H199" s="82"/>
      <c r="J199" s="36"/>
    </row>
    <row r="200" spans="1:20" s="37" customFormat="1" ht="15.75" customHeight="1" x14ac:dyDescent="0.35">
      <c r="A200" s="83">
        <v>1</v>
      </c>
      <c r="B200" s="84"/>
      <c r="C200" s="42" t="s">
        <v>337</v>
      </c>
      <c r="D200" s="66">
        <f>(31.29)*10.764</f>
        <v>336.80555999999996</v>
      </c>
      <c r="E200" s="66">
        <f>(0.75*(2.75+2.1+2.75))*10.764</f>
        <v>61.35479999999999</v>
      </c>
      <c r="F200" s="42">
        <f>D200+E200</f>
        <v>398.16035999999997</v>
      </c>
      <c r="G200" s="59">
        <v>0</v>
      </c>
      <c r="H200" s="59">
        <v>625</v>
      </c>
      <c r="I200" s="36">
        <f>2.75*4.25+2.1*2.05+2.75*3.05+1.5*1.2+1.5*1.2+1*2.2</f>
        <v>30.18</v>
      </c>
      <c r="J200" s="37">
        <f>H200/F200</f>
        <v>1.5697192960142994</v>
      </c>
      <c r="K200" s="37">
        <f>625/F200</f>
        <v>1.5697192960142994</v>
      </c>
      <c r="L200" s="79"/>
      <c r="M200" s="79"/>
      <c r="N200" s="36"/>
      <c r="T200" s="21"/>
    </row>
    <row r="201" spans="1:20" s="37" customFormat="1" ht="15.75" customHeight="1" x14ac:dyDescent="0.35">
      <c r="A201" s="83">
        <f>A200+1</f>
        <v>2</v>
      </c>
      <c r="B201" s="84"/>
      <c r="C201" s="66" t="s">
        <v>337</v>
      </c>
      <c r="D201" s="66">
        <f>(31.29)*10.764</f>
        <v>336.80555999999996</v>
      </c>
      <c r="E201" s="66">
        <f>(0.75*(2.75+2.1+2.75))*10.764</f>
        <v>61.35479999999999</v>
      </c>
      <c r="F201" s="59">
        <f>D201+E201</f>
        <v>398.16035999999997</v>
      </c>
      <c r="G201" s="59">
        <v>0</v>
      </c>
      <c r="H201" s="66">
        <v>625</v>
      </c>
      <c r="I201" s="36"/>
      <c r="J201" s="74">
        <f t="shared" ref="J201:J239" si="5">H201/F201</f>
        <v>1.5697192960142994</v>
      </c>
      <c r="L201" s="79"/>
      <c r="M201" s="79"/>
      <c r="N201" s="36"/>
    </row>
    <row r="202" spans="1:20" s="37" customFormat="1" ht="15.75" customHeight="1" x14ac:dyDescent="0.35">
      <c r="A202" s="83">
        <f>A201+1</f>
        <v>3</v>
      </c>
      <c r="B202" s="84"/>
      <c r="C202" s="66" t="s">
        <v>337</v>
      </c>
      <c r="D202" s="66">
        <f>(31.29)*10.764</f>
        <v>336.80555999999996</v>
      </c>
      <c r="E202" s="66">
        <f>(0.75*(2.75+2.1+2.75))*10.764</f>
        <v>61.35479999999999</v>
      </c>
      <c r="F202" s="59">
        <f>D202+E202</f>
        <v>398.16035999999997</v>
      </c>
      <c r="G202" s="59">
        <v>0</v>
      </c>
      <c r="H202" s="66">
        <v>625</v>
      </c>
      <c r="I202" s="36"/>
      <c r="J202" s="74">
        <f t="shared" si="5"/>
        <v>1.5697192960142994</v>
      </c>
      <c r="L202" s="79"/>
      <c r="M202" s="79"/>
      <c r="N202" s="36"/>
    </row>
    <row r="203" spans="1:20" s="37" customFormat="1" ht="15.75" customHeight="1" x14ac:dyDescent="0.35">
      <c r="A203" s="83">
        <f>A202+1</f>
        <v>4</v>
      </c>
      <c r="B203" s="84"/>
      <c r="C203" s="66" t="s">
        <v>337</v>
      </c>
      <c r="D203" s="66">
        <f>(34.07)*10.764</f>
        <v>366.72947999999997</v>
      </c>
      <c r="E203" s="66">
        <f>(0.75*(2.1+2.75))*10.764</f>
        <v>39.154049999999998</v>
      </c>
      <c r="F203" s="59">
        <f>D203+E203</f>
        <v>405.88352999999995</v>
      </c>
      <c r="G203" s="66">
        <f>(4.95)*10.764</f>
        <v>53.281799999999997</v>
      </c>
      <c r="H203" s="59">
        <v>660</v>
      </c>
      <c r="I203" s="77">
        <f>2.75*1.7</f>
        <v>4.6749999999999998</v>
      </c>
      <c r="J203" s="74">
        <f t="shared" si="5"/>
        <v>1.6260822408832407</v>
      </c>
      <c r="L203" s="79"/>
      <c r="M203" s="79"/>
      <c r="N203" s="36"/>
    </row>
    <row r="204" spans="1:20" s="67" customFormat="1" ht="15.75" customHeight="1" x14ac:dyDescent="0.35">
      <c r="A204" s="83">
        <f t="shared" ref="A204:A206" si="6">A203+1</f>
        <v>5</v>
      </c>
      <c r="B204" s="84"/>
      <c r="C204" s="66" t="s">
        <v>337</v>
      </c>
      <c r="D204" s="66">
        <f>(34.07)*10.764</f>
        <v>366.72947999999997</v>
      </c>
      <c r="E204" s="66">
        <f>(0.75*(2.1+2.75))*10.764</f>
        <v>39.154049999999998</v>
      </c>
      <c r="F204" s="66">
        <f t="shared" ref="F204:F206" si="7">D204+E204</f>
        <v>405.88352999999995</v>
      </c>
      <c r="G204" s="66">
        <f>(4.95)*10.764</f>
        <v>53.281799999999997</v>
      </c>
      <c r="H204" s="66">
        <v>660</v>
      </c>
      <c r="I204" s="36"/>
      <c r="J204" s="74">
        <f t="shared" si="5"/>
        <v>1.6260822408832407</v>
      </c>
      <c r="L204" s="79"/>
      <c r="M204" s="79"/>
      <c r="N204" s="36"/>
    </row>
    <row r="205" spans="1:20" s="67" customFormat="1" ht="15.75" customHeight="1" x14ac:dyDescent="0.35">
      <c r="A205" s="83">
        <f t="shared" si="6"/>
        <v>6</v>
      </c>
      <c r="B205" s="84"/>
      <c r="C205" s="66" t="s">
        <v>337</v>
      </c>
      <c r="D205" s="66">
        <f>(34.07)*10.764</f>
        <v>366.72947999999997</v>
      </c>
      <c r="E205" s="66">
        <f>(0.75*(2.1+2.75))*10.764</f>
        <v>39.154049999999998</v>
      </c>
      <c r="F205" s="66">
        <f t="shared" si="7"/>
        <v>405.88352999999995</v>
      </c>
      <c r="G205" s="66">
        <f>(4.95)*10.764</f>
        <v>53.281799999999997</v>
      </c>
      <c r="H205" s="66">
        <v>660</v>
      </c>
      <c r="I205" s="36"/>
      <c r="J205" s="74">
        <f>H205/F205</f>
        <v>1.6260822408832407</v>
      </c>
      <c r="L205" s="79"/>
      <c r="M205" s="79"/>
      <c r="N205" s="36"/>
    </row>
    <row r="206" spans="1:20" s="67" customFormat="1" ht="15.75" customHeight="1" x14ac:dyDescent="0.35">
      <c r="A206" s="83">
        <f t="shared" si="6"/>
        <v>7</v>
      </c>
      <c r="B206" s="84"/>
      <c r="C206" s="66" t="s">
        <v>338</v>
      </c>
      <c r="D206" s="66">
        <f>(51.07)*10.764</f>
        <v>549.71748000000002</v>
      </c>
      <c r="E206" s="66">
        <f>(0.75*(2.1+3.05+2.75))*10.764</f>
        <v>63.776700000000005</v>
      </c>
      <c r="F206" s="66">
        <f t="shared" si="7"/>
        <v>613.49418000000003</v>
      </c>
      <c r="G206" s="66">
        <f>(4.13)*10.764</f>
        <v>44.455319999999993</v>
      </c>
      <c r="H206" s="66">
        <v>1010</v>
      </c>
      <c r="I206" s="36">
        <f>2.75*4.55+2.1*2.75+3.05*2.75+2.75*3.75+2.2*1.2+2.1*1.2+2.11*0.9+0.85*3.2</f>
        <v>46.766500000000001</v>
      </c>
      <c r="J206" s="74">
        <f t="shared" si="5"/>
        <v>1.6463073863227193</v>
      </c>
      <c r="L206" s="79"/>
      <c r="M206" s="79"/>
      <c r="N206" s="36"/>
    </row>
    <row r="207" spans="1:20" s="67" customFormat="1" ht="15.75" customHeight="1" x14ac:dyDescent="0.35">
      <c r="A207" s="83" t="s">
        <v>344</v>
      </c>
      <c r="B207" s="84"/>
      <c r="C207" s="83" t="s">
        <v>358</v>
      </c>
      <c r="D207" s="86"/>
      <c r="E207" s="86"/>
      <c r="F207" s="86"/>
      <c r="G207" s="86"/>
      <c r="H207" s="84"/>
      <c r="I207" s="36"/>
      <c r="J207" s="74" t="e">
        <f t="shared" si="5"/>
        <v>#DIV/0!</v>
      </c>
      <c r="L207" s="79"/>
      <c r="M207" s="79"/>
      <c r="N207" s="36"/>
    </row>
    <row r="208" spans="1:20" s="67" customFormat="1" ht="15.75" customHeight="1" x14ac:dyDescent="0.35">
      <c r="A208" s="83">
        <v>8</v>
      </c>
      <c r="B208" s="84"/>
      <c r="C208" s="66" t="s">
        <v>337</v>
      </c>
      <c r="D208" s="66">
        <f>(34.07)*10.764</f>
        <v>366.72947999999997</v>
      </c>
      <c r="E208" s="66">
        <v>0</v>
      </c>
      <c r="F208" s="66">
        <f t="shared" ref="F208" si="8">D208+E208</f>
        <v>366.72947999999997</v>
      </c>
      <c r="G208" s="66">
        <v>0</v>
      </c>
      <c r="H208" s="66">
        <v>660</v>
      </c>
      <c r="I208" s="36"/>
      <c r="J208" s="74">
        <f t="shared" si="5"/>
        <v>1.7996916964515643</v>
      </c>
      <c r="L208" s="79"/>
      <c r="M208" s="79"/>
      <c r="N208" s="36"/>
    </row>
    <row r="209" spans="1:20" s="67" customFormat="1" x14ac:dyDescent="0.35">
      <c r="A209" s="80" t="s">
        <v>339</v>
      </c>
      <c r="B209" s="81"/>
      <c r="C209" s="81"/>
      <c r="D209" s="81"/>
      <c r="E209" s="81"/>
      <c r="F209" s="81"/>
      <c r="G209" s="81"/>
      <c r="H209" s="82"/>
      <c r="J209" s="74" t="e">
        <f t="shared" si="5"/>
        <v>#DIV/0!</v>
      </c>
      <c r="K209" s="67">
        <v>5200</v>
      </c>
      <c r="L209" s="67">
        <v>300000</v>
      </c>
    </row>
    <row r="210" spans="1:20" s="67" customFormat="1" ht="15.75" customHeight="1" x14ac:dyDescent="0.35">
      <c r="A210" s="83">
        <v>1</v>
      </c>
      <c r="B210" s="84"/>
      <c r="C210" s="66" t="s">
        <v>337</v>
      </c>
      <c r="D210" s="66">
        <f>(31.29)*10.764</f>
        <v>336.80555999999996</v>
      </c>
      <c r="E210" s="66">
        <f t="shared" ref="E210:E215" si="9">(0.75*(2.75+2.1+2.75))*10.764</f>
        <v>61.35479999999999</v>
      </c>
      <c r="F210" s="66">
        <f>D210+E210</f>
        <v>398.16035999999997</v>
      </c>
      <c r="G210" s="66">
        <v>0</v>
      </c>
      <c r="H210" s="66">
        <v>625</v>
      </c>
      <c r="I210" s="36"/>
      <c r="J210" s="74">
        <f t="shared" si="5"/>
        <v>1.5697192960142994</v>
      </c>
      <c r="K210" s="67">
        <f>K$209*H210</f>
        <v>3250000</v>
      </c>
      <c r="L210" s="79">
        <f>300000+K210</f>
        <v>3550000</v>
      </c>
      <c r="M210" s="79"/>
      <c r="N210" s="36">
        <f>3437500/H210</f>
        <v>5500</v>
      </c>
      <c r="T210" s="21"/>
    </row>
    <row r="211" spans="1:20" s="67" customFormat="1" ht="15.75" customHeight="1" x14ac:dyDescent="0.35">
      <c r="A211" s="83">
        <f>A210+1</f>
        <v>2</v>
      </c>
      <c r="B211" s="84"/>
      <c r="C211" s="66" t="s">
        <v>337</v>
      </c>
      <c r="D211" s="66">
        <f>(31.29)*10.764</f>
        <v>336.80555999999996</v>
      </c>
      <c r="E211" s="66">
        <f t="shared" si="9"/>
        <v>61.35479999999999</v>
      </c>
      <c r="F211" s="66">
        <f>D211+E211</f>
        <v>398.16035999999997</v>
      </c>
      <c r="G211" s="66">
        <v>0</v>
      </c>
      <c r="H211" s="66">
        <v>625</v>
      </c>
      <c r="I211" s="36"/>
      <c r="J211" s="74">
        <f t="shared" si="5"/>
        <v>1.5697192960142994</v>
      </c>
      <c r="K211" s="74">
        <f t="shared" ref="K211:K218" si="10">K$209*H211</f>
        <v>3250000</v>
      </c>
      <c r="L211" s="79">
        <f t="shared" ref="L211:L218" si="11">300000+K211</f>
        <v>3550000</v>
      </c>
      <c r="M211" s="79"/>
      <c r="N211" s="36"/>
    </row>
    <row r="212" spans="1:20" s="67" customFormat="1" ht="15.75" customHeight="1" x14ac:dyDescent="0.35">
      <c r="A212" s="83">
        <f>A211+1</f>
        <v>3</v>
      </c>
      <c r="B212" s="84"/>
      <c r="C212" s="66" t="s">
        <v>337</v>
      </c>
      <c r="D212" s="66">
        <f>(31.29)*10.764</f>
        <v>336.80555999999996</v>
      </c>
      <c r="E212" s="66">
        <f t="shared" si="9"/>
        <v>61.35479999999999</v>
      </c>
      <c r="F212" s="66">
        <f>D212+E212</f>
        <v>398.16035999999997</v>
      </c>
      <c r="G212" s="66">
        <v>0</v>
      </c>
      <c r="H212" s="66">
        <v>625</v>
      </c>
      <c r="I212" s="36"/>
      <c r="J212" s="74">
        <f t="shared" si="5"/>
        <v>1.5697192960142994</v>
      </c>
      <c r="K212" s="74">
        <f t="shared" si="10"/>
        <v>3250000</v>
      </c>
      <c r="L212" s="79">
        <f t="shared" si="11"/>
        <v>3550000</v>
      </c>
      <c r="M212" s="79"/>
      <c r="N212" s="36"/>
    </row>
    <row r="213" spans="1:20" s="67" customFormat="1" ht="15.75" customHeight="1" x14ac:dyDescent="0.35">
      <c r="A213" s="83">
        <f>A212+1</f>
        <v>4</v>
      </c>
      <c r="B213" s="84"/>
      <c r="C213" s="66" t="s">
        <v>337</v>
      </c>
      <c r="D213" s="66">
        <f>(34.07)*10.764</f>
        <v>366.72947999999997</v>
      </c>
      <c r="E213" s="66">
        <f t="shared" si="9"/>
        <v>61.35479999999999</v>
      </c>
      <c r="F213" s="66">
        <f>D213+E213</f>
        <v>428.08427999999998</v>
      </c>
      <c r="G213" s="66">
        <v>0</v>
      </c>
      <c r="H213" s="66">
        <v>660</v>
      </c>
      <c r="I213" s="36"/>
      <c r="J213" s="74">
        <f t="shared" si="5"/>
        <v>1.5417524792080664</v>
      </c>
      <c r="K213" s="74">
        <f t="shared" si="10"/>
        <v>3432000</v>
      </c>
      <c r="L213" s="79">
        <f t="shared" si="11"/>
        <v>3732000</v>
      </c>
      <c r="M213" s="79"/>
      <c r="N213" s="36"/>
    </row>
    <row r="214" spans="1:20" s="67" customFormat="1" ht="15.75" customHeight="1" x14ac:dyDescent="0.35">
      <c r="A214" s="83">
        <f t="shared" ref="A214:A218" si="12">A213+1</f>
        <v>5</v>
      </c>
      <c r="B214" s="84"/>
      <c r="C214" s="66" t="s">
        <v>337</v>
      </c>
      <c r="D214" s="66">
        <f>(34.07)*10.764</f>
        <v>366.72947999999997</v>
      </c>
      <c r="E214" s="66">
        <f t="shared" si="9"/>
        <v>61.35479999999999</v>
      </c>
      <c r="F214" s="66">
        <f t="shared" ref="F214:F218" si="13">D214+E214</f>
        <v>428.08427999999998</v>
      </c>
      <c r="G214" s="66">
        <v>0</v>
      </c>
      <c r="H214" s="66">
        <v>660</v>
      </c>
      <c r="I214" s="36"/>
      <c r="J214" s="74">
        <f t="shared" si="5"/>
        <v>1.5417524792080664</v>
      </c>
      <c r="K214" s="74">
        <f t="shared" si="10"/>
        <v>3432000</v>
      </c>
      <c r="L214" s="79">
        <f t="shared" si="11"/>
        <v>3732000</v>
      </c>
      <c r="M214" s="79"/>
      <c r="N214" s="36">
        <f>3630000/H214</f>
        <v>5500</v>
      </c>
    </row>
    <row r="215" spans="1:20" s="67" customFormat="1" ht="15.75" customHeight="1" x14ac:dyDescent="0.35">
      <c r="A215" s="83">
        <f t="shared" si="12"/>
        <v>6</v>
      </c>
      <c r="B215" s="84"/>
      <c r="C215" s="66" t="s">
        <v>337</v>
      </c>
      <c r="D215" s="66">
        <f>(34.07)*10.764</f>
        <v>366.72947999999997</v>
      </c>
      <c r="E215" s="66">
        <f t="shared" si="9"/>
        <v>61.35479999999999</v>
      </c>
      <c r="F215" s="66">
        <f t="shared" si="13"/>
        <v>428.08427999999998</v>
      </c>
      <c r="G215" s="66">
        <v>0</v>
      </c>
      <c r="H215" s="66">
        <v>660</v>
      </c>
      <c r="I215" s="36"/>
      <c r="J215" s="74">
        <f>H215/F215</f>
        <v>1.5417524792080664</v>
      </c>
      <c r="K215" s="74">
        <f t="shared" si="10"/>
        <v>3432000</v>
      </c>
      <c r="L215" s="79">
        <f t="shared" si="11"/>
        <v>3732000</v>
      </c>
      <c r="M215" s="79"/>
      <c r="N215" s="36"/>
    </row>
    <row r="216" spans="1:20" s="67" customFormat="1" ht="15.75" customHeight="1" x14ac:dyDescent="0.35">
      <c r="A216" s="83">
        <f t="shared" si="12"/>
        <v>7</v>
      </c>
      <c r="B216" s="84"/>
      <c r="C216" s="66" t="s">
        <v>338</v>
      </c>
      <c r="D216" s="66">
        <f>(51.07)*10.764</f>
        <v>549.71748000000002</v>
      </c>
      <c r="E216" s="66">
        <f>(0.75*(2.75+2.1+3.05+2.75))*10.764</f>
        <v>85.97744999999999</v>
      </c>
      <c r="F216" s="66">
        <f t="shared" si="13"/>
        <v>635.69493</v>
      </c>
      <c r="G216" s="66">
        <v>0</v>
      </c>
      <c r="H216" s="66">
        <v>960</v>
      </c>
      <c r="I216" s="36"/>
      <c r="J216" s="74">
        <f t="shared" si="5"/>
        <v>1.5101583396299858</v>
      </c>
      <c r="K216" s="74">
        <f t="shared" si="10"/>
        <v>4992000</v>
      </c>
      <c r="L216" s="79">
        <f t="shared" si="11"/>
        <v>5292000</v>
      </c>
      <c r="M216" s="79"/>
      <c r="N216" s="36"/>
    </row>
    <row r="217" spans="1:20" s="67" customFormat="1" ht="15.75" customHeight="1" x14ac:dyDescent="0.35">
      <c r="A217" s="83">
        <f t="shared" si="12"/>
        <v>8</v>
      </c>
      <c r="B217" s="84"/>
      <c r="C217" s="66" t="s">
        <v>338</v>
      </c>
      <c r="D217" s="66">
        <f>(51.07)*10.764</f>
        <v>549.71748000000002</v>
      </c>
      <c r="E217" s="66">
        <f>(0.75*(2.75+2.1+3.05+2.75))*10.764</f>
        <v>85.97744999999999</v>
      </c>
      <c r="F217" s="66">
        <f t="shared" si="13"/>
        <v>635.69493</v>
      </c>
      <c r="G217" s="66">
        <v>0</v>
      </c>
      <c r="H217" s="66">
        <v>960</v>
      </c>
      <c r="I217" s="36"/>
      <c r="J217" s="74">
        <f t="shared" si="5"/>
        <v>1.5101583396299858</v>
      </c>
      <c r="K217" s="74">
        <f t="shared" si="10"/>
        <v>4992000</v>
      </c>
      <c r="L217" s="79">
        <f t="shared" si="11"/>
        <v>5292000</v>
      </c>
      <c r="M217" s="79"/>
      <c r="N217" s="36">
        <f>5280000/H217</f>
        <v>5500</v>
      </c>
    </row>
    <row r="218" spans="1:20" s="67" customFormat="1" ht="15.75" customHeight="1" x14ac:dyDescent="0.35">
      <c r="A218" s="83">
        <f t="shared" si="12"/>
        <v>9</v>
      </c>
      <c r="B218" s="84"/>
      <c r="C218" s="66" t="s">
        <v>337</v>
      </c>
      <c r="D218" s="66">
        <f>(34.07)*10.764</f>
        <v>366.72947999999997</v>
      </c>
      <c r="E218" s="66">
        <f>(0.75*(2.75+2.1+2.75))*10.764</f>
        <v>61.35479999999999</v>
      </c>
      <c r="F218" s="66">
        <f t="shared" si="13"/>
        <v>428.08427999999998</v>
      </c>
      <c r="G218" s="66">
        <v>0</v>
      </c>
      <c r="H218" s="66">
        <v>660</v>
      </c>
      <c r="I218" s="36"/>
      <c r="J218" s="74">
        <f t="shared" si="5"/>
        <v>1.5417524792080664</v>
      </c>
      <c r="K218" s="74">
        <f t="shared" si="10"/>
        <v>3432000</v>
      </c>
      <c r="L218" s="79">
        <f t="shared" si="11"/>
        <v>3732000</v>
      </c>
      <c r="M218" s="79"/>
      <c r="N218" s="36"/>
    </row>
    <row r="219" spans="1:20" s="67" customFormat="1" x14ac:dyDescent="0.35">
      <c r="A219" s="80" t="s">
        <v>340</v>
      </c>
      <c r="B219" s="81"/>
      <c r="C219" s="81"/>
      <c r="D219" s="81"/>
      <c r="E219" s="81"/>
      <c r="F219" s="81"/>
      <c r="G219" s="81"/>
      <c r="H219" s="82"/>
      <c r="J219" s="74" t="e">
        <f t="shared" si="5"/>
        <v>#DIV/0!</v>
      </c>
    </row>
    <row r="220" spans="1:20" s="67" customFormat="1" ht="15.75" customHeight="1" x14ac:dyDescent="0.35">
      <c r="A220" s="83">
        <v>1</v>
      </c>
      <c r="B220" s="84"/>
      <c r="C220" s="66" t="s">
        <v>337</v>
      </c>
      <c r="D220" s="66">
        <f>(31.29)*10.764</f>
        <v>336.80555999999996</v>
      </c>
      <c r="E220" s="66">
        <f t="shared" ref="E220:E225" si="14">(0.75*(2.75+2.1+2.75))*10.764</f>
        <v>61.35479999999999</v>
      </c>
      <c r="F220" s="66">
        <f>D220+E220</f>
        <v>398.16035999999997</v>
      </c>
      <c r="G220" s="66">
        <v>0</v>
      </c>
      <c r="H220" s="66">
        <v>625</v>
      </c>
      <c r="I220" s="36"/>
      <c r="J220" s="74">
        <f t="shared" si="5"/>
        <v>1.5697192960142994</v>
      </c>
      <c r="K220" s="67">
        <f>3150000/H220</f>
        <v>5040</v>
      </c>
      <c r="L220" s="79"/>
      <c r="M220" s="79"/>
      <c r="N220" s="36"/>
      <c r="T220" s="21"/>
    </row>
    <row r="221" spans="1:20" s="67" customFormat="1" ht="15.75" customHeight="1" x14ac:dyDescent="0.35">
      <c r="A221" s="83">
        <f>A220+1</f>
        <v>2</v>
      </c>
      <c r="B221" s="84"/>
      <c r="C221" s="66" t="s">
        <v>337</v>
      </c>
      <c r="D221" s="66">
        <f>(31.29)*10.764</f>
        <v>336.80555999999996</v>
      </c>
      <c r="E221" s="66">
        <f t="shared" si="14"/>
        <v>61.35479999999999</v>
      </c>
      <c r="F221" s="66">
        <f>D221+E221</f>
        <v>398.16035999999997</v>
      </c>
      <c r="G221" s="66">
        <v>0</v>
      </c>
      <c r="H221" s="66">
        <v>625</v>
      </c>
      <c r="I221" s="36"/>
      <c r="J221" s="74">
        <f t="shared" si="5"/>
        <v>1.5697192960142994</v>
      </c>
      <c r="L221" s="79"/>
      <c r="M221" s="79"/>
      <c r="N221" s="36"/>
    </row>
    <row r="222" spans="1:20" s="67" customFormat="1" ht="15.75" customHeight="1" x14ac:dyDescent="0.35">
      <c r="A222" s="83">
        <f>A221+1</f>
        <v>3</v>
      </c>
      <c r="B222" s="84"/>
      <c r="C222" s="66" t="s">
        <v>337</v>
      </c>
      <c r="D222" s="66">
        <f>(31.29)*10.764</f>
        <v>336.80555999999996</v>
      </c>
      <c r="E222" s="66">
        <f t="shared" si="14"/>
        <v>61.35479999999999</v>
      </c>
      <c r="F222" s="66">
        <f>D222+E222</f>
        <v>398.16035999999997</v>
      </c>
      <c r="G222" s="66">
        <v>0</v>
      </c>
      <c r="H222" s="66">
        <v>625</v>
      </c>
      <c r="I222" s="36"/>
      <c r="J222" s="74">
        <f>H222/F222</f>
        <v>1.5697192960142994</v>
      </c>
      <c r="L222" s="79"/>
      <c r="M222" s="79"/>
      <c r="N222" s="36"/>
    </row>
    <row r="223" spans="1:20" s="67" customFormat="1" ht="15.75" customHeight="1" x14ac:dyDescent="0.35">
      <c r="A223" s="83">
        <f>A222+1</f>
        <v>4</v>
      </c>
      <c r="B223" s="84"/>
      <c r="C223" s="66" t="s">
        <v>337</v>
      </c>
      <c r="D223" s="66">
        <f>(34.07)*10.764</f>
        <v>366.72947999999997</v>
      </c>
      <c r="E223" s="66">
        <f t="shared" si="14"/>
        <v>61.35479999999999</v>
      </c>
      <c r="F223" s="66">
        <f>D223+E223</f>
        <v>428.08427999999998</v>
      </c>
      <c r="G223" s="66">
        <v>0</v>
      </c>
      <c r="H223" s="66">
        <v>660</v>
      </c>
      <c r="I223" s="36"/>
      <c r="J223" s="74">
        <f t="shared" si="5"/>
        <v>1.5417524792080664</v>
      </c>
      <c r="K223" s="67">
        <f>3350000/H223</f>
        <v>5075.757575757576</v>
      </c>
      <c r="L223" s="79"/>
      <c r="M223" s="79"/>
      <c r="N223" s="36"/>
    </row>
    <row r="224" spans="1:20" s="67" customFormat="1" ht="15.75" customHeight="1" x14ac:dyDescent="0.35">
      <c r="A224" s="83">
        <f t="shared" ref="A224:A228" si="15">A223+1</f>
        <v>5</v>
      </c>
      <c r="B224" s="84"/>
      <c r="C224" s="66" t="s">
        <v>337</v>
      </c>
      <c r="D224" s="66">
        <f>(34.07)*10.764</f>
        <v>366.72947999999997</v>
      </c>
      <c r="E224" s="66">
        <f t="shared" si="14"/>
        <v>61.35479999999999</v>
      </c>
      <c r="F224" s="66">
        <f t="shared" ref="F224:F228" si="16">D224+E224</f>
        <v>428.08427999999998</v>
      </c>
      <c r="G224" s="66">
        <v>0</v>
      </c>
      <c r="H224" s="66">
        <v>660</v>
      </c>
      <c r="I224" s="36"/>
      <c r="J224" s="74">
        <f t="shared" si="5"/>
        <v>1.5417524792080664</v>
      </c>
      <c r="L224" s="79"/>
      <c r="M224" s="79"/>
      <c r="N224" s="36"/>
    </row>
    <row r="225" spans="1:20" s="67" customFormat="1" ht="15.75" customHeight="1" x14ac:dyDescent="0.35">
      <c r="A225" s="83">
        <f t="shared" si="15"/>
        <v>6</v>
      </c>
      <c r="B225" s="84"/>
      <c r="C225" s="66" t="s">
        <v>337</v>
      </c>
      <c r="D225" s="66">
        <f>(34.07)*10.764</f>
        <v>366.72947999999997</v>
      </c>
      <c r="E225" s="66">
        <f t="shared" si="14"/>
        <v>61.35479999999999</v>
      </c>
      <c r="F225" s="66">
        <f t="shared" si="16"/>
        <v>428.08427999999998</v>
      </c>
      <c r="G225" s="66">
        <v>0</v>
      </c>
      <c r="H225" s="66">
        <v>660</v>
      </c>
      <c r="I225" s="36"/>
      <c r="J225" s="74">
        <f t="shared" si="5"/>
        <v>1.5417524792080664</v>
      </c>
      <c r="L225" s="79"/>
      <c r="M225" s="79"/>
      <c r="N225" s="36"/>
    </row>
    <row r="226" spans="1:20" s="67" customFormat="1" ht="15.75" customHeight="1" x14ac:dyDescent="0.35">
      <c r="A226" s="83">
        <f t="shared" si="15"/>
        <v>7</v>
      </c>
      <c r="B226" s="84"/>
      <c r="C226" s="66" t="s">
        <v>338</v>
      </c>
      <c r="D226" s="66">
        <f>(51.07)*10.764</f>
        <v>549.71748000000002</v>
      </c>
      <c r="E226" s="66">
        <f>(0.75*(2.75+2.1+3.05+2.75))*10.764</f>
        <v>85.97744999999999</v>
      </c>
      <c r="F226" s="66">
        <f t="shared" si="16"/>
        <v>635.69493</v>
      </c>
      <c r="G226" s="66">
        <v>0</v>
      </c>
      <c r="H226" s="66">
        <v>960</v>
      </c>
      <c r="I226" s="36"/>
      <c r="J226" s="74">
        <f t="shared" si="5"/>
        <v>1.5101583396299858</v>
      </c>
      <c r="L226" s="79"/>
      <c r="M226" s="79"/>
      <c r="N226" s="36"/>
    </row>
    <row r="227" spans="1:20" s="67" customFormat="1" ht="15.75" customHeight="1" x14ac:dyDescent="0.35">
      <c r="A227" s="83">
        <f t="shared" si="15"/>
        <v>8</v>
      </c>
      <c r="B227" s="84"/>
      <c r="C227" s="66" t="s">
        <v>338</v>
      </c>
      <c r="D227" s="66">
        <f>(51.07)*10.764</f>
        <v>549.71748000000002</v>
      </c>
      <c r="E227" s="66">
        <f>(0.75*(2.75+2.1+3.05+2.75))*10.764</f>
        <v>85.97744999999999</v>
      </c>
      <c r="F227" s="66">
        <f t="shared" si="16"/>
        <v>635.69493</v>
      </c>
      <c r="G227" s="66">
        <v>0</v>
      </c>
      <c r="H227" s="66">
        <v>960</v>
      </c>
      <c r="I227" s="36"/>
      <c r="J227" s="74">
        <f t="shared" si="5"/>
        <v>1.5101583396299858</v>
      </c>
      <c r="K227" s="67">
        <f>4850000/H227</f>
        <v>5052.083333333333</v>
      </c>
      <c r="L227" s="79">
        <f>K227*0.07</f>
        <v>353.64583333333337</v>
      </c>
      <c r="M227" s="79"/>
      <c r="N227" s="36"/>
    </row>
    <row r="228" spans="1:20" s="67" customFormat="1" ht="15.75" customHeight="1" x14ac:dyDescent="0.35">
      <c r="A228" s="83">
        <f t="shared" si="15"/>
        <v>9</v>
      </c>
      <c r="B228" s="84"/>
      <c r="C228" s="66" t="s">
        <v>337</v>
      </c>
      <c r="D228" s="66">
        <f>(34.07)*10.764</f>
        <v>366.72947999999997</v>
      </c>
      <c r="E228" s="66">
        <f>(0.75*(2.75+2.1+2.75))*10.764</f>
        <v>61.35479999999999</v>
      </c>
      <c r="F228" s="66">
        <f t="shared" si="16"/>
        <v>428.08427999999998</v>
      </c>
      <c r="G228" s="66">
        <v>0</v>
      </c>
      <c r="H228" s="66">
        <v>660</v>
      </c>
      <c r="I228" s="36"/>
      <c r="J228" s="74">
        <f>H228/F228</f>
        <v>1.5417524792080664</v>
      </c>
      <c r="L228" s="79"/>
      <c r="M228" s="79"/>
      <c r="N228" s="36"/>
    </row>
    <row r="229" spans="1:20" s="67" customFormat="1" x14ac:dyDescent="0.35">
      <c r="A229" s="85" t="s">
        <v>341</v>
      </c>
      <c r="B229" s="85"/>
      <c r="C229" s="85"/>
      <c r="D229" s="85"/>
      <c r="E229" s="85"/>
      <c r="F229" s="85"/>
      <c r="G229" s="85"/>
      <c r="H229" s="85"/>
      <c r="I229" s="66">
        <v>10.763999999999999</v>
      </c>
      <c r="J229" s="74" t="e">
        <f t="shared" si="5"/>
        <v>#DIV/0!</v>
      </c>
      <c r="L229" s="79"/>
      <c r="M229" s="79"/>
    </row>
    <row r="230" spans="1:20" s="67" customFormat="1" x14ac:dyDescent="0.35">
      <c r="A230" s="80" t="s">
        <v>336</v>
      </c>
      <c r="B230" s="81"/>
      <c r="C230" s="81"/>
      <c r="D230" s="81"/>
      <c r="E230" s="81"/>
      <c r="F230" s="81"/>
      <c r="G230" s="81"/>
      <c r="H230" s="82"/>
      <c r="J230" s="74" t="e">
        <f t="shared" si="5"/>
        <v>#DIV/0!</v>
      </c>
    </row>
    <row r="231" spans="1:20" s="67" customFormat="1" ht="15.75" customHeight="1" x14ac:dyDescent="0.35">
      <c r="A231" s="83">
        <v>1</v>
      </c>
      <c r="B231" s="84"/>
      <c r="C231" s="66" t="s">
        <v>337</v>
      </c>
      <c r="D231" s="66">
        <f>(31.29)*10.764</f>
        <v>336.80555999999996</v>
      </c>
      <c r="E231" s="66">
        <f>(0.75*(2.75+2.1+2.75))*10.764</f>
        <v>61.35479999999999</v>
      </c>
      <c r="F231" s="66">
        <f>D231+E231</f>
        <v>398.16035999999997</v>
      </c>
      <c r="G231" s="66">
        <v>0</v>
      </c>
      <c r="H231" s="66">
        <v>625</v>
      </c>
      <c r="I231" s="36">
        <f>2.75*4.25+2.1*2.05+2.75*3.05+1.5*1.2+1.5*1.2+1*2.2</f>
        <v>30.18</v>
      </c>
      <c r="J231" s="74">
        <f t="shared" si="5"/>
        <v>1.5697192960142994</v>
      </c>
      <c r="L231" s="79"/>
      <c r="M231" s="79"/>
      <c r="N231" s="36"/>
      <c r="T231" s="21"/>
    </row>
    <row r="232" spans="1:20" s="67" customFormat="1" ht="15.75" customHeight="1" x14ac:dyDescent="0.35">
      <c r="A232" s="83">
        <f>A231+1</f>
        <v>2</v>
      </c>
      <c r="B232" s="84"/>
      <c r="C232" s="66" t="s">
        <v>337</v>
      </c>
      <c r="D232" s="66">
        <f>(31.29)*10.764</f>
        <v>336.80555999999996</v>
      </c>
      <c r="E232" s="66">
        <f t="shared" ref="E232:E233" si="17">(0.75*(2.75+2.1+2.75))*10.764</f>
        <v>61.35479999999999</v>
      </c>
      <c r="F232" s="66">
        <f>D232+E232</f>
        <v>398.16035999999997</v>
      </c>
      <c r="G232" s="66">
        <v>0</v>
      </c>
      <c r="H232" s="66">
        <v>625</v>
      </c>
      <c r="I232" s="36"/>
      <c r="J232" s="74">
        <f t="shared" si="5"/>
        <v>1.5697192960142994</v>
      </c>
      <c r="L232" s="79"/>
      <c r="M232" s="79"/>
      <c r="N232" s="36"/>
    </row>
    <row r="233" spans="1:20" s="67" customFormat="1" ht="15.75" customHeight="1" x14ac:dyDescent="0.35">
      <c r="A233" s="83">
        <f>A232+1</f>
        <v>3</v>
      </c>
      <c r="B233" s="84"/>
      <c r="C233" s="66" t="s">
        <v>337</v>
      </c>
      <c r="D233" s="66">
        <f>(31.29)*10.764</f>
        <v>336.80555999999996</v>
      </c>
      <c r="E233" s="66">
        <f t="shared" si="17"/>
        <v>61.35479999999999</v>
      </c>
      <c r="F233" s="66">
        <f>D233+E233</f>
        <v>398.16035999999997</v>
      </c>
      <c r="G233" s="66">
        <v>0</v>
      </c>
      <c r="H233" s="66">
        <v>625</v>
      </c>
      <c r="I233" s="36"/>
      <c r="J233" s="74">
        <f t="shared" si="5"/>
        <v>1.5697192960142994</v>
      </c>
      <c r="L233" s="79"/>
      <c r="M233" s="79"/>
      <c r="N233" s="36"/>
    </row>
    <row r="234" spans="1:20" s="67" customFormat="1" ht="15.75" customHeight="1" x14ac:dyDescent="0.35">
      <c r="A234" s="83">
        <f>A233+1</f>
        <v>4</v>
      </c>
      <c r="B234" s="84"/>
      <c r="C234" s="66" t="s">
        <v>338</v>
      </c>
      <c r="D234" s="66">
        <f>(51.07)*10.764</f>
        <v>549.71748000000002</v>
      </c>
      <c r="E234" s="66">
        <f>(0.75*(2.75+2.1+3.05+2.75))*10.764</f>
        <v>85.97744999999999</v>
      </c>
      <c r="F234" s="66">
        <f>D234+E234</f>
        <v>635.69493</v>
      </c>
      <c r="G234" s="66">
        <v>0</v>
      </c>
      <c r="H234" s="66">
        <v>960</v>
      </c>
      <c r="I234" s="36"/>
      <c r="J234" s="74">
        <f t="shared" si="5"/>
        <v>1.5101583396299858</v>
      </c>
      <c r="L234" s="79"/>
      <c r="M234" s="79"/>
      <c r="N234" s="36"/>
    </row>
    <row r="235" spans="1:20" s="67" customFormat="1" ht="15.75" customHeight="1" x14ac:dyDescent="0.35">
      <c r="A235" s="83" t="s">
        <v>344</v>
      </c>
      <c r="B235" s="84"/>
      <c r="C235" s="83" t="s">
        <v>345</v>
      </c>
      <c r="D235" s="86"/>
      <c r="E235" s="86"/>
      <c r="F235" s="86"/>
      <c r="G235" s="86"/>
      <c r="H235" s="84"/>
      <c r="I235" s="36"/>
      <c r="J235" s="74" t="e">
        <f t="shared" si="5"/>
        <v>#DIV/0!</v>
      </c>
      <c r="L235" s="79"/>
      <c r="M235" s="79"/>
      <c r="N235" s="36"/>
    </row>
    <row r="236" spans="1:20" s="67" customFormat="1" ht="15.75" customHeight="1" x14ac:dyDescent="0.35">
      <c r="A236" s="83">
        <v>5</v>
      </c>
      <c r="B236" s="84"/>
      <c r="C236" s="66" t="s">
        <v>338</v>
      </c>
      <c r="D236" s="66">
        <f>(51.07)*10.764</f>
        <v>549.71748000000002</v>
      </c>
      <c r="E236" s="66">
        <f>(0.75*(2.75+2.1+3.05+2.75))*10.764</f>
        <v>85.97744999999999</v>
      </c>
      <c r="F236" s="66">
        <f t="shared" ref="F236:F237" si="18">D236+E236</f>
        <v>635.69493</v>
      </c>
      <c r="G236" s="66">
        <v>0</v>
      </c>
      <c r="H236" s="66">
        <v>960</v>
      </c>
      <c r="I236" s="36"/>
      <c r="J236" s="74">
        <f t="shared" si="5"/>
        <v>1.5101583396299858</v>
      </c>
      <c r="L236" s="79"/>
      <c r="M236" s="79"/>
      <c r="N236" s="36"/>
    </row>
    <row r="237" spans="1:20" s="67" customFormat="1" ht="15.75" customHeight="1" x14ac:dyDescent="0.35">
      <c r="A237" s="83">
        <f t="shared" ref="A237:A238" si="19">A236+1</f>
        <v>6</v>
      </c>
      <c r="B237" s="84"/>
      <c r="C237" s="66" t="s">
        <v>337</v>
      </c>
      <c r="D237" s="66">
        <f>(34.07)*10.764</f>
        <v>366.72947999999997</v>
      </c>
      <c r="E237" s="66">
        <f>(0.75*(2.75+2.1+2.75))*10.764</f>
        <v>61.35479999999999</v>
      </c>
      <c r="F237" s="66">
        <f t="shared" si="18"/>
        <v>428.08427999999998</v>
      </c>
      <c r="G237" s="66">
        <v>0</v>
      </c>
      <c r="H237" s="66">
        <v>660</v>
      </c>
      <c r="I237" s="36"/>
      <c r="J237" s="74">
        <f t="shared" si="5"/>
        <v>1.5417524792080664</v>
      </c>
      <c r="L237" s="79"/>
      <c r="M237" s="79"/>
      <c r="N237" s="36"/>
    </row>
    <row r="238" spans="1:20" s="67" customFormat="1" ht="15.75" customHeight="1" x14ac:dyDescent="0.35">
      <c r="A238" s="83">
        <f t="shared" si="19"/>
        <v>7</v>
      </c>
      <c r="B238" s="84"/>
      <c r="C238" s="66" t="s">
        <v>337</v>
      </c>
      <c r="D238" s="66">
        <f>(34.07)*10.764</f>
        <v>366.72947999999997</v>
      </c>
      <c r="E238" s="66">
        <f>(0.75*(2.75+2.1+2.75))*10.764</f>
        <v>61.35479999999999</v>
      </c>
      <c r="F238" s="66">
        <f t="shared" ref="F238" si="20">D238+E238</f>
        <v>428.08427999999998</v>
      </c>
      <c r="G238" s="66">
        <v>0</v>
      </c>
      <c r="H238" s="66">
        <v>660</v>
      </c>
      <c r="I238" s="36"/>
      <c r="J238" s="74">
        <f t="shared" si="5"/>
        <v>1.5417524792080664</v>
      </c>
      <c r="L238" s="79"/>
      <c r="M238" s="79"/>
      <c r="N238" s="36"/>
    </row>
    <row r="239" spans="1:20" s="67" customFormat="1" x14ac:dyDescent="0.35">
      <c r="A239" s="80" t="s">
        <v>339</v>
      </c>
      <c r="B239" s="81"/>
      <c r="C239" s="81"/>
      <c r="D239" s="81"/>
      <c r="E239" s="81"/>
      <c r="F239" s="81"/>
      <c r="G239" s="81"/>
      <c r="H239" s="82"/>
      <c r="J239" s="74" t="e">
        <f t="shared" si="5"/>
        <v>#DIV/0!</v>
      </c>
    </row>
    <row r="240" spans="1:20" s="67" customFormat="1" ht="15.75" customHeight="1" x14ac:dyDescent="0.35">
      <c r="A240" s="83">
        <v>1</v>
      </c>
      <c r="B240" s="84"/>
      <c r="C240" s="66" t="s">
        <v>337</v>
      </c>
      <c r="D240" s="66">
        <f>(31.29)*10.764</f>
        <v>336.80555999999996</v>
      </c>
      <c r="E240" s="66">
        <f>(0.75*(2.75+2.1+2.75))*10.764</f>
        <v>61.35479999999999</v>
      </c>
      <c r="F240" s="66">
        <f>D240+E240</f>
        <v>398.16035999999997</v>
      </c>
      <c r="G240" s="66">
        <v>0</v>
      </c>
      <c r="H240" s="66">
        <v>625</v>
      </c>
      <c r="I240" s="36"/>
      <c r="J240" s="67">
        <f>H240/F240</f>
        <v>1.5697192960142994</v>
      </c>
      <c r="L240" s="79"/>
      <c r="M240" s="79"/>
      <c r="N240" s="36"/>
      <c r="T240" s="21"/>
    </row>
    <row r="241" spans="1:20" s="67" customFormat="1" ht="15.75" customHeight="1" x14ac:dyDescent="0.35">
      <c r="A241" s="83">
        <f>A240+1</f>
        <v>2</v>
      </c>
      <c r="B241" s="84"/>
      <c r="C241" s="66" t="s">
        <v>337</v>
      </c>
      <c r="D241" s="66">
        <f>(31.29)*10.764</f>
        <v>336.80555999999996</v>
      </c>
      <c r="E241" s="66">
        <f>(0.75*(2.75+2.1+2.75))*10.764</f>
        <v>61.35479999999999</v>
      </c>
      <c r="F241" s="66">
        <f>D241+E241</f>
        <v>398.16035999999997</v>
      </c>
      <c r="G241" s="66">
        <v>0</v>
      </c>
      <c r="H241" s="66">
        <v>625</v>
      </c>
      <c r="I241" s="36"/>
      <c r="J241" s="74">
        <f t="shared" ref="J241:J257" si="21">H241/F241</f>
        <v>1.5697192960142994</v>
      </c>
      <c r="L241" s="79"/>
      <c r="M241" s="79"/>
      <c r="N241" s="36"/>
    </row>
    <row r="242" spans="1:20" s="67" customFormat="1" ht="15.75" customHeight="1" x14ac:dyDescent="0.35">
      <c r="A242" s="83">
        <f>A241+1</f>
        <v>3</v>
      </c>
      <c r="B242" s="84"/>
      <c r="C242" s="66" t="s">
        <v>337</v>
      </c>
      <c r="D242" s="66">
        <f>(31.29)*10.764</f>
        <v>336.80555999999996</v>
      </c>
      <c r="E242" s="66">
        <f>(0.75*(2.75+2.1+2.75))*10.764</f>
        <v>61.35479999999999</v>
      </c>
      <c r="F242" s="66">
        <f>D242+E242</f>
        <v>398.16035999999997</v>
      </c>
      <c r="G242" s="66">
        <v>0</v>
      </c>
      <c r="H242" s="66">
        <v>625</v>
      </c>
      <c r="I242" s="36"/>
      <c r="J242" s="74">
        <f t="shared" si="21"/>
        <v>1.5697192960142994</v>
      </c>
      <c r="L242" s="79"/>
      <c r="M242" s="79"/>
      <c r="N242" s="36"/>
    </row>
    <row r="243" spans="1:20" s="67" customFormat="1" ht="15.75" customHeight="1" x14ac:dyDescent="0.35">
      <c r="A243" s="83">
        <f>A242+1</f>
        <v>4</v>
      </c>
      <c r="B243" s="84"/>
      <c r="C243" s="66" t="s">
        <v>338</v>
      </c>
      <c r="D243" s="66">
        <f>(47.85)*10.764</f>
        <v>515.05740000000003</v>
      </c>
      <c r="E243" s="66">
        <f>(0.75*(2.75+2.1+3.05+2.75))*10.764</f>
        <v>85.97744999999999</v>
      </c>
      <c r="F243" s="66">
        <f>D243+E243</f>
        <v>601.03485000000001</v>
      </c>
      <c r="G243" s="66">
        <v>0</v>
      </c>
      <c r="H243" s="66">
        <v>960</v>
      </c>
      <c r="I243" s="36"/>
      <c r="J243" s="74">
        <f t="shared" si="21"/>
        <v>1.5972451514250796</v>
      </c>
      <c r="L243" s="79"/>
      <c r="M243" s="79"/>
      <c r="N243" s="36"/>
    </row>
    <row r="244" spans="1:20" s="67" customFormat="1" ht="15.75" customHeight="1" x14ac:dyDescent="0.35">
      <c r="A244" s="83">
        <f t="shared" ref="A244:A247" si="22">A243+1</f>
        <v>5</v>
      </c>
      <c r="B244" s="84"/>
      <c r="C244" s="66" t="s">
        <v>338</v>
      </c>
      <c r="D244" s="66">
        <f>(47.85)*10.764</f>
        <v>515.05740000000003</v>
      </c>
      <c r="E244" s="66">
        <f>(0.75*(2.75+2.1+3.05+2.75))*10.764</f>
        <v>85.97744999999999</v>
      </c>
      <c r="F244" s="66">
        <f t="shared" ref="F244:F247" si="23">D244+E244</f>
        <v>601.03485000000001</v>
      </c>
      <c r="G244" s="66">
        <v>0</v>
      </c>
      <c r="H244" s="66">
        <v>960</v>
      </c>
      <c r="I244" s="36"/>
      <c r="J244" s="74">
        <f t="shared" si="21"/>
        <v>1.5972451514250796</v>
      </c>
      <c r="L244" s="79"/>
      <c r="M244" s="79"/>
      <c r="N244" s="36"/>
    </row>
    <row r="245" spans="1:20" s="67" customFormat="1" ht="15.75" customHeight="1" x14ac:dyDescent="0.35">
      <c r="A245" s="83">
        <f t="shared" si="22"/>
        <v>6</v>
      </c>
      <c r="B245" s="84"/>
      <c r="C245" s="66" t="s">
        <v>338</v>
      </c>
      <c r="D245" s="66">
        <f>(47.85)*10.764</f>
        <v>515.05740000000003</v>
      </c>
      <c r="E245" s="66">
        <f>(0.75*(2.75+2.1+3.05+2.75))*10.764</f>
        <v>85.97744999999999</v>
      </c>
      <c r="F245" s="66">
        <f t="shared" si="23"/>
        <v>601.03485000000001</v>
      </c>
      <c r="G245" s="66">
        <v>0</v>
      </c>
      <c r="H245" s="66">
        <v>960</v>
      </c>
      <c r="I245" s="36"/>
      <c r="J245" s="74">
        <f t="shared" si="21"/>
        <v>1.5972451514250796</v>
      </c>
      <c r="L245" s="79"/>
      <c r="M245" s="79"/>
      <c r="N245" s="36"/>
    </row>
    <row r="246" spans="1:20" s="67" customFormat="1" ht="15.75" customHeight="1" x14ac:dyDescent="0.35">
      <c r="A246" s="83">
        <f t="shared" si="22"/>
        <v>7</v>
      </c>
      <c r="B246" s="84"/>
      <c r="C246" s="66" t="s">
        <v>337</v>
      </c>
      <c r="D246" s="66">
        <f>(34.07)*10.764</f>
        <v>366.72947999999997</v>
      </c>
      <c r="E246" s="66">
        <f>(0.75*(2.75+2.1+2.75))*10.764</f>
        <v>61.35479999999999</v>
      </c>
      <c r="F246" s="66">
        <f t="shared" si="23"/>
        <v>428.08427999999998</v>
      </c>
      <c r="G246" s="66">
        <v>0</v>
      </c>
      <c r="H246" s="66">
        <v>660</v>
      </c>
      <c r="I246" s="36"/>
      <c r="J246" s="74">
        <f t="shared" si="21"/>
        <v>1.5417524792080664</v>
      </c>
      <c r="L246" s="79"/>
      <c r="M246" s="79"/>
      <c r="N246" s="36"/>
    </row>
    <row r="247" spans="1:20" s="67" customFormat="1" ht="15.75" customHeight="1" x14ac:dyDescent="0.35">
      <c r="A247" s="83">
        <f t="shared" si="22"/>
        <v>8</v>
      </c>
      <c r="B247" s="84"/>
      <c r="C247" s="66" t="s">
        <v>337</v>
      </c>
      <c r="D247" s="66">
        <f>(34.07)*10.764</f>
        <v>366.72947999999997</v>
      </c>
      <c r="E247" s="66">
        <f>(0.75*(2.75+2.1+2.75))*10.764</f>
        <v>61.35479999999999</v>
      </c>
      <c r="F247" s="66">
        <f t="shared" si="23"/>
        <v>428.08427999999998</v>
      </c>
      <c r="G247" s="66">
        <v>0</v>
      </c>
      <c r="H247" s="66">
        <v>660</v>
      </c>
      <c r="I247" s="36"/>
      <c r="J247" s="74">
        <f t="shared" si="21"/>
        <v>1.5417524792080664</v>
      </c>
      <c r="L247" s="79"/>
      <c r="M247" s="79"/>
      <c r="N247" s="36"/>
    </row>
    <row r="248" spans="1:20" s="67" customFormat="1" x14ac:dyDescent="0.35">
      <c r="A248" s="80" t="s">
        <v>348</v>
      </c>
      <c r="B248" s="81"/>
      <c r="C248" s="81"/>
      <c r="D248" s="81"/>
      <c r="E248" s="81"/>
      <c r="F248" s="81"/>
      <c r="G248" s="81"/>
      <c r="H248" s="82"/>
      <c r="J248" s="74" t="e">
        <f t="shared" si="21"/>
        <v>#DIV/0!</v>
      </c>
    </row>
    <row r="249" spans="1:20" s="67" customFormat="1" ht="15.75" customHeight="1" x14ac:dyDescent="0.35">
      <c r="A249" s="83">
        <v>1</v>
      </c>
      <c r="B249" s="84"/>
      <c r="C249" s="66" t="s">
        <v>337</v>
      </c>
      <c r="D249" s="66">
        <f>(31.29)*10.764</f>
        <v>336.80555999999996</v>
      </c>
      <c r="E249" s="66">
        <f>(0.75*(2.75+2.1+2.75))*10.764</f>
        <v>61.35479999999999</v>
      </c>
      <c r="F249" s="66">
        <f>D249+E249</f>
        <v>398.16035999999997</v>
      </c>
      <c r="G249" s="66">
        <v>0</v>
      </c>
      <c r="H249" s="66">
        <v>625</v>
      </c>
      <c r="I249" s="36"/>
      <c r="J249" s="74">
        <f t="shared" si="21"/>
        <v>1.5697192960142994</v>
      </c>
      <c r="L249" s="79"/>
      <c r="M249" s="79"/>
      <c r="N249" s="36"/>
      <c r="T249" s="21"/>
    </row>
    <row r="250" spans="1:20" s="67" customFormat="1" ht="15.75" customHeight="1" x14ac:dyDescent="0.35">
      <c r="A250" s="83">
        <f>A249+1</f>
        <v>2</v>
      </c>
      <c r="B250" s="84"/>
      <c r="C250" s="66" t="s">
        <v>337</v>
      </c>
      <c r="D250" s="66">
        <f>(31.29)*10.764</f>
        <v>336.80555999999996</v>
      </c>
      <c r="E250" s="66">
        <f>(0.75*(2.75+2.1+2.75))*10.764</f>
        <v>61.35479999999999</v>
      </c>
      <c r="F250" s="66">
        <f>D250+E250</f>
        <v>398.16035999999997</v>
      </c>
      <c r="G250" s="66">
        <v>0</v>
      </c>
      <c r="H250" s="66">
        <v>625</v>
      </c>
      <c r="I250" s="36"/>
      <c r="J250" s="74">
        <f t="shared" si="21"/>
        <v>1.5697192960142994</v>
      </c>
      <c r="L250" s="79"/>
      <c r="M250" s="79"/>
      <c r="N250" s="36"/>
    </row>
    <row r="251" spans="1:20" s="67" customFormat="1" ht="15.75" customHeight="1" x14ac:dyDescent="0.35">
      <c r="A251" s="83">
        <f>A250+1</f>
        <v>3</v>
      </c>
      <c r="B251" s="84"/>
      <c r="C251" s="66" t="s">
        <v>337</v>
      </c>
      <c r="D251" s="66">
        <f>(31.29)*10.764</f>
        <v>336.80555999999996</v>
      </c>
      <c r="E251" s="66">
        <f>(0.75*(2.75+2.1+2.75))*10.764</f>
        <v>61.35479999999999</v>
      </c>
      <c r="F251" s="66">
        <f>D251+E251</f>
        <v>398.16035999999997</v>
      </c>
      <c r="G251" s="66">
        <v>0</v>
      </c>
      <c r="H251" s="66">
        <v>625</v>
      </c>
      <c r="I251" s="36"/>
      <c r="J251" s="74">
        <f>H251/F251</f>
        <v>1.5697192960142994</v>
      </c>
      <c r="L251" s="79"/>
      <c r="M251" s="79"/>
      <c r="N251" s="36"/>
    </row>
    <row r="252" spans="1:20" s="67" customFormat="1" ht="15.75" customHeight="1" x14ac:dyDescent="0.35">
      <c r="A252" s="83">
        <f>A251+1</f>
        <v>4</v>
      </c>
      <c r="B252" s="84"/>
      <c r="C252" s="66" t="s">
        <v>338</v>
      </c>
      <c r="D252" s="66">
        <f>(47.85)*10.764</f>
        <v>515.05740000000003</v>
      </c>
      <c r="E252" s="66">
        <f>(0.75*(2.75+2.1+3.05+2.75))*10.764</f>
        <v>85.97744999999999</v>
      </c>
      <c r="F252" s="66">
        <f>D252+E252</f>
        <v>601.03485000000001</v>
      </c>
      <c r="G252" s="66">
        <v>0</v>
      </c>
      <c r="H252" s="66">
        <v>960</v>
      </c>
      <c r="I252" s="36"/>
      <c r="J252" s="74">
        <f t="shared" si="21"/>
        <v>1.5972451514250796</v>
      </c>
      <c r="L252" s="79"/>
      <c r="M252" s="79"/>
      <c r="N252" s="36"/>
    </row>
    <row r="253" spans="1:20" s="67" customFormat="1" ht="15.75" customHeight="1" x14ac:dyDescent="0.35">
      <c r="A253" s="83">
        <f t="shared" ref="A253:A257" si="24">A252+1</f>
        <v>5</v>
      </c>
      <c r="B253" s="84"/>
      <c r="C253" s="66" t="s">
        <v>338</v>
      </c>
      <c r="D253" s="66">
        <f>(47.85)*10.764</f>
        <v>515.05740000000003</v>
      </c>
      <c r="E253" s="66">
        <f>(0.75*(2.75+2.1+3.05+2.75))*10.764</f>
        <v>85.97744999999999</v>
      </c>
      <c r="F253" s="66">
        <f t="shared" ref="F253:F257" si="25">D253+E253</f>
        <v>601.03485000000001</v>
      </c>
      <c r="G253" s="66">
        <v>0</v>
      </c>
      <c r="H253" s="66">
        <v>960</v>
      </c>
      <c r="I253" s="36"/>
      <c r="J253" s="74">
        <f t="shared" si="21"/>
        <v>1.5972451514250796</v>
      </c>
      <c r="L253" s="79"/>
      <c r="M253" s="79"/>
      <c r="N253" s="36"/>
    </row>
    <row r="254" spans="1:20" s="71" customFormat="1" ht="15.75" customHeight="1" x14ac:dyDescent="0.35">
      <c r="A254" s="83" t="s">
        <v>344</v>
      </c>
      <c r="B254" s="84"/>
      <c r="C254" s="83" t="s">
        <v>349</v>
      </c>
      <c r="D254" s="86"/>
      <c r="E254" s="86"/>
      <c r="F254" s="86"/>
      <c r="G254" s="86"/>
      <c r="H254" s="84"/>
      <c r="I254" s="36"/>
      <c r="J254" s="74" t="e">
        <f t="shared" si="21"/>
        <v>#DIV/0!</v>
      </c>
      <c r="L254" s="79"/>
      <c r="M254" s="79"/>
      <c r="N254" s="36"/>
    </row>
    <row r="255" spans="1:20" s="67" customFormat="1" ht="15.75" customHeight="1" x14ac:dyDescent="0.35">
      <c r="A255" s="83">
        <f>A253+1</f>
        <v>6</v>
      </c>
      <c r="B255" s="84"/>
      <c r="C255" s="66" t="s">
        <v>338</v>
      </c>
      <c r="D255" s="66">
        <f>(47.85)*10.764</f>
        <v>515.05740000000003</v>
      </c>
      <c r="E255" s="66">
        <f>(0.75*(2.75+2.1+3.05+2.75))*10.764</f>
        <v>85.97744999999999</v>
      </c>
      <c r="F255" s="66">
        <f t="shared" si="25"/>
        <v>601.03485000000001</v>
      </c>
      <c r="G255" s="66">
        <v>0</v>
      </c>
      <c r="H255" s="66">
        <v>960</v>
      </c>
      <c r="I255" s="36"/>
      <c r="J255" s="74">
        <f t="shared" si="21"/>
        <v>1.5972451514250796</v>
      </c>
      <c r="L255" s="79"/>
      <c r="M255" s="79"/>
      <c r="N255" s="36"/>
    </row>
    <row r="256" spans="1:20" s="67" customFormat="1" ht="15.75" customHeight="1" x14ac:dyDescent="0.35">
      <c r="A256" s="83">
        <f t="shared" si="24"/>
        <v>7</v>
      </c>
      <c r="B256" s="84"/>
      <c r="C256" s="66" t="s">
        <v>337</v>
      </c>
      <c r="D256" s="66">
        <f>(34.07)*10.764</f>
        <v>366.72947999999997</v>
      </c>
      <c r="E256" s="66">
        <f>(0.75*(2.75+2.1+2.75))*10.764</f>
        <v>61.35479999999999</v>
      </c>
      <c r="F256" s="66">
        <f t="shared" si="25"/>
        <v>428.08427999999998</v>
      </c>
      <c r="G256" s="66">
        <v>0</v>
      </c>
      <c r="H256" s="66">
        <v>660</v>
      </c>
      <c r="I256" s="36"/>
      <c r="J256" s="74">
        <f t="shared" si="21"/>
        <v>1.5417524792080664</v>
      </c>
      <c r="L256" s="79"/>
      <c r="M256" s="79"/>
      <c r="N256" s="36"/>
    </row>
    <row r="257" spans="1:20" s="67" customFormat="1" x14ac:dyDescent="0.35">
      <c r="A257" s="83">
        <f t="shared" si="24"/>
        <v>8</v>
      </c>
      <c r="B257" s="84"/>
      <c r="C257" s="66" t="s">
        <v>337</v>
      </c>
      <c r="D257" s="66">
        <f>(34.07)*10.764</f>
        <v>366.72947999999997</v>
      </c>
      <c r="E257" s="66">
        <f>(0.75*(2.75+2.1+2.75))*10.764</f>
        <v>61.35479999999999</v>
      </c>
      <c r="F257" s="66">
        <f t="shared" si="25"/>
        <v>428.08427999999998</v>
      </c>
      <c r="G257" s="66">
        <v>0</v>
      </c>
      <c r="H257" s="66">
        <v>660</v>
      </c>
      <c r="I257" s="36"/>
      <c r="J257" s="74">
        <f t="shared" si="21"/>
        <v>1.5417524792080664</v>
      </c>
      <c r="L257" s="79"/>
      <c r="M257" s="79"/>
      <c r="N257" s="36"/>
    </row>
    <row r="258" spans="1:20" s="35" customFormat="1" x14ac:dyDescent="0.35">
      <c r="A258" s="232" t="s">
        <v>65</v>
      </c>
      <c r="B258" s="232"/>
      <c r="C258" s="232"/>
      <c r="D258" s="232"/>
      <c r="E258" s="232"/>
      <c r="F258" s="232"/>
      <c r="G258" s="232"/>
      <c r="H258" s="232"/>
      <c r="T258" s="37"/>
    </row>
    <row r="259" spans="1:20" s="35" customFormat="1" ht="46.5" customHeight="1" x14ac:dyDescent="0.35">
      <c r="A259" s="46">
        <v>1</v>
      </c>
      <c r="B259" s="123" t="s">
        <v>366</v>
      </c>
      <c r="C259" s="124"/>
      <c r="D259" s="124"/>
      <c r="E259" s="124"/>
      <c r="F259" s="124"/>
      <c r="G259" s="124"/>
      <c r="H259" s="125"/>
      <c r="T259" s="37"/>
    </row>
    <row r="260" spans="1:20" s="35" customFormat="1" x14ac:dyDescent="0.35">
      <c r="A260" s="46">
        <v>2</v>
      </c>
      <c r="B260" s="123" t="str">
        <f>(IF(H195="Saleable area Loading :","We have considered Saleable area of Flats as per our Calculation.","We considered Saleable area of Flat as per Builder area Sheet."))</f>
        <v>We considered Saleable area of Flat as per Builder area Sheet.</v>
      </c>
      <c r="C260" s="124"/>
      <c r="D260" s="124"/>
      <c r="E260" s="124"/>
      <c r="F260" s="124"/>
      <c r="G260" s="124"/>
      <c r="H260" s="125"/>
      <c r="T260" s="37"/>
    </row>
    <row r="261" spans="1:20" s="35" customFormat="1" x14ac:dyDescent="0.35">
      <c r="A261" s="46">
        <v>3</v>
      </c>
      <c r="B261" s="123" t="str">
        <f>(IF(H157="Saleable area Loading :","We have considered Saleable area of Commercial as per our Calculation.","We considered Saleable area of Commercial as per Builder area Sheet."))</f>
        <v>We have considered Saleable area of Commercial as per our Calculation.</v>
      </c>
      <c r="C261" s="124"/>
      <c r="D261" s="124"/>
      <c r="E261" s="124"/>
      <c r="F261" s="124"/>
      <c r="G261" s="124"/>
      <c r="H261" s="125"/>
    </row>
    <row r="262" spans="1:20" s="35" customFormat="1" x14ac:dyDescent="0.35">
      <c r="A262" s="46">
        <v>4</v>
      </c>
      <c r="B262" s="229" t="s">
        <v>120</v>
      </c>
      <c r="C262" s="230"/>
      <c r="D262" s="230"/>
      <c r="E262" s="230"/>
      <c r="F262" s="230"/>
      <c r="G262" s="230"/>
      <c r="H262" s="231"/>
    </row>
    <row r="263" spans="1:20" s="35" customFormat="1" x14ac:dyDescent="0.35">
      <c r="A263" s="46">
        <v>5</v>
      </c>
      <c r="B263" s="229" t="s">
        <v>342</v>
      </c>
      <c r="C263" s="230"/>
      <c r="D263" s="230"/>
      <c r="E263" s="230"/>
      <c r="F263" s="230"/>
      <c r="G263" s="230"/>
      <c r="H263" s="231"/>
    </row>
    <row r="264" spans="1:20" s="35" customFormat="1" x14ac:dyDescent="0.35">
      <c r="A264" s="46">
        <v>6</v>
      </c>
      <c r="B264" s="229" t="s">
        <v>149</v>
      </c>
      <c r="C264" s="230"/>
      <c r="D264" s="230"/>
      <c r="E264" s="230"/>
      <c r="F264" s="230"/>
      <c r="G264" s="230"/>
      <c r="H264" s="231"/>
    </row>
    <row r="265" spans="1:20" s="35" customFormat="1" x14ac:dyDescent="0.35">
      <c r="A265" s="46">
        <v>7</v>
      </c>
      <c r="B265" s="229" t="s">
        <v>121</v>
      </c>
      <c r="C265" s="230"/>
      <c r="D265" s="230"/>
      <c r="E265" s="230"/>
      <c r="F265" s="230"/>
      <c r="G265" s="230"/>
      <c r="H265" s="231"/>
    </row>
    <row r="266" spans="1:20" s="35" customFormat="1" ht="34.5" hidden="1" customHeight="1" x14ac:dyDescent="0.35">
      <c r="A266" s="46" t="s">
        <v>150</v>
      </c>
      <c r="B266" s="229" t="s">
        <v>151</v>
      </c>
      <c r="C266" s="230"/>
      <c r="D266" s="230"/>
      <c r="E266" s="230"/>
      <c r="F266" s="230"/>
      <c r="G266" s="230"/>
      <c r="H266" s="231"/>
    </row>
    <row r="267" spans="1:20" s="35" customFormat="1" x14ac:dyDescent="0.35">
      <c r="A267" s="46">
        <v>8</v>
      </c>
      <c r="B267" s="229" t="s">
        <v>122</v>
      </c>
      <c r="C267" s="230"/>
      <c r="D267" s="230"/>
      <c r="E267" s="230"/>
      <c r="F267" s="230"/>
      <c r="G267" s="230"/>
      <c r="H267" s="231"/>
    </row>
    <row r="268" spans="1:20" s="35" customFormat="1" x14ac:dyDescent="0.35">
      <c r="A268" s="75">
        <v>9</v>
      </c>
      <c r="B268" s="130" t="s">
        <v>357</v>
      </c>
      <c r="C268" s="131"/>
      <c r="D268" s="131"/>
      <c r="E268" s="131"/>
      <c r="F268" s="131"/>
      <c r="G268" s="131"/>
      <c r="H268" s="132"/>
    </row>
    <row r="269" spans="1:20" s="35" customFormat="1" ht="50.25" customHeight="1" x14ac:dyDescent="0.35">
      <c r="A269" s="56">
        <v>10</v>
      </c>
      <c r="B269" s="123" t="s">
        <v>363</v>
      </c>
      <c r="C269" s="124"/>
      <c r="D269" s="124"/>
      <c r="E269" s="124"/>
      <c r="F269" s="124"/>
      <c r="G269" s="124"/>
      <c r="H269" s="125"/>
    </row>
    <row r="270" spans="1:20" x14ac:dyDescent="0.35">
      <c r="A270" s="145" t="s">
        <v>58</v>
      </c>
      <c r="B270" s="145"/>
      <c r="C270" s="145"/>
      <c r="D270" s="145"/>
      <c r="E270" s="145"/>
      <c r="F270" s="145"/>
      <c r="G270" s="145"/>
      <c r="H270" s="145"/>
      <c r="T270" s="35"/>
    </row>
    <row r="271" spans="1:20" x14ac:dyDescent="0.35">
      <c r="A271" s="96" t="s">
        <v>59</v>
      </c>
      <c r="B271" s="96"/>
      <c r="C271" s="96"/>
      <c r="D271" s="96"/>
      <c r="E271" s="96"/>
      <c r="F271" s="96"/>
      <c r="G271" s="96"/>
      <c r="H271" s="96"/>
      <c r="T271" s="35"/>
    </row>
    <row r="272" spans="1:20" ht="15.75" customHeight="1" x14ac:dyDescent="0.35">
      <c r="A272" s="117" t="s">
        <v>60</v>
      </c>
      <c r="B272" s="117"/>
      <c r="C272" s="117"/>
      <c r="D272" s="117"/>
      <c r="E272" s="117"/>
      <c r="F272" s="117"/>
      <c r="G272" s="117"/>
      <c r="H272" s="117"/>
      <c r="T272" s="35"/>
    </row>
    <row r="273" spans="1:8" x14ac:dyDescent="0.35">
      <c r="A273" s="96" t="s">
        <v>61</v>
      </c>
      <c r="B273" s="96"/>
      <c r="C273" s="96"/>
      <c r="D273" s="96"/>
      <c r="E273" s="96"/>
      <c r="F273" s="96"/>
      <c r="G273" s="96"/>
      <c r="H273" s="96"/>
    </row>
    <row r="274" spans="1:8" x14ac:dyDescent="0.35">
      <c r="A274" s="96" t="s">
        <v>62</v>
      </c>
      <c r="B274" s="96"/>
      <c r="C274" s="96"/>
      <c r="D274" s="96"/>
      <c r="E274" s="96"/>
      <c r="F274" s="96"/>
      <c r="G274" s="96"/>
      <c r="H274" s="96"/>
    </row>
    <row r="275" spans="1:8" x14ac:dyDescent="0.35">
      <c r="A275" s="96" t="s">
        <v>123</v>
      </c>
      <c r="B275" s="96"/>
      <c r="C275" s="96"/>
      <c r="D275" s="96"/>
      <c r="E275" s="96"/>
      <c r="F275" s="96"/>
      <c r="G275" s="96"/>
      <c r="H275" s="96"/>
    </row>
    <row r="276" spans="1:8" ht="34" customHeight="1" x14ac:dyDescent="0.35">
      <c r="A276" s="104" t="s">
        <v>124</v>
      </c>
      <c r="B276" s="104"/>
      <c r="C276" s="104"/>
      <c r="D276" s="104"/>
      <c r="E276" s="104"/>
      <c r="F276" s="104"/>
      <c r="G276" s="104"/>
      <c r="H276" s="104"/>
    </row>
    <row r="277" spans="1:8" x14ac:dyDescent="0.35">
      <c r="A277" s="173" t="s">
        <v>74</v>
      </c>
      <c r="B277" s="173"/>
      <c r="C277" s="173" t="s">
        <v>367</v>
      </c>
      <c r="D277" s="173"/>
      <c r="E277" s="173" t="s">
        <v>104</v>
      </c>
      <c r="F277" s="173"/>
      <c r="G277" s="173" t="s">
        <v>369</v>
      </c>
      <c r="H277" s="173"/>
    </row>
    <row r="278" spans="1:8" x14ac:dyDescent="0.35">
      <c r="A278" s="172" t="s">
        <v>76</v>
      </c>
      <c r="B278" s="172"/>
      <c r="C278" s="172"/>
      <c r="D278" s="172"/>
      <c r="E278" s="172"/>
      <c r="F278" s="172"/>
      <c r="G278" s="172"/>
      <c r="H278" s="172"/>
    </row>
    <row r="279" spans="1:8" x14ac:dyDescent="0.35">
      <c r="A279" s="172"/>
      <c r="B279" s="172"/>
      <c r="C279" s="172"/>
      <c r="D279" s="172"/>
      <c r="E279" s="172"/>
      <c r="F279" s="172"/>
      <c r="G279" s="172"/>
      <c r="H279" s="172"/>
    </row>
    <row r="280" spans="1:8" x14ac:dyDescent="0.35">
      <c r="A280" s="172"/>
      <c r="B280" s="172"/>
      <c r="C280" s="172"/>
      <c r="D280" s="172"/>
      <c r="E280" s="172"/>
      <c r="F280" s="172"/>
      <c r="G280" s="172"/>
      <c r="H280" s="172"/>
    </row>
    <row r="281" spans="1:8" x14ac:dyDescent="0.35">
      <c r="A281" s="172"/>
      <c r="B281" s="172"/>
      <c r="C281" s="172"/>
      <c r="D281" s="172"/>
      <c r="E281" s="172"/>
      <c r="F281" s="172"/>
      <c r="G281" s="172"/>
      <c r="H281" s="172"/>
    </row>
    <row r="282" spans="1:8" x14ac:dyDescent="0.35">
      <c r="A282" s="38" t="s">
        <v>63</v>
      </c>
      <c r="B282" s="39"/>
      <c r="C282" s="39"/>
      <c r="D282" s="38" t="str">
        <f>E9</f>
        <v>SM Emerald</v>
      </c>
      <c r="F282" s="39"/>
      <c r="G282" s="39"/>
      <c r="H282" s="39"/>
    </row>
    <row r="283" spans="1:8" x14ac:dyDescent="0.35">
      <c r="A283" s="39"/>
      <c r="B283" s="39"/>
      <c r="C283" s="39"/>
      <c r="D283" s="39"/>
      <c r="E283" s="39"/>
      <c r="F283" s="39"/>
      <c r="G283" s="39"/>
      <c r="H283" s="39"/>
    </row>
    <row r="284" spans="1:8" x14ac:dyDescent="0.35">
      <c r="A284" s="39"/>
      <c r="B284" s="39"/>
      <c r="C284" s="39"/>
      <c r="D284" s="39"/>
      <c r="E284" s="39"/>
      <c r="F284" s="39"/>
      <c r="G284" s="39"/>
      <c r="H284" s="39"/>
    </row>
    <row r="285" spans="1:8" ht="15" customHeight="1" x14ac:dyDescent="0.35"/>
    <row r="325" spans="1:1" x14ac:dyDescent="0.35">
      <c r="A325" s="41" t="s">
        <v>161</v>
      </c>
    </row>
    <row r="365" spans="1:1" x14ac:dyDescent="0.35">
      <c r="A365" s="41" t="s">
        <v>364</v>
      </c>
    </row>
    <row r="409" spans="1:1" x14ac:dyDescent="0.35">
      <c r="A409" s="41" t="s">
        <v>64</v>
      </c>
    </row>
  </sheetData>
  <mergeCells count="518">
    <mergeCell ref="I11:L11"/>
    <mergeCell ref="G157:G158"/>
    <mergeCell ref="B266:H266"/>
    <mergeCell ref="A220:B220"/>
    <mergeCell ref="A225:B225"/>
    <mergeCell ref="A203:B203"/>
    <mergeCell ref="A194:H194"/>
    <mergeCell ref="B267:H267"/>
    <mergeCell ref="B265:H265"/>
    <mergeCell ref="B261:H261"/>
    <mergeCell ref="B259:H259"/>
    <mergeCell ref="B260:H260"/>
    <mergeCell ref="B262:H262"/>
    <mergeCell ref="B263:H263"/>
    <mergeCell ref="A258:H258"/>
    <mergeCell ref="B264:H264"/>
    <mergeCell ref="A230:H230"/>
    <mergeCell ref="A231:B231"/>
    <mergeCell ref="A243:B243"/>
    <mergeCell ref="A257:B257"/>
    <mergeCell ref="A129:B129"/>
    <mergeCell ref="A141:E141"/>
    <mergeCell ref="G153:H153"/>
    <mergeCell ref="C147:D147"/>
    <mergeCell ref="E147:F147"/>
    <mergeCell ref="G147:H147"/>
    <mergeCell ref="A148:B148"/>
    <mergeCell ref="C148:D148"/>
    <mergeCell ref="E148:F148"/>
    <mergeCell ref="G148:H148"/>
    <mergeCell ref="A152:B152"/>
    <mergeCell ref="A126:B126"/>
    <mergeCell ref="A128:B128"/>
    <mergeCell ref="A254:B254"/>
    <mergeCell ref="L254:M254"/>
    <mergeCell ref="C254:H254"/>
    <mergeCell ref="A121:B121"/>
    <mergeCell ref="A153:B153"/>
    <mergeCell ref="E153:F153"/>
    <mergeCell ref="C152:D152"/>
    <mergeCell ref="E152:F152"/>
    <mergeCell ref="G152:H152"/>
    <mergeCell ref="A164:B164"/>
    <mergeCell ref="G154:H154"/>
    <mergeCell ref="E150:F150"/>
    <mergeCell ref="A155:H155"/>
    <mergeCell ref="A195:A196"/>
    <mergeCell ref="C195:C196"/>
    <mergeCell ref="E154:F154"/>
    <mergeCell ref="A159:H159"/>
    <mergeCell ref="A160:H160"/>
    <mergeCell ref="A166:B166"/>
    <mergeCell ref="A171:B171"/>
    <mergeCell ref="A165:B165"/>
    <mergeCell ref="A219:H219"/>
    <mergeCell ref="C89:H89"/>
    <mergeCell ref="A91:B91"/>
    <mergeCell ref="C91:H91"/>
    <mergeCell ref="A92:B92"/>
    <mergeCell ref="E92:F92"/>
    <mergeCell ref="G92:H92"/>
    <mergeCell ref="A93:B93"/>
    <mergeCell ref="E93:F102"/>
    <mergeCell ref="G93:H102"/>
    <mergeCell ref="A94:B94"/>
    <mergeCell ref="A95:B95"/>
    <mergeCell ref="A96:B96"/>
    <mergeCell ref="A97:B97"/>
    <mergeCell ref="A98:B98"/>
    <mergeCell ref="A99:B99"/>
    <mergeCell ref="A100:B100"/>
    <mergeCell ref="A101:B101"/>
    <mergeCell ref="A102:B102"/>
    <mergeCell ref="A40:B40"/>
    <mergeCell ref="C40:H40"/>
    <mergeCell ref="F157:F158"/>
    <mergeCell ref="C146:D146"/>
    <mergeCell ref="E146:F146"/>
    <mergeCell ref="B157:B158"/>
    <mergeCell ref="A157:A158"/>
    <mergeCell ref="A80:B80"/>
    <mergeCell ref="A82:B82"/>
    <mergeCell ref="E78:F78"/>
    <mergeCell ref="A71:C71"/>
    <mergeCell ref="D71:H71"/>
    <mergeCell ref="A74:C74"/>
    <mergeCell ref="D74:H74"/>
    <mergeCell ref="A72:C72"/>
    <mergeCell ref="D73:H73"/>
    <mergeCell ref="A79:B79"/>
    <mergeCell ref="G78:H78"/>
    <mergeCell ref="D66:H66"/>
    <mergeCell ref="D157:D158"/>
    <mergeCell ref="A135:E135"/>
    <mergeCell ref="A77:B77"/>
    <mergeCell ref="A75:B75"/>
    <mergeCell ref="C75:H75"/>
    <mergeCell ref="A78:B78"/>
    <mergeCell ref="A49:B49"/>
    <mergeCell ref="C49:H49"/>
    <mergeCell ref="A122:B122"/>
    <mergeCell ref="A123:B123"/>
    <mergeCell ref="G107:H116"/>
    <mergeCell ref="A108:B108"/>
    <mergeCell ref="A109:B109"/>
    <mergeCell ref="A110:B110"/>
    <mergeCell ref="A81:B81"/>
    <mergeCell ref="G50:H50"/>
    <mergeCell ref="G58:H58"/>
    <mergeCell ref="G51:H51"/>
    <mergeCell ref="A52:B53"/>
    <mergeCell ref="C53:H53"/>
    <mergeCell ref="C52:E52"/>
    <mergeCell ref="A83:B83"/>
    <mergeCell ref="A70:C70"/>
    <mergeCell ref="D70:H70"/>
    <mergeCell ref="C77:H77"/>
    <mergeCell ref="G120:H120"/>
    <mergeCell ref="A119:B119"/>
    <mergeCell ref="A116:B116"/>
    <mergeCell ref="A89:B89"/>
    <mergeCell ref="A39:B39"/>
    <mergeCell ref="C39:H39"/>
    <mergeCell ref="A46:D46"/>
    <mergeCell ref="L165:M165"/>
    <mergeCell ref="L164:M164"/>
    <mergeCell ref="L163:M163"/>
    <mergeCell ref="L162:M162"/>
    <mergeCell ref="A86:B86"/>
    <mergeCell ref="C151:D151"/>
    <mergeCell ref="E151:F151"/>
    <mergeCell ref="G151:H151"/>
    <mergeCell ref="A132:E132"/>
    <mergeCell ref="A117:B117"/>
    <mergeCell ref="C117:H117"/>
    <mergeCell ref="A161:H161"/>
    <mergeCell ref="E157:E158"/>
    <mergeCell ref="A107:B107"/>
    <mergeCell ref="A47:D47"/>
    <mergeCell ref="A48:H48"/>
    <mergeCell ref="D64:H64"/>
    <mergeCell ref="A64:C64"/>
    <mergeCell ref="A85:B85"/>
    <mergeCell ref="C105:H105"/>
    <mergeCell ref="A45:D45"/>
    <mergeCell ref="A38:H38"/>
    <mergeCell ref="A37:B37"/>
    <mergeCell ref="C37:E37"/>
    <mergeCell ref="G121:H130"/>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106:B106"/>
    <mergeCell ref="E47:H47"/>
    <mergeCell ref="C57:H57"/>
    <mergeCell ref="C59:H59"/>
    <mergeCell ref="A105:B10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78:H281"/>
    <mergeCell ref="A277:B277"/>
    <mergeCell ref="E277:F277"/>
    <mergeCell ref="C277:D277"/>
    <mergeCell ref="G277:H277"/>
    <mergeCell ref="A144:H144"/>
    <mergeCell ref="A142:E142"/>
    <mergeCell ref="F142:H142"/>
    <mergeCell ref="A143:E143"/>
    <mergeCell ref="F143:H143"/>
    <mergeCell ref="A151:B151"/>
    <mergeCell ref="A146:B146"/>
    <mergeCell ref="A273:H273"/>
    <mergeCell ref="A149:H149"/>
    <mergeCell ref="A276:H276"/>
    <mergeCell ref="A274:H274"/>
    <mergeCell ref="A270:H270"/>
    <mergeCell ref="G150:H150"/>
    <mergeCell ref="C157:C158"/>
    <mergeCell ref="B195:B196"/>
    <mergeCell ref="A271:H271"/>
    <mergeCell ref="A201:B201"/>
    <mergeCell ref="A202:B202"/>
    <mergeCell ref="A200:B200"/>
    <mergeCell ref="E106:F106"/>
    <mergeCell ref="G106:H106"/>
    <mergeCell ref="A137:E137"/>
    <mergeCell ref="F137:H137"/>
    <mergeCell ref="A139:E139"/>
    <mergeCell ref="F134:H134"/>
    <mergeCell ref="A138:E138"/>
    <mergeCell ref="A124:B124"/>
    <mergeCell ref="A125:B125"/>
    <mergeCell ref="E107:F116"/>
    <mergeCell ref="A114:B114"/>
    <mergeCell ref="A115:B115"/>
    <mergeCell ref="E120:F120"/>
    <mergeCell ref="E121:F130"/>
    <mergeCell ref="F133:H133"/>
    <mergeCell ref="A133:E133"/>
    <mergeCell ref="F131:H131"/>
    <mergeCell ref="F136:H136"/>
    <mergeCell ref="A134:E134"/>
    <mergeCell ref="A131:E131"/>
    <mergeCell ref="F135:H135"/>
    <mergeCell ref="A136:E136"/>
    <mergeCell ref="C119:H119"/>
    <mergeCell ref="A120:B120"/>
    <mergeCell ref="A65:C67"/>
    <mergeCell ref="D65:H65"/>
    <mergeCell ref="D67:H67"/>
    <mergeCell ref="C51:E51"/>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C55:H55"/>
    <mergeCell ref="A275:H275"/>
    <mergeCell ref="A272:H272"/>
    <mergeCell ref="A150:B150"/>
    <mergeCell ref="D195:D196"/>
    <mergeCell ref="E195:E196"/>
    <mergeCell ref="A111:B111"/>
    <mergeCell ref="A112:B112"/>
    <mergeCell ref="A113:B113"/>
    <mergeCell ref="A127:B127"/>
    <mergeCell ref="F132:H132"/>
    <mergeCell ref="G146:H146"/>
    <mergeCell ref="A130:B130"/>
    <mergeCell ref="F138:H138"/>
    <mergeCell ref="C145:D145"/>
    <mergeCell ref="C153:D153"/>
    <mergeCell ref="A199:H199"/>
    <mergeCell ref="A162:B162"/>
    <mergeCell ref="B269:H269"/>
    <mergeCell ref="A154:B154"/>
    <mergeCell ref="C154:D154"/>
    <mergeCell ref="C235:H235"/>
    <mergeCell ref="A239:H239"/>
    <mergeCell ref="A240:B240"/>
    <mergeCell ref="B268:H268"/>
    <mergeCell ref="I15:P15"/>
    <mergeCell ref="F141:H141"/>
    <mergeCell ref="F139:H139"/>
    <mergeCell ref="A156:H156"/>
    <mergeCell ref="G145:H145"/>
    <mergeCell ref="A140:E140"/>
    <mergeCell ref="A163:B163"/>
    <mergeCell ref="A60:B60"/>
    <mergeCell ref="C60:E60"/>
    <mergeCell ref="D62:H62"/>
    <mergeCell ref="F140:H140"/>
    <mergeCell ref="E145:F145"/>
    <mergeCell ref="A145:B145"/>
    <mergeCell ref="A147:B147"/>
    <mergeCell ref="C150:D150"/>
    <mergeCell ref="D72:H72"/>
    <mergeCell ref="A73:C73"/>
    <mergeCell ref="E43:H43"/>
    <mergeCell ref="A43:D43"/>
    <mergeCell ref="A103:B103"/>
    <mergeCell ref="C103:H103"/>
    <mergeCell ref="A84:B84"/>
    <mergeCell ref="A50:B50"/>
    <mergeCell ref="C50:E50"/>
    <mergeCell ref="L166:M166"/>
    <mergeCell ref="A167:B167"/>
    <mergeCell ref="L167:M167"/>
    <mergeCell ref="A168:B168"/>
    <mergeCell ref="L168:M168"/>
    <mergeCell ref="A169:B169"/>
    <mergeCell ref="L169:M169"/>
    <mergeCell ref="A170:B170"/>
    <mergeCell ref="L170:M170"/>
    <mergeCell ref="L171:M171"/>
    <mergeCell ref="A172:B172"/>
    <mergeCell ref="L172:M172"/>
    <mergeCell ref="A173:B173"/>
    <mergeCell ref="L173:M173"/>
    <mergeCell ref="A174:B174"/>
    <mergeCell ref="L174:M174"/>
    <mergeCell ref="A175:B175"/>
    <mergeCell ref="L175:M175"/>
    <mergeCell ref="L176:M176"/>
    <mergeCell ref="A177:B177"/>
    <mergeCell ref="L177:M177"/>
    <mergeCell ref="A178:B178"/>
    <mergeCell ref="L178:M178"/>
    <mergeCell ref="A179:B179"/>
    <mergeCell ref="L179:M179"/>
    <mergeCell ref="A180:B180"/>
    <mergeCell ref="L180:M180"/>
    <mergeCell ref="A176:B176"/>
    <mergeCell ref="L181:M181"/>
    <mergeCell ref="A182:B182"/>
    <mergeCell ref="L182:M182"/>
    <mergeCell ref="A183:B183"/>
    <mergeCell ref="L183:M183"/>
    <mergeCell ref="A184:B184"/>
    <mergeCell ref="L184:M184"/>
    <mergeCell ref="A185:B185"/>
    <mergeCell ref="L185:M185"/>
    <mergeCell ref="A181:B181"/>
    <mergeCell ref="L186:M186"/>
    <mergeCell ref="A187:B187"/>
    <mergeCell ref="L187:M187"/>
    <mergeCell ref="A188:B188"/>
    <mergeCell ref="L188:M188"/>
    <mergeCell ref="A189:B189"/>
    <mergeCell ref="L189:M189"/>
    <mergeCell ref="A190:H190"/>
    <mergeCell ref="A191:H191"/>
    <mergeCell ref="A186:B186"/>
    <mergeCell ref="L192:M192"/>
    <mergeCell ref="A193:H193"/>
    <mergeCell ref="A198:H198"/>
    <mergeCell ref="A197:H197"/>
    <mergeCell ref="A204:B204"/>
    <mergeCell ref="L204:M204"/>
    <mergeCell ref="L203:M203"/>
    <mergeCell ref="L200:M200"/>
    <mergeCell ref="L201:M201"/>
    <mergeCell ref="L202:M202"/>
    <mergeCell ref="F195:F196"/>
    <mergeCell ref="G195:G196"/>
    <mergeCell ref="A192:B192"/>
    <mergeCell ref="L205:M205"/>
    <mergeCell ref="A206:B206"/>
    <mergeCell ref="L206:M206"/>
    <mergeCell ref="A207:B207"/>
    <mergeCell ref="L207:M207"/>
    <mergeCell ref="A208:B208"/>
    <mergeCell ref="L208:M208"/>
    <mergeCell ref="A209:H209"/>
    <mergeCell ref="A215:B215"/>
    <mergeCell ref="L215:M215"/>
    <mergeCell ref="A205:B205"/>
    <mergeCell ref="L216:M216"/>
    <mergeCell ref="A217:B217"/>
    <mergeCell ref="L217:M217"/>
    <mergeCell ref="A218:B218"/>
    <mergeCell ref="L218:M218"/>
    <mergeCell ref="C207:H207"/>
    <mergeCell ref="A210:B210"/>
    <mergeCell ref="L210:M210"/>
    <mergeCell ref="A211:B211"/>
    <mergeCell ref="L211:M211"/>
    <mergeCell ref="A212:B212"/>
    <mergeCell ref="L212:M212"/>
    <mergeCell ref="A213:B213"/>
    <mergeCell ref="L213:M213"/>
    <mergeCell ref="A214:B214"/>
    <mergeCell ref="L214:M214"/>
    <mergeCell ref="A216:B216"/>
    <mergeCell ref="L220:M220"/>
    <mergeCell ref="A221:B221"/>
    <mergeCell ref="L221:M221"/>
    <mergeCell ref="A222:B222"/>
    <mergeCell ref="L222:M222"/>
    <mergeCell ref="A223:B223"/>
    <mergeCell ref="L223:M223"/>
    <mergeCell ref="A224:B224"/>
    <mergeCell ref="L224:M224"/>
    <mergeCell ref="L225:M225"/>
    <mergeCell ref="A226:B226"/>
    <mergeCell ref="L226:M226"/>
    <mergeCell ref="A227:B227"/>
    <mergeCell ref="L227:M227"/>
    <mergeCell ref="A228:B228"/>
    <mergeCell ref="L228:M228"/>
    <mergeCell ref="A229:H229"/>
    <mergeCell ref="L229:M229"/>
    <mergeCell ref="L231:M231"/>
    <mergeCell ref="A232:B232"/>
    <mergeCell ref="L232:M232"/>
    <mergeCell ref="A233:B233"/>
    <mergeCell ref="L233:M233"/>
    <mergeCell ref="A242:B242"/>
    <mergeCell ref="L242:M242"/>
    <mergeCell ref="A234:B234"/>
    <mergeCell ref="L234:M234"/>
    <mergeCell ref="A235:B235"/>
    <mergeCell ref="L235:M235"/>
    <mergeCell ref="A236:B236"/>
    <mergeCell ref="L236:M236"/>
    <mergeCell ref="A237:B237"/>
    <mergeCell ref="L237:M237"/>
    <mergeCell ref="A238:B238"/>
    <mergeCell ref="L238:M238"/>
    <mergeCell ref="L240:M240"/>
    <mergeCell ref="A241:B241"/>
    <mergeCell ref="L241:M241"/>
    <mergeCell ref="L243:M243"/>
    <mergeCell ref="A244:B244"/>
    <mergeCell ref="L244:M244"/>
    <mergeCell ref="A245:B245"/>
    <mergeCell ref="L245:M245"/>
    <mergeCell ref="A246:B246"/>
    <mergeCell ref="L246:M246"/>
    <mergeCell ref="A247:B247"/>
    <mergeCell ref="L247:M247"/>
    <mergeCell ref="L257:M257"/>
    <mergeCell ref="A248:H248"/>
    <mergeCell ref="A249:B249"/>
    <mergeCell ref="L249:M249"/>
    <mergeCell ref="A250:B250"/>
    <mergeCell ref="L250:M250"/>
    <mergeCell ref="A251:B251"/>
    <mergeCell ref="L251:M251"/>
    <mergeCell ref="A252:B252"/>
    <mergeCell ref="L252:M252"/>
    <mergeCell ref="A253:B253"/>
    <mergeCell ref="L253:M253"/>
    <mergeCell ref="A255:B255"/>
    <mergeCell ref="L255:M255"/>
    <mergeCell ref="A256:B256"/>
    <mergeCell ref="L256:M256"/>
  </mergeCells>
  <dataValidations count="14">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57:E158">
      <formula1>"Attached Loft area,Attached Otla area,Attached Mezzanine area"</formula1>
    </dataValidation>
    <dataValidation type="list" allowBlank="1" showInputMessage="1" showErrorMessage="1" sqref="F131:H131">
      <formula1>"On Saleable Area,On Builtup Area,On Carpet Area,On Plot Area"</formula1>
    </dataValidation>
    <dataValidation type="list" allowBlank="1" showInputMessage="1" showErrorMessage="1" sqref="F142:H142">
      <formula1>OFFSET($S$131,1,MATCH($G20,$S$131:$W$131,0)-1,15,1)</formula1>
    </dataValidation>
    <dataValidation type="list" allowBlank="1" showInputMessage="1" showErrorMessage="1" sqref="B157:B158">
      <formula1>"Shop No. (Sale Plan),Sale / Rehab,Sale / Mhada"</formula1>
    </dataValidation>
    <dataValidation type="list" allowBlank="1" showInputMessage="1" showErrorMessage="1" sqref="B195:B19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95:E196">
      <formula1>"Fungible area,Balcony Area,Chajja Area,Cornice Area,AP Area,WS Area"</formula1>
    </dataValidation>
    <dataValidation type="list" allowBlank="1" showInputMessage="1" showErrorMessage="1" sqref="H158 H196">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4" max="16383" man="1"/>
    <brk id="281" max="7" man="1"/>
    <brk id="324" max="16383" man="1"/>
    <brk id="364" max="16383" man="1"/>
    <brk id="40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3" t="s">
        <v>105</v>
      </c>
      <c r="C3" s="233"/>
      <c r="D3" s="233"/>
      <c r="E3" s="233"/>
      <c r="F3" s="233"/>
      <c r="G3" s="233"/>
      <c r="H3" s="233"/>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7"/>
      <c r="C4" s="57" t="s">
        <v>11</v>
      </c>
      <c r="D4" s="58" t="s">
        <v>176</v>
      </c>
      <c r="E4" s="58" t="s">
        <v>186</v>
      </c>
      <c r="F4" s="58" t="s">
        <v>170</v>
      </c>
      <c r="G4" s="58" t="s">
        <v>191</v>
      </c>
      <c r="H4" s="58" t="s">
        <v>209</v>
      </c>
      <c r="J4" t="s">
        <v>191</v>
      </c>
      <c r="K4" t="s">
        <v>207</v>
      </c>
    </row>
    <row r="5" spans="2:11" x14ac:dyDescent="0.35">
      <c r="B5" s="57"/>
      <c r="C5" s="57"/>
      <c r="D5" s="58" t="s">
        <v>177</v>
      </c>
      <c r="E5" s="58" t="s">
        <v>184</v>
      </c>
      <c r="F5" s="58" t="s">
        <v>206</v>
      </c>
      <c r="G5" s="58" t="s">
        <v>192</v>
      </c>
      <c r="H5" s="58" t="s">
        <v>210</v>
      </c>
    </row>
    <row r="6" spans="2:11" x14ac:dyDescent="0.35">
      <c r="B6" s="57"/>
      <c r="C6" s="57"/>
      <c r="D6" s="58" t="s">
        <v>178</v>
      </c>
      <c r="E6" s="58" t="s">
        <v>185</v>
      </c>
      <c r="F6" s="58" t="s">
        <v>207</v>
      </c>
      <c r="G6" s="58" t="s">
        <v>193</v>
      </c>
      <c r="H6" s="58" t="s">
        <v>223</v>
      </c>
    </row>
    <row r="7" spans="2:11" x14ac:dyDescent="0.35">
      <c r="B7" s="57"/>
      <c r="C7" s="57"/>
      <c r="D7" s="58" t="s">
        <v>179</v>
      </c>
      <c r="E7" s="58" t="s">
        <v>187</v>
      </c>
      <c r="F7" s="58" t="s">
        <v>208</v>
      </c>
      <c r="G7" s="58" t="s">
        <v>194</v>
      </c>
      <c r="H7" s="58" t="s">
        <v>211</v>
      </c>
    </row>
    <row r="8" spans="2:11" x14ac:dyDescent="0.35">
      <c r="B8" s="57"/>
      <c r="C8" s="57"/>
      <c r="D8" s="58" t="s">
        <v>180</v>
      </c>
      <c r="E8" s="58" t="s">
        <v>188</v>
      </c>
      <c r="F8" s="58"/>
      <c r="G8" s="58" t="s">
        <v>195</v>
      </c>
      <c r="H8" s="58" t="s">
        <v>212</v>
      </c>
    </row>
    <row r="9" spans="2:11" x14ac:dyDescent="0.35">
      <c r="B9" s="57"/>
      <c r="C9" s="57"/>
      <c r="D9" s="58" t="s">
        <v>181</v>
      </c>
      <c r="E9" s="58" t="s">
        <v>186</v>
      </c>
      <c r="F9" s="58"/>
      <c r="G9" s="58" t="s">
        <v>196</v>
      </c>
      <c r="H9" s="58" t="s">
        <v>213</v>
      </c>
    </row>
    <row r="10" spans="2:11" x14ac:dyDescent="0.35">
      <c r="B10" s="57"/>
      <c r="C10" s="57"/>
      <c r="D10" s="58" t="s">
        <v>182</v>
      </c>
      <c r="E10" s="58" t="s">
        <v>189</v>
      </c>
      <c r="F10" s="58"/>
      <c r="G10" s="58" t="s">
        <v>197</v>
      </c>
      <c r="H10" s="58" t="s">
        <v>214</v>
      </c>
    </row>
    <row r="11" spans="2:11" x14ac:dyDescent="0.35">
      <c r="B11" s="57"/>
      <c r="C11" s="57"/>
      <c r="D11" s="58" t="s">
        <v>183</v>
      </c>
      <c r="E11" s="58" t="s">
        <v>190</v>
      </c>
      <c r="F11" s="58"/>
      <c r="G11" s="58" t="s">
        <v>198</v>
      </c>
      <c r="H11" s="58" t="s">
        <v>215</v>
      </c>
    </row>
    <row r="12" spans="2:11" x14ac:dyDescent="0.35">
      <c r="B12" s="57"/>
      <c r="C12" s="57"/>
      <c r="D12" s="58"/>
      <c r="E12" s="58"/>
      <c r="F12" s="58"/>
      <c r="G12" s="58" t="s">
        <v>199</v>
      </c>
      <c r="H12" s="58" t="s">
        <v>216</v>
      </c>
    </row>
    <row r="13" spans="2:11" x14ac:dyDescent="0.35">
      <c r="B13" s="57"/>
      <c r="C13" s="57"/>
      <c r="D13" s="58"/>
      <c r="E13" s="58"/>
      <c r="F13" s="58"/>
      <c r="G13" s="58" t="s">
        <v>200</v>
      </c>
      <c r="H13" s="58" t="s">
        <v>217</v>
      </c>
    </row>
    <row r="14" spans="2:11" x14ac:dyDescent="0.35">
      <c r="B14" s="57"/>
      <c r="C14" s="57"/>
      <c r="D14" s="58"/>
      <c r="E14" s="58"/>
      <c r="F14" s="58"/>
      <c r="G14" s="58" t="s">
        <v>201</v>
      </c>
      <c r="H14" s="58" t="s">
        <v>218</v>
      </c>
    </row>
    <row r="15" spans="2:11" x14ac:dyDescent="0.35">
      <c r="B15" s="57"/>
      <c r="C15" s="57"/>
      <c r="D15" s="58"/>
      <c r="E15" s="58"/>
      <c r="F15" s="58"/>
      <c r="G15" s="58" t="s">
        <v>202</v>
      </c>
      <c r="H15" s="58" t="s">
        <v>219</v>
      </c>
    </row>
    <row r="16" spans="2:11" x14ac:dyDescent="0.35">
      <c r="B16" s="57"/>
      <c r="C16" s="57"/>
      <c r="D16" s="58"/>
      <c r="E16" s="58"/>
      <c r="F16" s="58"/>
      <c r="G16" s="58" t="s">
        <v>203</v>
      </c>
      <c r="H16" s="58" t="s">
        <v>220</v>
      </c>
    </row>
    <row r="17" spans="2:8" x14ac:dyDescent="0.35">
      <c r="B17" s="57"/>
      <c r="C17" s="57"/>
      <c r="D17" s="58"/>
      <c r="E17" s="58"/>
      <c r="F17" s="58"/>
      <c r="G17" s="58" t="s">
        <v>204</v>
      </c>
      <c r="H17" s="58" t="s">
        <v>221</v>
      </c>
    </row>
    <row r="18" spans="2:8" x14ac:dyDescent="0.35">
      <c r="B18" s="57"/>
      <c r="C18" s="57"/>
      <c r="D18" s="58"/>
      <c r="E18" s="58"/>
      <c r="F18" s="58"/>
      <c r="G18" s="58" t="s">
        <v>205</v>
      </c>
      <c r="H18" s="58" t="s">
        <v>222</v>
      </c>
    </row>
    <row r="24" spans="2:8" x14ac:dyDescent="0.35">
      <c r="C24" t="s">
        <v>167</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167</v>
      </c>
    </row>
    <row r="33" spans="3:11" x14ac:dyDescent="0.35">
      <c r="J33">
        <v>1</v>
      </c>
      <c r="K33">
        <v>2</v>
      </c>
    </row>
    <row r="34" spans="3:11" x14ac:dyDescent="0.35">
      <c r="C34" s="61" t="s">
        <v>233</v>
      </c>
      <c r="D34" s="58" t="s">
        <v>231</v>
      </c>
      <c r="E34" s="58" t="s">
        <v>236</v>
      </c>
      <c r="F34" s="58" t="s">
        <v>234</v>
      </c>
      <c r="G34" s="58" t="s">
        <v>235</v>
      </c>
      <c r="H34" s="58" t="s">
        <v>237</v>
      </c>
      <c r="J34" t="s">
        <v>191</v>
      </c>
      <c r="K34" t="s">
        <v>207</v>
      </c>
    </row>
    <row r="35" spans="3:11" x14ac:dyDescent="0.35">
      <c r="C35" s="57" t="s">
        <v>232</v>
      </c>
      <c r="D35" s="58" t="s">
        <v>168</v>
      </c>
      <c r="E35" s="58" t="s">
        <v>241</v>
      </c>
      <c r="F35" s="58" t="s">
        <v>243</v>
      </c>
      <c r="G35" s="58" t="s">
        <v>245</v>
      </c>
      <c r="H35" s="58"/>
    </row>
    <row r="36" spans="3:11" x14ac:dyDescent="0.35">
      <c r="C36" s="57"/>
      <c r="D36" s="58" t="s">
        <v>238</v>
      </c>
      <c r="E36" s="58" t="s">
        <v>242</v>
      </c>
      <c r="F36" s="58" t="s">
        <v>244</v>
      </c>
      <c r="G36" s="58" t="s">
        <v>246</v>
      </c>
      <c r="H36" s="58"/>
    </row>
    <row r="37" spans="3:11" x14ac:dyDescent="0.35">
      <c r="C37" s="57"/>
      <c r="D37" s="58" t="s">
        <v>239</v>
      </c>
      <c r="E37" s="58"/>
      <c r="F37" s="58"/>
      <c r="G37" s="58" t="s">
        <v>247</v>
      </c>
      <c r="H37" s="58"/>
    </row>
    <row r="38" spans="3:11" x14ac:dyDescent="0.35">
      <c r="C38" s="57"/>
      <c r="D38" s="58" t="s">
        <v>240</v>
      </c>
      <c r="E38" s="58"/>
      <c r="F38" s="58"/>
      <c r="G38" s="58" t="s">
        <v>247</v>
      </c>
      <c r="H38" s="58"/>
    </row>
    <row r="39" spans="3:11" x14ac:dyDescent="0.35">
      <c r="C39" s="57"/>
      <c r="D39" s="58"/>
      <c r="E39" s="58"/>
      <c r="F39" s="58"/>
      <c r="G39" s="58" t="s">
        <v>248</v>
      </c>
      <c r="H39" s="58"/>
    </row>
    <row r="40" spans="3:11" x14ac:dyDescent="0.35">
      <c r="C40" s="57"/>
      <c r="D40" s="58"/>
      <c r="E40" s="58"/>
      <c r="F40" s="58"/>
      <c r="G40" s="58" t="s">
        <v>249</v>
      </c>
      <c r="H40" s="58"/>
    </row>
    <row r="41" spans="3:11" x14ac:dyDescent="0.35">
      <c r="C41" s="57"/>
      <c r="D41" s="58"/>
      <c r="E41" s="58"/>
      <c r="F41" s="58"/>
      <c r="G41" s="58"/>
      <c r="H41" s="58"/>
    </row>
    <row r="43" spans="3:11" x14ac:dyDescent="0.35">
      <c r="C43" t="s">
        <v>250</v>
      </c>
    </row>
    <row r="44" spans="3:11" x14ac:dyDescent="0.35">
      <c r="C44" t="s">
        <v>170</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176</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191</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186</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7" workbookViewId="0">
      <selection activeCell="C14" sqref="C14"/>
    </sheetView>
  </sheetViews>
  <sheetFormatPr defaultRowHeight="14.5" x14ac:dyDescent="0.35"/>
  <cols>
    <col min="2" max="2" width="3" bestFit="1" customWidth="1"/>
    <col min="3" max="3" width="167.1796875" customWidth="1"/>
  </cols>
  <sheetData>
    <row r="2" spans="2:3" ht="15" customHeight="1" x14ac:dyDescent="0.35">
      <c r="B2" s="62">
        <v>1</v>
      </c>
      <c r="C2" s="65" t="s">
        <v>281</v>
      </c>
    </row>
    <row r="3" spans="2:3" x14ac:dyDescent="0.35">
      <c r="B3" s="62">
        <v>2</v>
      </c>
      <c r="C3" s="63" t="s">
        <v>282</v>
      </c>
    </row>
    <row r="4" spans="2:3" x14ac:dyDescent="0.35">
      <c r="B4" s="62">
        <v>3</v>
      </c>
      <c r="C4" s="64" t="s">
        <v>283</v>
      </c>
    </row>
    <row r="5" spans="2:3" x14ac:dyDescent="0.35">
      <c r="B5" s="62">
        <v>4</v>
      </c>
      <c r="C5" s="63" t="s">
        <v>284</v>
      </c>
    </row>
    <row r="6" spans="2:3" x14ac:dyDescent="0.35">
      <c r="B6" s="62">
        <v>5</v>
      </c>
      <c r="C6" s="64" t="s">
        <v>285</v>
      </c>
    </row>
    <row r="7" spans="2:3" x14ac:dyDescent="0.35">
      <c r="B7" s="62">
        <v>6</v>
      </c>
      <c r="C7" s="63" t="s">
        <v>286</v>
      </c>
    </row>
    <row r="8" spans="2:3" ht="72.5" x14ac:dyDescent="0.35">
      <c r="B8" s="62">
        <v>7</v>
      </c>
      <c r="C8" s="63" t="s">
        <v>287</v>
      </c>
    </row>
    <row r="9" spans="2:3" x14ac:dyDescent="0.35">
      <c r="B9" s="62">
        <v>8</v>
      </c>
      <c r="C9" s="64" t="s">
        <v>288</v>
      </c>
    </row>
    <row r="10" spans="2:3" x14ac:dyDescent="0.35">
      <c r="B10" s="62">
        <v>9</v>
      </c>
      <c r="C10" s="64" t="s">
        <v>289</v>
      </c>
    </row>
    <row r="11" spans="2:3" x14ac:dyDescent="0.35">
      <c r="B11" s="62">
        <v>10</v>
      </c>
      <c r="C11" s="64" t="s">
        <v>290</v>
      </c>
    </row>
    <row r="12" spans="2:3" x14ac:dyDescent="0.35">
      <c r="B12" s="62">
        <v>11</v>
      </c>
      <c r="C12" s="64" t="s">
        <v>291</v>
      </c>
    </row>
    <row r="13" spans="2:3" x14ac:dyDescent="0.35">
      <c r="B13" s="62">
        <v>12</v>
      </c>
      <c r="C13" s="64" t="s">
        <v>292</v>
      </c>
    </row>
    <row r="14" spans="2:3" x14ac:dyDescent="0.35">
      <c r="B14" s="62">
        <v>13</v>
      </c>
      <c r="C14" s="64" t="s">
        <v>293</v>
      </c>
    </row>
    <row r="15" spans="2:3" x14ac:dyDescent="0.35">
      <c r="B15" s="62">
        <v>14</v>
      </c>
      <c r="C15" s="64" t="s">
        <v>295</v>
      </c>
    </row>
    <row r="16" spans="2:3" x14ac:dyDescent="0.35">
      <c r="B16" s="62">
        <v>15</v>
      </c>
      <c r="C16" s="64" t="s">
        <v>296</v>
      </c>
    </row>
    <row r="17" spans="2:3" x14ac:dyDescent="0.35">
      <c r="B17" s="62">
        <v>16</v>
      </c>
      <c r="C17" s="68" t="s">
        <v>297</v>
      </c>
    </row>
    <row r="18" spans="2:3" x14ac:dyDescent="0.35">
      <c r="B18" s="62">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2025-04-09T11:28:58Z</cp:lastPrinted>
  <dcterms:created xsi:type="dcterms:W3CDTF">2019-07-16T09:29:46Z</dcterms:created>
  <dcterms:modified xsi:type="dcterms:W3CDTF">2025-07-09T14:09:47Z</dcterms:modified>
</cp:coreProperties>
</file>