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0" i="1" l="1"/>
  <c r="K119" i="1" l="1"/>
  <c r="K120" i="1"/>
  <c r="K127" i="1"/>
  <c r="D142" i="1" l="1"/>
  <c r="D129" i="1"/>
  <c r="J132" i="1"/>
  <c r="I132" i="1"/>
  <c r="D116" i="1" l="1"/>
  <c r="I56" i="1" l="1"/>
  <c r="D152" i="1"/>
  <c r="D151" i="1"/>
  <c r="D150" i="1"/>
  <c r="D149" i="1"/>
  <c r="D148" i="1"/>
  <c r="D147" i="1"/>
  <c r="D146" i="1"/>
  <c r="D144" i="1"/>
  <c r="D143" i="1"/>
  <c r="D141" i="1"/>
  <c r="D128" i="1"/>
  <c r="D139" i="1"/>
  <c r="D138" i="1"/>
  <c r="D137" i="1"/>
  <c r="D136" i="1"/>
  <c r="D135" i="1"/>
  <c r="D134" i="1"/>
  <c r="D133" i="1"/>
  <c r="D132" i="1"/>
  <c r="D131" i="1"/>
  <c r="D130" i="1"/>
  <c r="D124" i="1"/>
  <c r="D123" i="1"/>
  <c r="D122" i="1"/>
  <c r="D121" i="1"/>
  <c r="D118" i="1"/>
  <c r="D117" i="1"/>
  <c r="E116" i="1"/>
  <c r="D115" i="1"/>
  <c r="J116" i="1"/>
  <c r="I116" i="1"/>
  <c r="J115" i="1"/>
  <c r="I115" i="1"/>
  <c r="I110" i="1"/>
  <c r="I106" i="1"/>
  <c r="I44" i="1"/>
  <c r="D110" i="1" l="1"/>
  <c r="D109" i="1"/>
  <c r="D108" i="1"/>
  <c r="D107" i="1"/>
  <c r="D106" i="1"/>
  <c r="C96" i="1" l="1"/>
  <c r="E96" i="1"/>
  <c r="F139" i="1"/>
  <c r="K139" i="1" s="1"/>
  <c r="F134" i="1"/>
  <c r="K134" i="1" s="1"/>
  <c r="F152" i="1"/>
  <c r="F151" i="1"/>
  <c r="F150" i="1"/>
  <c r="F149" i="1"/>
  <c r="F148" i="1"/>
  <c r="F147" i="1"/>
  <c r="D126" i="1"/>
  <c r="F126" i="1" s="1"/>
  <c r="D125" i="1"/>
  <c r="F121" i="1"/>
  <c r="K121" i="1" s="1"/>
  <c r="F146" i="1"/>
  <c r="F137" i="1"/>
  <c r="K137" i="1" s="1"/>
  <c r="F136" i="1"/>
  <c r="K136" i="1" s="1"/>
  <c r="F135" i="1"/>
  <c r="K135" i="1" s="1"/>
  <c r="F133" i="1"/>
  <c r="K133" i="1" s="1"/>
  <c r="F138" i="1"/>
  <c r="K138" i="1" s="1"/>
  <c r="F124" i="1"/>
  <c r="K124" i="1" s="1"/>
  <c r="F123" i="1"/>
  <c r="K123" i="1" s="1"/>
  <c r="F122" i="1"/>
  <c r="K122" i="1" s="1"/>
  <c r="F110" i="1"/>
  <c r="J110" i="1" s="1"/>
  <c r="E42" i="1"/>
  <c r="K126" i="1" l="1"/>
  <c r="I126" i="1"/>
  <c r="F125" i="1"/>
  <c r="K125" i="1" s="1"/>
  <c r="E99" i="1"/>
  <c r="E100" i="1" s="1"/>
  <c r="C99" i="1"/>
  <c r="C100" i="1" s="1"/>
  <c r="Z12" i="1"/>
  <c r="I14" i="1"/>
  <c r="F115" i="1" l="1"/>
  <c r="K115" i="1" s="1"/>
  <c r="F106" i="1"/>
  <c r="J106" i="1" s="1"/>
  <c r="E43" i="1" l="1"/>
  <c r="E44" i="1" s="1"/>
  <c r="C15" i="1" l="1"/>
  <c r="E30" i="1" l="1"/>
  <c r="F116" i="1" l="1"/>
  <c r="K116" i="1" s="1"/>
  <c r="F117" i="1"/>
  <c r="K117" i="1" s="1"/>
  <c r="F118" i="1"/>
  <c r="K118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G115" i="1"/>
  <c r="F93" i="1" l="1"/>
  <c r="F107" i="1" l="1"/>
  <c r="J107" i="1" s="1"/>
  <c r="F108" i="1"/>
  <c r="J108" i="1" s="1"/>
  <c r="F109" i="1"/>
  <c r="J109" i="1" s="1"/>
  <c r="G96" i="1" l="1"/>
  <c r="B155" i="1"/>
  <c r="A128" i="1"/>
  <c r="F132" i="1" l="1"/>
  <c r="K132" i="1" s="1"/>
  <c r="F131" i="1"/>
  <c r="K131" i="1" s="1"/>
  <c r="F130" i="1"/>
  <c r="K130" i="1" s="1"/>
  <c r="F129" i="1"/>
  <c r="K129" i="1" s="1"/>
  <c r="F128" i="1"/>
  <c r="K128" i="1" s="1"/>
  <c r="F144" i="1"/>
  <c r="K144" i="1" s="1"/>
  <c r="F142" i="1"/>
  <c r="K142" i="1" s="1"/>
  <c r="F141" i="1"/>
  <c r="K141" i="1" s="1"/>
  <c r="F143" i="1"/>
  <c r="K143" i="1" s="1"/>
  <c r="A129" i="1"/>
  <c r="G99" i="1" l="1"/>
  <c r="G100" i="1" s="1"/>
  <c r="B156" i="1"/>
  <c r="A13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6" i="1"/>
  <c r="G128" i="1"/>
  <c r="G141" i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07" i="1"/>
  <c r="A108" i="1" s="1"/>
  <c r="A109" i="1" s="1"/>
  <c r="A110" i="1" s="1"/>
  <c r="G106" i="1"/>
  <c r="C66" i="1"/>
  <c r="B67" i="1" s="1"/>
  <c r="D55" i="1"/>
  <c r="G50" i="1"/>
  <c r="G51" i="1" s="1"/>
  <c r="C50" i="1"/>
  <c r="E27" i="1"/>
  <c r="E25" i="1"/>
  <c r="E7" i="1"/>
  <c r="E3" i="1"/>
  <c r="A131" i="1"/>
  <c r="D60" i="1" l="1"/>
  <c r="A132" i="1"/>
  <c r="H67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A133" i="1"/>
  <c r="J73" i="1" l="1"/>
  <c r="J78" i="1" s="1"/>
  <c r="J79" i="1" s="1"/>
  <c r="C71" i="1" s="1"/>
  <c r="C70" i="1"/>
  <c r="D70" i="1" s="1"/>
  <c r="A134" i="1"/>
  <c r="G70" i="1" l="1"/>
  <c r="D64" i="1" s="1"/>
  <c r="D65" i="1" s="1"/>
  <c r="J67" i="1"/>
  <c r="D71" i="1"/>
  <c r="I67" i="1" s="1"/>
  <c r="I68" i="1" s="1"/>
  <c r="E70" i="1"/>
  <c r="A135" i="1"/>
  <c r="F65" i="1" l="1"/>
  <c r="I66" i="1"/>
  <c r="C68" i="1" s="1"/>
  <c r="A136" i="1"/>
  <c r="A137" i="1" l="1"/>
  <c r="A138" i="1" l="1"/>
  <c r="A139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<sst xmlns="http://schemas.openxmlformats.org/spreadsheetml/2006/main" count="415" uniqueCount="283">
  <si>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</si>
  <si>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</si>
  <si>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</si>
  <si>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</si>
  <si>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</si>
  <si>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</si>
  <si>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</si>
  <si>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</si>
  <si>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</si>
  <si>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</si>
  <si>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</si>
  <si>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</si>
  <si>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</si>
  <si>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</si>
  <si>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</si>
  <si>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</si>
  <si>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</si>
  <si>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</si>
  <si>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</si>
  <si>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</si>
  <si>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</si>
  <si>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</si>
  <si>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</si>
  <si>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</si>
  <si>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</si>
  <si>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</si>
  <si>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</si>
  <si>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</si>
  <si>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</si>
  <si>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</si>
  <si>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</si>
  <si>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</si>
  <si>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</si>
  <si>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</si>
  <si>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</si>
  <si>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</si>
  <si>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</si>
  <si>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</si>
  <si>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</si>
  <si>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</si>
  <si>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</si>
  <si>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</si>
  <si>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</si>
  <si>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</si>
  <si>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</si>
  <si>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</si>
  <si>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</si>
  <si>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</si>
  <si>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</si>
  <si>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</si>
  <si>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</si>
  <si>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</si>
  <si>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</si>
  <si>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</si>
  <si>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</si>
  <si>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</si>
  <si>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</si>
  <si>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</si>
  <si>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</si>
  <si>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</si>
  <si>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</si>
  <si>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</si>
  <si>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</si>
  <si>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</si>
  <si>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</si>
  <si>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</si>
  <si>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</si>
  <si>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</si>
  <si>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</si>
  <si>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</si>
  <si>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</si>
  <si>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</si>
  <si>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</si>
  <si>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</si>
  <si>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</si>
  <si>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</si>
  <si>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</si>
  <si>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</si>
  <si>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</si>
  <si>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</si>
  <si>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</si>
  <si>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</si>
  <si>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</si>
  <si>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</si>
  <si>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</si>
  <si>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</si>
  <si>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</si>
  <si>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</si>
  <si>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</si>
  <si>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</si>
  <si>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</si>
  <si>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</si>
  <si>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</si>
  <si>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</si>
  <si>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</si>
  <si>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</si>
  <si>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</si>
  <si>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</si>
  <si>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</si>
  <si>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</si>
  <si>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</si>
  <si>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</si>
  <si>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</si>
  <si>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</si>
  <si>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</si>
  <si>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</si>
  <si>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</si>
  <si>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</si>
  <si>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</si>
  <si>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</si>
  <si>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</si>
  <si>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</si>
  <si>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</si>
  <si>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</si>
  <si>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</si>
  <si>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</si>
  <si>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</si>
  <si>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</si>
  <si>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</si>
  <si>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</si>
  <si>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</si>
  <si>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</si>
  <si>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</si>
  <si>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</si>
  <si>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</si>
  <si>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</si>
  <si>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</si>
  <si>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</si>
  <si>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</si>
  <si>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</si>
  <si>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</si>
  <si>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</si>
  <si>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</si>
  <si>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</si>
  <si>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</si>
  <si>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</si>
  <si>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</si>
  <si>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</si>
  <si>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</si>
  <si>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</si>
  <si>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</si>
  <si>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</si>
  <si>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</si>
  <si>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</si>
  <si>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</si>
  <si>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</si>
  <si>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</si>
  <si>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</si>
  <si>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</si>
  <si>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</si>
  <si>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</si>
  <si>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</si>
  <si>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</si>
  <si>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</si>
  <si>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</si>
  <si>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</si>
  <si>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</si>
  <si>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</si>
  <si>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</si>
  <si>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</si>
  <si>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</si>
  <si>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</si>
  <si>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</si>
  <si>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</si>
  <si>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</si>
  <si>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</si>
  <si>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</si>
  <si>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</si>
  <si>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</si>
  <si>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</si>
  <si>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</si>
  <si>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</si>
  <si>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</si>
  <si>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</si>
  <si>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</si>
  <si>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</si>
  <si>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</si>
  <si>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</si>
  <si>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</si>
  <si>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</si>
  <si>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</si>
  <si>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</si>
  <si>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</si>
  <si>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</si>
  <si>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</si>
  <si>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</si>
  <si>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</si>
  <si>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</si>
  <si>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</si>
  <si>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</si>
  <si>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</si>
  <si>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</si>
  <si>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</si>
  <si>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</si>
  <si>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</si>
  <si>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</si>
  <si>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</si>
  <si>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</si>
  <si>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</si>
  <si>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</si>
  <si>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</si>
  <si>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</si>
  <si>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</si>
  <si>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</si>
  <si>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</si>
  <si>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</si>
  <si>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</si>
  <si>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</si>
  <si>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</si>
  <si>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</si>
  <si>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</si>
  <si>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</si>
  <si>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</si>
  <si>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</si>
  <si>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</si>
  <si>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</si>
  <si>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</si>
  <si>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</si>
  <si>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</si>
  <si>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</si>
  <si>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</si>
  <si>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</si>
  <si>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</si>
  <si>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</si>
  <si>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</si>
  <si>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</si>
  <si>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</si>
  <si>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</si>
  <si>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</si>
  <si>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</si>
  <si>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</si>
  <si>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</si>
  <si>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</si>
  <si>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</si>
  <si>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Badlapur</t>
  </si>
  <si>
    <t>Shubh Group</t>
  </si>
  <si>
    <t>Sonal Paradise</t>
  </si>
  <si>
    <t>P51700051894</t>
  </si>
  <si>
    <t>Gut No</t>
  </si>
  <si>
    <t>Valivali</t>
  </si>
  <si>
    <t>Kulgaon Badlapur Nagarparishad</t>
  </si>
  <si>
    <t>Stilt/Ground + 1st to 10th Floor</t>
  </si>
  <si>
    <t>Gr + 1st to 10th Floor</t>
  </si>
  <si>
    <t>As per RERA - 31/12/2026</t>
  </si>
  <si>
    <t>Shop</t>
  </si>
  <si>
    <t>8th Floor (Part Refuge Area)</t>
  </si>
  <si>
    <t>Refuge Area</t>
  </si>
  <si>
    <t>Society Office</t>
  </si>
  <si>
    <t>Drivers Room</t>
  </si>
  <si>
    <t>1BHK</t>
  </si>
  <si>
    <t>2BHK</t>
  </si>
  <si>
    <t>1st Floor For Society Office, Drivers Room &amp; Residential</t>
  </si>
  <si>
    <t xml:space="preserve">2nd to 7th, 9th &amp; 10th Floor </t>
  </si>
  <si>
    <t>Shops</t>
  </si>
  <si>
    <t>Flats</t>
  </si>
  <si>
    <t>Flats - 117, Shops - 05</t>
  </si>
  <si>
    <t>Sudhir Bhosale</t>
  </si>
  <si>
    <t>KBNP/NRV/BD/1519-232</t>
  </si>
  <si>
    <t>KBNP/NRV/B.P./1519/2022-2023 Unique No. 232</t>
  </si>
  <si>
    <t>19.176709,73.238234</t>
  </si>
  <si>
    <t>https://maps.app.goo.gl/CvE9G4RGPcnhHBsh9</t>
  </si>
  <si>
    <t>Kailash Nagar</t>
  </si>
  <si>
    <t>Manjarli Valivali Road</t>
  </si>
  <si>
    <t>1.60KM from Badlapur Railway Station</t>
  </si>
  <si>
    <t>Badlapur West</t>
  </si>
  <si>
    <t>Amrita Kripa Sagar Hospital</t>
  </si>
  <si>
    <t>6.00 M. W. Road</t>
  </si>
  <si>
    <t>15.00 M Wide D.P. Road</t>
  </si>
  <si>
    <t>Other Plot</t>
  </si>
  <si>
    <t>Internal Road</t>
  </si>
  <si>
    <t>Building</t>
  </si>
  <si>
    <t>House</t>
  </si>
  <si>
    <t>Miss. Pooja 9881089085</t>
  </si>
  <si>
    <t>Approved Plans, CC &amp; Cost Sheet.</t>
  </si>
  <si>
    <t>Sonal Paradise Co.Op.Hsg.Soc. Ltd.</t>
  </si>
  <si>
    <t>84 &amp; 86/1/A &amp; Redevlopement of "Sonal Paradise Co.Op.Hsg.Soc. Ltd."</t>
  </si>
  <si>
    <t>Vitrified tiles flooring, Granite Kitchen Platform, Decorative
Enternace, etc.</t>
  </si>
  <si>
    <t>Ground Floor For Entrance Lobby, Commercial &amp; Parking</t>
  </si>
  <si>
    <t>We considered Gross carpet area = Net carpet + Enclose balcony + A.P. Area + E.P Area.</t>
  </si>
  <si>
    <t>3900 to 4600</t>
  </si>
  <si>
    <t xml:space="preserve">As the project is redevelopement project but rehab statement or rehab flats is not mentioned approved layout plan &amp; floor plan.
</t>
  </si>
  <si>
    <t>Construction work is in process at the time of visit (Labour found).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</si>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</sst>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4" fontId="7" fillId="0" borderId="0" xfId="1" applyNumberFormat="1" applyFont="1"/>
    <xf numFmtId="2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696056</xdr:colOff>
      <xdr:row>220</xdr:row>
      <xdr:rowOff>0</xdr:rowOff>
    </xdr:from>
    <xdr:to>
      <xdr:col>6</xdr:col>
      <xdr:colOff>127486</xdr:colOff>
      <xdr:row>240</xdr:row>
      <xdr:rowOff>167787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6671" y="46921615"/>
          <a:ext cx="3886200" cy="4124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696056</xdr:colOff>
      <xdr:row>241</xdr:row>
      <xdr:rowOff>132250</xdr:rowOff>
    </xdr:from>
    <xdr:to>
      <xdr:col>6</xdr:col>
      <xdr:colOff>127486</xdr:colOff>
      <xdr:row>258</xdr:row>
      <xdr:rowOff>55318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6671" y="51208231"/>
          <a:ext cx="3886200" cy="32861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183171</xdr:colOff>
      <xdr:row>263</xdr:row>
      <xdr:rowOff>7327</xdr:rowOff>
    </xdr:from>
    <xdr:to>
      <xdr:col>6</xdr:col>
      <xdr:colOff>642618</xdr:colOff>
      <xdr:row>283</xdr:row>
      <xdr:rowOff>10790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3786" y="55633327"/>
          <a:ext cx="4914217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228427</xdr:colOff>
      <xdr:row>284</xdr:row>
      <xdr:rowOff>1512</xdr:rowOff>
    </xdr:from>
    <xdr:to>
      <xdr:col>6</xdr:col>
      <xdr:colOff>597361</xdr:colOff>
      <xdr:row>303</xdr:row>
      <xdr:rowOff>46182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028527" y="57837312"/>
          <a:ext cx="4725034" cy="3784820"/>
          <a:chOff x="1017148" y="4358100"/>
          <a:chExt cx="4823704" cy="3960000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17148" y="4358100"/>
            <a:ext cx="4823704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3175000" y="6007100"/>
            <a:ext cx="901700" cy="1517650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8</xdr:col>
      <xdr:colOff>95251</xdr:colOff>
      <xdr:row>11</xdr:row>
      <xdr:rowOff>9525</xdr:rowOff>
    </xdr:from>
    <xdr:to>
      <xdr:col>12</xdr:col>
      <xdr:colOff>566230</xdr:colOff>
      <xdr:row>17</xdr:row>
      <xdr:rowOff>180750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3726" y="2600325"/>
          <a:ext cx="4042854" cy="18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209550</xdr:colOff>
      <xdr:row>175</xdr:row>
      <xdr:rowOff>25400</xdr:rowOff>
    </xdr:from>
    <xdr:to>
      <xdr:col>15</xdr:col>
      <xdr:colOff>742612</xdr:colOff>
      <xdr:row>208</xdr:row>
      <xdr:rowOff>164453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02450" y="36410900"/>
          <a:ext cx="6413162" cy="6628753"/>
          <a:chOff x="114300" y="36683950"/>
          <a:chExt cx="6432212" cy="6625578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32072" y="41509528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5831" y="366839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1" y="39564739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04308" y="39564739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7362" y="366839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366839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42857" y="39564739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273050</xdr:colOff>
      <xdr:row>176</xdr:row>
      <xdr:rowOff>76200</xdr:rowOff>
    </xdr:from>
    <xdr:to>
      <xdr:col>7</xdr:col>
      <xdr:colOff>436158</xdr:colOff>
      <xdr:row>216</xdr:row>
      <xdr:rowOff>146050</xdr:rowOff>
    </xdr:to>
    <xdr:grpSp>
      <xdr:nvGrpSpPr>
        <xdr:cNvPr id="3" name="Group 2"/>
        <xdr:cNvGrpSpPr/>
      </xdr:nvGrpSpPr>
      <xdr:grpSpPr>
        <a:xfrm>
          <a:off x="273050" y="36658550"/>
          <a:ext cx="6119408" cy="7937500"/>
          <a:chOff x="273050" y="36658550"/>
          <a:chExt cx="6119408" cy="7937500"/>
        </a:xfrm>
      </xdr:grpSpPr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0261" y="43014820"/>
            <a:ext cx="2387823" cy="15812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050" y="366585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52116" y="40736685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94440" y="40736685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4173" y="366585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CvE9G4RGPcnhHBsh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62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6" width="11.7265625" style="40" customWidth="1"/>
    <col min="7" max="7" width="11.453125" style="40" customWidth="1"/>
    <col min="8" max="8" width="10.5429687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26" ht="46.5" customHeight="1" x14ac:dyDescent="0.35">
      <c r="A1" s="169" t="s">
        <v>165</v>
      </c>
      <c r="B1" s="169"/>
      <c r="C1" s="169"/>
      <c r="D1" s="169"/>
      <c r="E1" s="169"/>
      <c r="F1" s="169"/>
      <c r="G1" s="169"/>
      <c r="H1" s="169"/>
    </row>
    <row r="2" spans="1:26" ht="16.5" customHeight="1" x14ac:dyDescent="0.35">
      <c r="A2" s="76" t="s">
        <v>0</v>
      </c>
      <c r="B2" s="76"/>
      <c r="C2" s="76"/>
      <c r="D2" s="76"/>
      <c r="E2" s="76"/>
      <c r="F2" s="76"/>
      <c r="G2" s="76"/>
      <c r="H2" s="76"/>
    </row>
    <row r="3" spans="1:26" x14ac:dyDescent="0.35">
      <c r="A3" s="96" t="s">
        <v>1</v>
      </c>
      <c r="B3" s="96"/>
      <c r="C3" s="96"/>
      <c r="D3" s="96"/>
      <c r="E3" s="96" t="str">
        <f ca="1">TEXT(TODAY(),"DD/MM/YYYY")</f>
        <v>12/07/2025</v>
      </c>
      <c r="F3" s="96"/>
      <c r="G3" s="96"/>
      <c r="H3" s="96"/>
    </row>
    <row r="4" spans="1:26" ht="15" customHeight="1" x14ac:dyDescent="0.35">
      <c r="A4" s="96" t="s">
        <v>2</v>
      </c>
      <c r="B4" s="96"/>
      <c r="C4" s="96"/>
      <c r="D4" s="96"/>
      <c r="E4" s="96" t="s">
        <v>234</v>
      </c>
      <c r="F4" s="96"/>
      <c r="G4" s="96"/>
      <c r="H4" s="96"/>
    </row>
    <row r="5" spans="1:26" x14ac:dyDescent="0.35">
      <c r="A5" s="96" t="s">
        <v>3</v>
      </c>
      <c r="B5" s="96"/>
      <c r="C5" s="96"/>
      <c r="D5" s="96"/>
      <c r="E5" s="170">
        <v>45847</v>
      </c>
      <c r="F5" s="96"/>
      <c r="G5" s="96"/>
      <c r="H5" s="96"/>
    </row>
    <row r="6" spans="1:26" ht="16.5" customHeight="1" x14ac:dyDescent="0.35">
      <c r="A6" s="96" t="s">
        <v>4</v>
      </c>
      <c r="B6" s="96"/>
      <c r="C6" s="96"/>
      <c r="D6" s="96"/>
      <c r="E6" s="96" t="s">
        <v>235</v>
      </c>
      <c r="F6" s="96"/>
      <c r="G6" s="96"/>
      <c r="H6" s="96"/>
    </row>
    <row r="7" spans="1:26" ht="15" customHeight="1" x14ac:dyDescent="0.35">
      <c r="A7" s="96" t="s">
        <v>5</v>
      </c>
      <c r="B7" s="96"/>
      <c r="C7" s="96"/>
      <c r="D7" s="96"/>
      <c r="E7" s="96" t="str">
        <f>E6</f>
        <v>Shubh Group</v>
      </c>
      <c r="F7" s="96"/>
      <c r="G7" s="96"/>
      <c r="H7" s="96"/>
    </row>
    <row r="8" spans="1:26" x14ac:dyDescent="0.35">
      <c r="A8" s="96" t="s">
        <v>6</v>
      </c>
      <c r="B8" s="96"/>
      <c r="C8" s="96"/>
      <c r="D8" s="96"/>
      <c r="E8" s="119" t="s">
        <v>236</v>
      </c>
      <c r="F8" s="119"/>
      <c r="G8" s="119"/>
      <c r="H8" s="119"/>
    </row>
    <row r="9" spans="1:26" x14ac:dyDescent="0.35">
      <c r="A9" s="96" t="s">
        <v>168</v>
      </c>
      <c r="B9" s="96"/>
      <c r="C9" s="96"/>
      <c r="D9" s="96"/>
      <c r="E9" s="96" t="s">
        <v>272</v>
      </c>
      <c r="F9" s="96"/>
      <c r="G9" s="96"/>
      <c r="H9" s="96"/>
    </row>
    <row r="10" spans="1:26" x14ac:dyDescent="0.35">
      <c r="A10" s="96" t="s">
        <v>169</v>
      </c>
      <c r="B10" s="96"/>
      <c r="C10" s="96"/>
      <c r="D10" s="96"/>
      <c r="E10" s="96" t="s">
        <v>29</v>
      </c>
      <c r="F10" s="96"/>
      <c r="G10" s="96"/>
      <c r="H10" s="96"/>
    </row>
    <row r="11" spans="1:26" x14ac:dyDescent="0.35">
      <c r="A11" s="96" t="s">
        <v>7</v>
      </c>
      <c r="B11" s="96"/>
      <c r="C11" s="96"/>
      <c r="D11" s="96"/>
      <c r="E11" s="96" t="s">
        <v>122</v>
      </c>
      <c r="F11" s="96"/>
      <c r="G11" s="96"/>
      <c r="H11" s="96"/>
    </row>
    <row r="12" spans="1:26" x14ac:dyDescent="0.35">
      <c r="A12" s="96" t="s">
        <v>171</v>
      </c>
      <c r="B12" s="96"/>
      <c r="C12" s="96"/>
      <c r="D12" s="96"/>
      <c r="E12" s="96" t="s">
        <v>274</v>
      </c>
      <c r="F12" s="96"/>
      <c r="G12" s="96"/>
      <c r="H12" s="96"/>
      <c r="S12" s="57" t="s">
        <v>178</v>
      </c>
      <c r="T12" s="57" t="s">
        <v>188</v>
      </c>
      <c r="U12" s="57" t="s">
        <v>172</v>
      </c>
      <c r="V12" s="57" t="s">
        <v>193</v>
      </c>
      <c r="W12" s="57" t="s">
        <v>211</v>
      </c>
      <c r="X12"/>
      <c r="Y12" t="s">
        <v>193</v>
      </c>
      <c r="Z12" t="e">
        <f ca="1">OFFSET($S$12,1,MATCH($G19,$S$12:$W$12,0)-1,15,1)</f>
        <v>#VALUE!</v>
      </c>
    </row>
    <row r="13" spans="1:26" x14ac:dyDescent="0.35">
      <c r="A13" s="78" t="s">
        <v>8</v>
      </c>
      <c r="B13" s="78"/>
      <c r="C13" s="78"/>
      <c r="D13" s="78"/>
      <c r="E13" s="97" t="s">
        <v>273</v>
      </c>
      <c r="F13" s="97"/>
      <c r="G13" s="97"/>
      <c r="H13" s="97"/>
      <c r="S13" s="57" t="s">
        <v>179</v>
      </c>
      <c r="T13" s="57" t="s">
        <v>186</v>
      </c>
      <c r="U13" s="57" t="s">
        <v>208</v>
      </c>
      <c r="V13" s="57" t="s">
        <v>194</v>
      </c>
      <c r="W13" s="57" t="s">
        <v>212</v>
      </c>
      <c r="X13"/>
      <c r="Y13"/>
      <c r="Z13"/>
    </row>
    <row r="14" spans="1:26" x14ac:dyDescent="0.35">
      <c r="A14" s="78" t="s">
        <v>9</v>
      </c>
      <c r="B14" s="78"/>
      <c r="C14" s="78"/>
      <c r="D14" s="78"/>
      <c r="E14" s="97" t="s">
        <v>237</v>
      </c>
      <c r="F14" s="96"/>
      <c r="G14" s="96"/>
      <c r="H14" s="96"/>
      <c r="I14" s="71" t="e">
        <f ca="1">OFFSET($D$4,1,MATCH($J12,$D$4:$H$4,0)-1,15,1)</f>
        <v>#N/A</v>
      </c>
      <c r="J14" s="72"/>
      <c r="K14" s="72"/>
      <c r="L14" s="72"/>
      <c r="M14" s="72"/>
      <c r="N14" s="72"/>
      <c r="O14" s="72"/>
      <c r="P14" s="72"/>
      <c r="S14" s="57" t="s">
        <v>180</v>
      </c>
      <c r="T14" s="57" t="s">
        <v>187</v>
      </c>
      <c r="U14" s="57" t="s">
        <v>209</v>
      </c>
      <c r="V14" s="57" t="s">
        <v>195</v>
      </c>
      <c r="W14" s="57" t="s">
        <v>225</v>
      </c>
      <c r="X14"/>
      <c r="Y14"/>
      <c r="Z14"/>
    </row>
    <row r="15" spans="1:26" ht="49.5" customHeight="1" x14ac:dyDescent="0.35">
      <c r="A15" s="84" t="s">
        <v>10</v>
      </c>
      <c r="B15" s="84"/>
      <c r="C15" s="8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Sonal Paradise, Gut No.84 &amp; 86/1/A &amp; Redevlopement of "Sonal Paradise Co.Op.Hsg.Soc. Ltd.", near Amrita Kripa Sagar Hospital, Manjarli Valivali Road, Kailash Nagar, Valivali, Badlapur West, Ambernath, Thane  - 421503.</v>
      </c>
      <c r="D15" s="84"/>
      <c r="E15" s="84"/>
      <c r="F15" s="84"/>
      <c r="G15" s="84"/>
      <c r="H15" s="84"/>
      <c r="S15" s="57" t="s">
        <v>181</v>
      </c>
      <c r="T15" s="57" t="s">
        <v>189</v>
      </c>
      <c r="U15" s="57" t="s">
        <v>210</v>
      </c>
      <c r="V15" s="57" t="s">
        <v>196</v>
      </c>
      <c r="W15" s="57" t="s">
        <v>213</v>
      </c>
      <c r="X15"/>
      <c r="Y15"/>
      <c r="Z15"/>
    </row>
    <row r="16" spans="1:26" x14ac:dyDescent="0.35">
      <c r="A16" s="97" t="s">
        <v>238</v>
      </c>
      <c r="B16" s="97"/>
      <c r="C16" s="97" t="s">
        <v>275</v>
      </c>
      <c r="D16" s="97"/>
      <c r="E16" s="97"/>
      <c r="F16" s="97"/>
      <c r="G16" s="97"/>
      <c r="H16" s="97"/>
      <c r="S16" s="57" t="s">
        <v>182</v>
      </c>
      <c r="T16" s="57" t="s">
        <v>190</v>
      </c>
      <c r="U16" s="57"/>
      <c r="V16" s="57" t="s">
        <v>197</v>
      </c>
      <c r="W16" s="57" t="s">
        <v>214</v>
      </c>
      <c r="X16"/>
      <c r="Y16"/>
      <c r="Z16"/>
    </row>
    <row r="17" spans="1:26" ht="15.75" customHeight="1" x14ac:dyDescent="0.35">
      <c r="A17" s="97" t="s">
        <v>163</v>
      </c>
      <c r="B17" s="97"/>
      <c r="C17" s="97" t="s">
        <v>261</v>
      </c>
      <c r="D17" s="97"/>
      <c r="E17" s="97"/>
      <c r="F17" s="97"/>
      <c r="G17" s="97"/>
      <c r="H17" s="97"/>
      <c r="S17" s="57" t="s">
        <v>183</v>
      </c>
      <c r="T17" s="57" t="s">
        <v>188</v>
      </c>
      <c r="U17" s="57"/>
      <c r="V17" s="57" t="s">
        <v>198</v>
      </c>
      <c r="W17" s="57" t="s">
        <v>215</v>
      </c>
      <c r="X17"/>
      <c r="Y17"/>
      <c r="Z17"/>
    </row>
    <row r="18" spans="1:26" ht="15.75" customHeight="1" x14ac:dyDescent="0.35">
      <c r="A18" s="84" t="s">
        <v>11</v>
      </c>
      <c r="B18" s="84"/>
      <c r="C18" s="96" t="s">
        <v>262</v>
      </c>
      <c r="D18" s="96"/>
      <c r="E18" s="97" t="s">
        <v>73</v>
      </c>
      <c r="F18" s="97"/>
      <c r="G18" s="97" t="s">
        <v>239</v>
      </c>
      <c r="H18" s="97"/>
      <c r="S18" s="57" t="s">
        <v>184</v>
      </c>
      <c r="T18" s="57" t="s">
        <v>191</v>
      </c>
      <c r="U18" s="57"/>
      <c r="V18" s="57" t="s">
        <v>199</v>
      </c>
      <c r="W18" s="57" t="s">
        <v>216</v>
      </c>
      <c r="X18"/>
      <c r="Y18"/>
      <c r="Z18"/>
    </row>
    <row r="19" spans="1:26" x14ac:dyDescent="0.35">
      <c r="A19" s="78" t="s">
        <v>13</v>
      </c>
      <c r="B19" s="78"/>
      <c r="C19" s="97" t="s">
        <v>264</v>
      </c>
      <c r="D19" s="97"/>
      <c r="E19" s="97" t="s">
        <v>12</v>
      </c>
      <c r="F19" s="97"/>
      <c r="G19" s="173" t="s">
        <v>178</v>
      </c>
      <c r="H19" s="173"/>
      <c r="S19" s="57" t="s">
        <v>185</v>
      </c>
      <c r="T19" s="57" t="s">
        <v>192</v>
      </c>
      <c r="U19" s="57"/>
      <c r="V19" s="57" t="s">
        <v>200</v>
      </c>
      <c r="W19" s="57" t="s">
        <v>217</v>
      </c>
      <c r="X19"/>
      <c r="Y19"/>
      <c r="Z19"/>
    </row>
    <row r="20" spans="1:26" x14ac:dyDescent="0.35">
      <c r="A20" s="78" t="s">
        <v>74</v>
      </c>
      <c r="B20" s="78"/>
      <c r="C20" s="97" t="s">
        <v>184</v>
      </c>
      <c r="D20" s="97"/>
      <c r="E20" s="97" t="s">
        <v>14</v>
      </c>
      <c r="F20" s="97"/>
      <c r="G20" s="97">
        <v>421503</v>
      </c>
      <c r="H20" s="97"/>
      <c r="S20" s="57"/>
      <c r="T20" s="57"/>
      <c r="U20" s="57"/>
      <c r="V20" s="57" t="s">
        <v>201</v>
      </c>
      <c r="W20" s="57" t="s">
        <v>218</v>
      </c>
      <c r="X20"/>
      <c r="Y20"/>
      <c r="Z20"/>
    </row>
    <row r="21" spans="1:26" ht="32.25" customHeight="1" x14ac:dyDescent="0.35">
      <c r="A21" s="78" t="s">
        <v>123</v>
      </c>
      <c r="B21" s="78"/>
      <c r="C21" s="97" t="s">
        <v>265</v>
      </c>
      <c r="D21" s="97"/>
      <c r="E21" s="97" t="s">
        <v>15</v>
      </c>
      <c r="F21" s="97"/>
      <c r="G21" s="97" t="s">
        <v>263</v>
      </c>
      <c r="H21" s="97"/>
      <c r="S21" s="57"/>
      <c r="T21" s="57"/>
      <c r="U21" s="57"/>
      <c r="V21" s="57" t="s">
        <v>202</v>
      </c>
      <c r="W21" s="57" t="s">
        <v>219</v>
      </c>
      <c r="X21"/>
      <c r="Y21"/>
      <c r="Z21"/>
    </row>
    <row r="22" spans="1:26" ht="15" customHeight="1" x14ac:dyDescent="0.35">
      <c r="A22" s="84" t="s">
        <v>76</v>
      </c>
      <c r="B22" s="84"/>
      <c r="C22" s="84"/>
      <c r="D22" s="84"/>
      <c r="E22" s="96" t="s">
        <v>16</v>
      </c>
      <c r="F22" s="96"/>
      <c r="G22" s="96"/>
      <c r="H22" s="96"/>
      <c r="S22" s="57"/>
      <c r="T22" s="57"/>
      <c r="U22" s="57"/>
      <c r="V22" s="57" t="s">
        <v>203</v>
      </c>
      <c r="W22" s="57" t="s">
        <v>220</v>
      </c>
      <c r="X22"/>
      <c r="Y22"/>
      <c r="Z22"/>
    </row>
    <row r="23" spans="1:26" ht="18.75" customHeight="1" x14ac:dyDescent="0.35">
      <c r="A23" s="84"/>
      <c r="B23" s="84"/>
      <c r="C23" s="84"/>
      <c r="D23" s="84"/>
      <c r="E23" s="96"/>
      <c r="F23" s="96"/>
      <c r="G23" s="96"/>
      <c r="H23" s="96"/>
      <c r="S23" s="57"/>
      <c r="T23" s="57"/>
      <c r="U23" s="57"/>
      <c r="V23" s="57" t="s">
        <v>204</v>
      </c>
      <c r="W23" s="57" t="s">
        <v>221</v>
      </c>
      <c r="X23"/>
      <c r="Y23"/>
      <c r="Z23"/>
    </row>
    <row r="24" spans="1:26" ht="15" customHeight="1" x14ac:dyDescent="0.35">
      <c r="A24" s="84" t="s">
        <v>17</v>
      </c>
      <c r="B24" s="84"/>
      <c r="C24" s="84"/>
      <c r="D24" s="84"/>
      <c r="E24" s="97" t="s">
        <v>18</v>
      </c>
      <c r="F24" s="97"/>
      <c r="G24" s="97"/>
      <c r="H24" s="97"/>
      <c r="S24" s="57"/>
      <c r="T24" s="57"/>
      <c r="U24" s="57"/>
      <c r="V24" s="57" t="s">
        <v>205</v>
      </c>
      <c r="W24" s="57" t="s">
        <v>222</v>
      </c>
      <c r="X24"/>
      <c r="Y24"/>
      <c r="Z24"/>
    </row>
    <row r="25" spans="1:26" ht="15" customHeight="1" x14ac:dyDescent="0.35">
      <c r="A25" s="78" t="s">
        <v>19</v>
      </c>
      <c r="B25" s="78"/>
      <c r="C25" s="78"/>
      <c r="D25" s="78"/>
      <c r="E25" s="97" t="str">
        <f>IF(AND(G19="Mumbai"),"Upper Class","Middle Class")</f>
        <v>Middle Class</v>
      </c>
      <c r="F25" s="97"/>
      <c r="G25" s="97"/>
      <c r="H25" s="97"/>
      <c r="S25" s="57"/>
      <c r="T25" s="57"/>
      <c r="U25" s="57"/>
      <c r="V25" s="57" t="s">
        <v>206</v>
      </c>
      <c r="W25" s="57" t="s">
        <v>223</v>
      </c>
      <c r="X25"/>
      <c r="Y25"/>
      <c r="Z25"/>
    </row>
    <row r="26" spans="1:26" x14ac:dyDescent="0.35">
      <c r="A26" s="78" t="s">
        <v>20</v>
      </c>
      <c r="B26" s="78"/>
      <c r="C26" s="78"/>
      <c r="D26" s="78"/>
      <c r="E26" s="97" t="s">
        <v>21</v>
      </c>
      <c r="F26" s="97"/>
      <c r="G26" s="97"/>
      <c r="H26" s="97"/>
      <c r="S26" s="57"/>
      <c r="T26" s="57"/>
      <c r="U26" s="57"/>
      <c r="V26" s="57" t="s">
        <v>207</v>
      </c>
      <c r="W26" s="57" t="s">
        <v>224</v>
      </c>
      <c r="X26"/>
      <c r="Y26"/>
      <c r="Z26"/>
    </row>
    <row r="27" spans="1:26" ht="15.75" customHeight="1" x14ac:dyDescent="0.35">
      <c r="A27" s="78" t="s">
        <v>22</v>
      </c>
      <c r="B27" s="78"/>
      <c r="C27" s="78"/>
      <c r="D27" s="78"/>
      <c r="E27" s="97" t="str">
        <f>IF(AND(G19="Mumbai"),"Developed","Developing")</f>
        <v>Developing</v>
      </c>
      <c r="F27" s="97"/>
      <c r="G27" s="97"/>
      <c r="H27" s="97"/>
    </row>
    <row r="28" spans="1:26" x14ac:dyDescent="0.35">
      <c r="A28" s="78" t="s">
        <v>23</v>
      </c>
      <c r="B28" s="78"/>
      <c r="C28" s="78"/>
      <c r="D28" s="78"/>
      <c r="E28" s="97" t="s">
        <v>24</v>
      </c>
      <c r="F28" s="97"/>
      <c r="G28" s="97"/>
      <c r="H28" s="97"/>
    </row>
    <row r="29" spans="1:26" ht="15.75" customHeight="1" x14ac:dyDescent="0.35">
      <c r="A29" s="78" t="s">
        <v>81</v>
      </c>
      <c r="B29" s="78"/>
      <c r="C29" s="78"/>
      <c r="D29" s="78"/>
      <c r="E29" s="97" t="s">
        <v>82</v>
      </c>
      <c r="F29" s="97"/>
      <c r="G29" s="97"/>
      <c r="H29" s="97"/>
    </row>
    <row r="30" spans="1:26" ht="15" customHeight="1" x14ac:dyDescent="0.35">
      <c r="A30" s="78" t="s">
        <v>32</v>
      </c>
      <c r="B30" s="78"/>
      <c r="C30" s="78"/>
      <c r="D30" s="78"/>
      <c r="E30" s="9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7"/>
      <c r="G30" s="97"/>
      <c r="H30" s="97"/>
    </row>
    <row r="31" spans="1:26" ht="15.75" customHeight="1" x14ac:dyDescent="0.35">
      <c r="A31" s="78" t="s">
        <v>93</v>
      </c>
      <c r="B31" s="78"/>
      <c r="C31" s="78"/>
      <c r="D31" s="78"/>
      <c r="E31" s="97" t="s">
        <v>33</v>
      </c>
      <c r="F31" s="97"/>
      <c r="G31" s="97"/>
      <c r="H31" s="97"/>
    </row>
    <row r="32" spans="1:26" s="22" customFormat="1" x14ac:dyDescent="0.35">
      <c r="A32" s="172" t="s">
        <v>94</v>
      </c>
      <c r="B32" s="172"/>
      <c r="C32" s="178" t="s">
        <v>173</v>
      </c>
      <c r="D32" s="179"/>
      <c r="E32" s="180"/>
      <c r="F32" s="178" t="s">
        <v>30</v>
      </c>
      <c r="G32" s="179"/>
      <c r="H32" s="180"/>
    </row>
    <row r="33" spans="1:9" s="22" customFormat="1" x14ac:dyDescent="0.35">
      <c r="A33" s="171" t="s">
        <v>25</v>
      </c>
      <c r="B33" s="171" t="s">
        <v>29</v>
      </c>
      <c r="C33" s="86" t="s">
        <v>268</v>
      </c>
      <c r="D33" s="87"/>
      <c r="E33" s="88"/>
      <c r="F33" s="86" t="s">
        <v>270</v>
      </c>
      <c r="G33" s="87"/>
      <c r="H33" s="88"/>
    </row>
    <row r="34" spans="1:9" x14ac:dyDescent="0.35">
      <c r="A34" s="171" t="s">
        <v>26</v>
      </c>
      <c r="B34" s="171" t="s">
        <v>29</v>
      </c>
      <c r="C34" s="86" t="s">
        <v>267</v>
      </c>
      <c r="D34" s="87"/>
      <c r="E34" s="88"/>
      <c r="F34" s="86" t="s">
        <v>262</v>
      </c>
      <c r="G34" s="87"/>
      <c r="H34" s="88"/>
    </row>
    <row r="35" spans="1:9" s="22" customFormat="1" x14ac:dyDescent="0.35">
      <c r="A35" s="171" t="s">
        <v>28</v>
      </c>
      <c r="B35" s="171" t="s">
        <v>29</v>
      </c>
      <c r="C35" s="86" t="s">
        <v>266</v>
      </c>
      <c r="D35" s="87"/>
      <c r="E35" s="88"/>
      <c r="F35" s="86" t="s">
        <v>269</v>
      </c>
      <c r="G35" s="87"/>
      <c r="H35" s="88"/>
    </row>
    <row r="36" spans="1:9" x14ac:dyDescent="0.35">
      <c r="A36" s="171" t="s">
        <v>27</v>
      </c>
      <c r="B36" s="171" t="s">
        <v>29</v>
      </c>
      <c r="C36" s="86" t="s">
        <v>268</v>
      </c>
      <c r="D36" s="87"/>
      <c r="E36" s="88"/>
      <c r="F36" s="86" t="s">
        <v>271</v>
      </c>
      <c r="G36" s="87"/>
      <c r="H36" s="88"/>
    </row>
    <row r="37" spans="1:9" x14ac:dyDescent="0.35">
      <c r="A37" s="78" t="s">
        <v>31</v>
      </c>
      <c r="B37" s="78"/>
      <c r="C37" s="78"/>
      <c r="D37" s="78"/>
      <c r="E37" s="78"/>
      <c r="F37" s="78"/>
      <c r="G37" s="78"/>
      <c r="H37" s="78"/>
    </row>
    <row r="38" spans="1:9" ht="15.75" customHeight="1" x14ac:dyDescent="0.35">
      <c r="A38" s="159" t="s">
        <v>166</v>
      </c>
      <c r="B38" s="159"/>
      <c r="C38" s="78" t="s">
        <v>259</v>
      </c>
      <c r="D38" s="78"/>
      <c r="E38" s="78"/>
      <c r="F38" s="78"/>
      <c r="G38" s="78"/>
      <c r="H38" s="78"/>
    </row>
    <row r="39" spans="1:9" x14ac:dyDescent="0.35">
      <c r="A39" s="159" t="s">
        <v>162</v>
      </c>
      <c r="B39" s="159"/>
      <c r="C39" s="174" t="s">
        <v>260</v>
      </c>
      <c r="D39" s="97"/>
      <c r="E39" s="97"/>
      <c r="F39" s="97"/>
      <c r="G39" s="97"/>
      <c r="H39" s="97"/>
    </row>
    <row r="40" spans="1:9" x14ac:dyDescent="0.35">
      <c r="A40" s="159" t="s">
        <v>34</v>
      </c>
      <c r="B40" s="159"/>
      <c r="C40" s="159"/>
      <c r="D40" s="159"/>
      <c r="E40" s="159"/>
      <c r="F40" s="159"/>
      <c r="G40" s="159"/>
      <c r="H40" s="159"/>
    </row>
    <row r="41" spans="1:9" x14ac:dyDescent="0.35">
      <c r="A41" s="78" t="s">
        <v>35</v>
      </c>
      <c r="B41" s="78"/>
      <c r="C41" s="78"/>
      <c r="D41" s="78"/>
      <c r="E41" s="181">
        <v>1716.94</v>
      </c>
      <c r="F41" s="181"/>
      <c r="G41" s="181"/>
      <c r="H41" s="181"/>
    </row>
    <row r="42" spans="1:9" x14ac:dyDescent="0.35">
      <c r="A42" s="78" t="s">
        <v>36</v>
      </c>
      <c r="B42" s="78"/>
      <c r="C42" s="78"/>
      <c r="D42" s="78"/>
      <c r="E42" s="93">
        <f>1716.94/E41</f>
        <v>1</v>
      </c>
      <c r="F42" s="93"/>
      <c r="G42" s="93"/>
      <c r="H42" s="93"/>
    </row>
    <row r="43" spans="1:9" x14ac:dyDescent="0.35">
      <c r="A43" s="78" t="s">
        <v>37</v>
      </c>
      <c r="B43" s="78"/>
      <c r="C43" s="78"/>
      <c r="D43" s="78"/>
      <c r="E43" s="93">
        <f>E45/E41-E42</f>
        <v>2.5726816312742438</v>
      </c>
      <c r="F43" s="93"/>
      <c r="G43" s="93"/>
      <c r="H43" s="93"/>
    </row>
    <row r="44" spans="1:9" x14ac:dyDescent="0.35">
      <c r="A44" s="78" t="s">
        <v>38</v>
      </c>
      <c r="B44" s="78"/>
      <c r="C44" s="78"/>
      <c r="D44" s="78"/>
      <c r="E44" s="93">
        <f>E42+E43</f>
        <v>3.5726816312742438</v>
      </c>
      <c r="F44" s="93"/>
      <c r="G44" s="93"/>
      <c r="H44" s="93"/>
      <c r="I44" s="61">
        <f>E45/E41</f>
        <v>3.5726816312742438</v>
      </c>
    </row>
    <row r="45" spans="1:9" x14ac:dyDescent="0.35">
      <c r="A45" s="78" t="s">
        <v>92</v>
      </c>
      <c r="B45" s="78"/>
      <c r="C45" s="78"/>
      <c r="D45" s="78"/>
      <c r="E45" s="184">
        <v>6134.08</v>
      </c>
      <c r="F45" s="184"/>
      <c r="G45" s="184"/>
      <c r="H45" s="184"/>
    </row>
    <row r="46" spans="1:9" x14ac:dyDescent="0.35">
      <c r="A46" s="96" t="s">
        <v>39</v>
      </c>
      <c r="B46" s="96"/>
      <c r="C46" s="96"/>
      <c r="D46" s="96"/>
      <c r="E46" s="96" t="s">
        <v>122</v>
      </c>
      <c r="F46" s="96"/>
      <c r="G46" s="96"/>
      <c r="H46" s="96"/>
    </row>
    <row r="47" spans="1:9" x14ac:dyDescent="0.35">
      <c r="A47" s="159" t="s">
        <v>40</v>
      </c>
      <c r="B47" s="159"/>
      <c r="C47" s="159"/>
      <c r="D47" s="159"/>
      <c r="E47" s="159"/>
      <c r="F47" s="159"/>
      <c r="G47" s="159"/>
      <c r="H47" s="159"/>
    </row>
    <row r="48" spans="1:9" ht="33.75" customHeight="1" x14ac:dyDescent="0.35">
      <c r="A48" s="110" t="s">
        <v>151</v>
      </c>
      <c r="B48" s="112"/>
      <c r="C48" s="175" t="s">
        <v>240</v>
      </c>
      <c r="D48" s="176"/>
      <c r="E48" s="176"/>
      <c r="F48" s="176"/>
      <c r="G48" s="176"/>
      <c r="H48" s="177"/>
    </row>
    <row r="49" spans="1:14" ht="15.75" customHeight="1" x14ac:dyDescent="0.35">
      <c r="A49" s="110" t="s">
        <v>41</v>
      </c>
      <c r="B49" s="112"/>
      <c r="C49" s="110" t="s">
        <v>257</v>
      </c>
      <c r="D49" s="111"/>
      <c r="E49" s="112"/>
      <c r="F49" s="18" t="s">
        <v>42</v>
      </c>
      <c r="G49" s="165">
        <v>45022</v>
      </c>
      <c r="H49" s="112"/>
    </row>
    <row r="50" spans="1:14" x14ac:dyDescent="0.35">
      <c r="A50" s="110" t="s">
        <v>43</v>
      </c>
      <c r="B50" s="112"/>
      <c r="C50" s="110" t="str">
        <f>C49</f>
        <v>KBNP/NRV/BD/1519-232</v>
      </c>
      <c r="D50" s="111"/>
      <c r="E50" s="112"/>
      <c r="F50" s="18" t="s">
        <v>42</v>
      </c>
      <c r="G50" s="165">
        <f>G49</f>
        <v>45022</v>
      </c>
      <c r="H50" s="166"/>
    </row>
    <row r="51" spans="1:14" s="23" customFormat="1" ht="36.75" customHeight="1" x14ac:dyDescent="0.35">
      <c r="A51" s="84" t="s">
        <v>231</v>
      </c>
      <c r="B51" s="84"/>
      <c r="C51" s="110" t="s">
        <v>258</v>
      </c>
      <c r="D51" s="111"/>
      <c r="E51" s="112"/>
      <c r="F51" s="18" t="s">
        <v>42</v>
      </c>
      <c r="G51" s="165">
        <f>G50</f>
        <v>45022</v>
      </c>
      <c r="H51" s="166"/>
    </row>
    <row r="52" spans="1:14" s="23" customFormat="1" x14ac:dyDescent="0.35">
      <c r="A52" s="84" t="s">
        <v>232</v>
      </c>
      <c r="B52" s="84"/>
      <c r="C52" s="110" t="s">
        <v>241</v>
      </c>
      <c r="D52" s="111"/>
      <c r="E52" s="111"/>
      <c r="F52" s="111"/>
      <c r="G52" s="111"/>
      <c r="H52" s="112"/>
    </row>
    <row r="53" spans="1:14" x14ac:dyDescent="0.35">
      <c r="A53" s="79" t="s">
        <v>44</v>
      </c>
      <c r="B53" s="80"/>
      <c r="C53" s="79" t="s">
        <v>106</v>
      </c>
      <c r="D53" s="81"/>
      <c r="E53" s="80"/>
      <c r="F53" s="46" t="s">
        <v>42</v>
      </c>
      <c r="G53" s="167" t="s">
        <v>29</v>
      </c>
      <c r="H53" s="168"/>
    </row>
    <row r="54" spans="1:14" x14ac:dyDescent="0.35">
      <c r="A54" s="162" t="s">
        <v>46</v>
      </c>
      <c r="B54" s="162"/>
      <c r="C54" s="162"/>
      <c r="D54" s="162"/>
      <c r="E54" s="162"/>
      <c r="F54" s="162"/>
      <c r="G54" s="162"/>
      <c r="H54" s="162"/>
    </row>
    <row r="55" spans="1:14" x14ac:dyDescent="0.35">
      <c r="A55" s="84" t="s">
        <v>91</v>
      </c>
      <c r="B55" s="84"/>
      <c r="C55" s="84"/>
      <c r="D55" s="78">
        <f>E45</f>
        <v>6134.08</v>
      </c>
      <c r="E55" s="78"/>
      <c r="F55" s="78"/>
      <c r="G55" s="78"/>
      <c r="H55" s="78"/>
    </row>
    <row r="56" spans="1:14" x14ac:dyDescent="0.35">
      <c r="A56" s="97" t="s">
        <v>47</v>
      </c>
      <c r="B56" s="96"/>
      <c r="C56" s="96"/>
      <c r="D56" s="109" t="s">
        <v>255</v>
      </c>
      <c r="E56" s="109"/>
      <c r="F56" s="109"/>
      <c r="G56" s="109"/>
      <c r="H56" s="109"/>
      <c r="I56" s="24">
        <f>87+30</f>
        <v>117</v>
      </c>
    </row>
    <row r="57" spans="1:14" x14ac:dyDescent="0.35">
      <c r="A57" s="113" t="s">
        <v>48</v>
      </c>
      <c r="B57" s="114"/>
      <c r="C57" s="164"/>
      <c r="D57" s="99" t="s">
        <v>242</v>
      </c>
      <c r="E57" s="163"/>
      <c r="F57" s="163"/>
      <c r="G57" s="163"/>
      <c r="H57" s="163"/>
    </row>
    <row r="58" spans="1:14" ht="15.75" customHeight="1" x14ac:dyDescent="0.35">
      <c r="A58" s="113" t="s">
        <v>89</v>
      </c>
      <c r="B58" s="114"/>
      <c r="C58" s="114"/>
      <c r="D58" s="115" t="s">
        <v>242</v>
      </c>
      <c r="E58" s="116"/>
      <c r="F58" s="116"/>
      <c r="G58" s="116"/>
      <c r="H58" s="117"/>
    </row>
    <row r="59" spans="1:14" ht="15.75" customHeight="1" x14ac:dyDescent="0.35">
      <c r="A59" s="78" t="s">
        <v>45</v>
      </c>
      <c r="B59" s="78"/>
      <c r="C59" s="78"/>
      <c r="D59" s="182" t="s">
        <v>243</v>
      </c>
      <c r="E59" s="182"/>
      <c r="F59" s="182"/>
      <c r="G59" s="182"/>
      <c r="H59" s="182"/>
      <c r="J59" s="25"/>
      <c r="K59" s="24"/>
      <c r="N59" s="24"/>
    </row>
    <row r="60" spans="1:14" ht="15.75" customHeight="1" x14ac:dyDescent="0.35">
      <c r="A60" s="78" t="s">
        <v>87</v>
      </c>
      <c r="B60" s="78"/>
      <c r="C60" s="78"/>
      <c r="D60" s="183" t="str">
        <f>(IF(G53="NA","60 Years After Completion",IF(G53&lt;&gt;"NA",""&amp;60-ROUNDDOWN((E3-G53)/360,0)&amp;" Years"," ")))</f>
        <v>60 Years After Completion</v>
      </c>
      <c r="E60" s="183"/>
      <c r="F60" s="183"/>
      <c r="G60" s="183"/>
      <c r="H60" s="183"/>
      <c r="N60" s="24"/>
    </row>
    <row r="61" spans="1:14" ht="15.75" customHeight="1" x14ac:dyDescent="0.35">
      <c r="A61" s="78" t="s">
        <v>88</v>
      </c>
      <c r="B61" s="78"/>
      <c r="C61" s="78"/>
      <c r="D61" s="84" t="s">
        <v>24</v>
      </c>
      <c r="E61" s="84"/>
      <c r="F61" s="84"/>
      <c r="G61" s="84"/>
      <c r="H61" s="84"/>
      <c r="J61" s="26"/>
      <c r="K61" s="26"/>
    </row>
    <row r="62" spans="1:14" ht="33.75" customHeight="1" x14ac:dyDescent="0.35">
      <c r="A62" s="96" t="s">
        <v>233</v>
      </c>
      <c r="B62" s="96"/>
      <c r="C62" s="96"/>
      <c r="D62" s="97" t="s">
        <v>276</v>
      </c>
      <c r="E62" s="84"/>
      <c r="F62" s="84"/>
      <c r="G62" s="84"/>
      <c r="H62" s="84"/>
    </row>
    <row r="63" spans="1:14" x14ac:dyDescent="0.35">
      <c r="A63" s="84" t="s">
        <v>149</v>
      </c>
      <c r="B63" s="84"/>
      <c r="C63" s="84"/>
      <c r="D63" s="84" t="s">
        <v>29</v>
      </c>
      <c r="E63" s="84"/>
      <c r="F63" s="84"/>
      <c r="G63" s="84"/>
      <c r="H63" s="84"/>
      <c r="I63" s="27"/>
      <c r="J63" s="27"/>
      <c r="K63" s="27"/>
      <c r="L63" s="27"/>
      <c r="M63" s="27"/>
      <c r="N63" s="27"/>
    </row>
    <row r="64" spans="1:14" ht="15.75" customHeight="1" x14ac:dyDescent="0.35">
      <c r="A64" s="85" t="s">
        <v>86</v>
      </c>
      <c r="B64" s="85"/>
      <c r="C64" s="85"/>
      <c r="D64" s="99" t="str">
        <f ca="1">(IF(G70&gt;95%,"Nothing",IF(G70&gt;0%,"Cement, Aggregate, Steel, etc",IF(G70=0%,"Work not yet Started"))))</f>
        <v>Cement, Aggregate, Steel, etc</v>
      </c>
      <c r="E64" s="99"/>
      <c r="F64" s="99"/>
      <c r="G64" s="99"/>
      <c r="H64" s="99"/>
      <c r="J64" s="26"/>
    </row>
    <row r="65" spans="1:10" ht="33.75" customHeight="1" thickBot="1" x14ac:dyDescent="0.4">
      <c r="A65" s="98" t="s">
        <v>119</v>
      </c>
      <c r="B65" s="98"/>
      <c r="C65" s="98"/>
      <c r="D65" s="99" t="str">
        <f ca="1">(IF(D64="Nothing","Yes",IF(D64="Cement, Aggregate, Steel, etc","Under Construction",IF(D64="Work not yet Started","Work not yet Started"))))</f>
        <v>Under Construction</v>
      </c>
      <c r="E65" s="99"/>
      <c r="F65" s="99" t="str">
        <f ca="1">(IF(D64="Nothing","Yes",IF(D64="Cement, Aggregate, Steel, etc","Under Construction",IF(D64="Work not yet Started","Work not yet Started"))))</f>
        <v>Under Construction</v>
      </c>
      <c r="G65" s="99"/>
      <c r="H65" s="99"/>
    </row>
    <row r="66" spans="1:10" ht="15.75" customHeight="1" x14ac:dyDescent="0.35">
      <c r="A66" s="120" t="s">
        <v>141</v>
      </c>
      <c r="B66" s="121"/>
      <c r="C66" s="122" t="str">
        <f>D58</f>
        <v>Gr + 1st to 10th Floor</v>
      </c>
      <c r="D66" s="123"/>
      <c r="E66" s="123"/>
      <c r="F66" s="123"/>
      <c r="G66" s="123"/>
      <c r="H66" s="124"/>
      <c r="I66" s="50" t="str">
        <f ca="1">IF(D79=100%,"All work Completed. Possession granted to the Building.",IF(D78=100%,"All work Completed, Waiting for OC",I67&amp;""&amp;I68&amp;""&amp;J67&amp;""&amp;J66&amp;" "&amp;J68))</f>
        <v xml:space="preserve">Excavation, Plinth, RCC Slab Completed </v>
      </c>
      <c r="J66" s="5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35">
      <c r="A67" s="16" t="s">
        <v>143</v>
      </c>
      <c r="B67" s="54">
        <f>IF(AND(ISNUMBER(SEARCH("1B",C66))),1,IF(AND(ISNUMBER(SEARCH("2B",C66))),2,IF(AND(ISNUMBER(SEARCH("3B",C66))),3,IF(AND(ISNUMBER(SEARCH("4B",C66))),4,IF(ISNUMBER(SEARCH("5B",C66)),5,0)))))</f>
        <v>0</v>
      </c>
      <c r="C67" s="48" t="s">
        <v>72</v>
      </c>
      <c r="D67" s="48">
        <v>1</v>
      </c>
      <c r="E67" s="48" t="s">
        <v>71</v>
      </c>
      <c r="F67" s="55">
        <v>0</v>
      </c>
      <c r="G67" s="49" t="s">
        <v>80</v>
      </c>
      <c r="H67" s="17">
        <f ca="1">--TRIM(RIGHT(SUBSTITUTE(LEFT(C66,_xlfn.AGGREGATE(16,6,FIND({0,1,2,3,4,5,6,7,8,9},C66,ROW(INDIRECT("1:"&amp;LEN(C66)))),1))," ",REPT(" ",LEN(C66))),LEN(C66)))</f>
        <v>10</v>
      </c>
      <c r="I67" s="5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35">
      <c r="A68" s="118" t="s">
        <v>90</v>
      </c>
      <c r="B68" s="119"/>
      <c r="C68" s="125" t="str">
        <f ca="1">I66</f>
        <v xml:space="preserve">Excavation, Plinth, RCC Slab Completed </v>
      </c>
      <c r="D68" s="125"/>
      <c r="E68" s="125"/>
      <c r="F68" s="125"/>
      <c r="G68" s="125"/>
      <c r="H68" s="126"/>
      <c r="I68" s="52" t="str">
        <f ca="1">IF(I67&lt;&gt;""," Completed","")</f>
        <v xml:space="preserve"> Completed</v>
      </c>
      <c r="J68" s="53" t="str">
        <f ca="1">IF(J66&lt;&gt;"","Completed","")</f>
        <v/>
      </c>
    </row>
    <row r="69" spans="1:10" ht="15.75" customHeight="1" x14ac:dyDescent="0.35">
      <c r="A69" s="94" t="s">
        <v>49</v>
      </c>
      <c r="B69" s="95"/>
      <c r="C69" s="44" t="s">
        <v>140</v>
      </c>
      <c r="D69" s="44" t="s">
        <v>83</v>
      </c>
      <c r="E69" s="95" t="s">
        <v>85</v>
      </c>
      <c r="F69" s="95"/>
      <c r="G69" s="95" t="s">
        <v>84</v>
      </c>
      <c r="H69" s="100"/>
      <c r="I69" s="14" t="s">
        <v>142</v>
      </c>
      <c r="J69" s="28">
        <f ca="1">H67*25%</f>
        <v>2.5</v>
      </c>
    </row>
    <row r="70" spans="1:10" x14ac:dyDescent="0.35">
      <c r="A70" s="94" t="s">
        <v>129</v>
      </c>
      <c r="B70" s="95"/>
      <c r="C70" s="44">
        <f ca="1">J71</f>
        <v>10</v>
      </c>
      <c r="D70" s="19">
        <f ca="1">((100/H67)*C70)/100</f>
        <v>1</v>
      </c>
      <c r="E70" s="101">
        <f ca="1">(((C71/H67*10)+(40/(D67+F67+H67)*C72)+(7.5/(H67)*C73)+(7.5/(H67)*C74)+(10/H67*C75)+(10/H67*C76)+(5/H67*C77)+(5/H67*C78)+(5/H67*C79))/100)</f>
        <v>0.5</v>
      </c>
      <c r="F70" s="193"/>
      <c r="G70" s="101">
        <f ca="1">((((C70/H67)*20)+((C71/H67)*25)+(30/(H67+F67+D67)*C72)+(5/H67*C73)+(5/H67*C74)+(5/H67*C75)+(5/H67*C76)+(0/H67*C77)+(0/H67*C78)+(5/H67*C79))/100)</f>
        <v>0.75</v>
      </c>
      <c r="H70" s="102"/>
      <c r="I70" s="14" t="s">
        <v>101</v>
      </c>
      <c r="J70" s="29">
        <f ca="1">H67*50%</f>
        <v>5</v>
      </c>
    </row>
    <row r="71" spans="1:10" x14ac:dyDescent="0.35">
      <c r="A71" s="94" t="s">
        <v>50</v>
      </c>
      <c r="B71" s="95"/>
      <c r="C71" s="69">
        <f ca="1">J79</f>
        <v>10</v>
      </c>
      <c r="D71" s="19">
        <f ca="1">((100/H67)*C71)/100</f>
        <v>1</v>
      </c>
      <c r="E71" s="103"/>
      <c r="F71" s="194"/>
      <c r="G71" s="103"/>
      <c r="H71" s="104"/>
      <c r="I71" s="14" t="s">
        <v>102</v>
      </c>
      <c r="J71" s="29">
        <f ca="1">H67</f>
        <v>10</v>
      </c>
    </row>
    <row r="72" spans="1:10" ht="15.75" customHeight="1" x14ac:dyDescent="0.35">
      <c r="A72" s="94" t="s">
        <v>130</v>
      </c>
      <c r="B72" s="95"/>
      <c r="C72" s="44">
        <v>11</v>
      </c>
      <c r="D72" s="19">
        <f ca="1">((100/(D67+F67+H67))*C72)/100</f>
        <v>1.0000000000000002</v>
      </c>
      <c r="E72" s="103"/>
      <c r="F72" s="194"/>
      <c r="G72" s="103"/>
      <c r="H72" s="104"/>
      <c r="I72" s="14" t="s">
        <v>103</v>
      </c>
      <c r="J72" s="30">
        <f ca="1">(IF(B67&gt;1,(H67/(B67+2)),H67/4))</f>
        <v>2.5</v>
      </c>
    </row>
    <row r="73" spans="1:10" ht="15.75" customHeight="1" x14ac:dyDescent="0.35">
      <c r="A73" s="94" t="s">
        <v>137</v>
      </c>
      <c r="B73" s="95" t="s">
        <v>131</v>
      </c>
      <c r="C73" s="44">
        <v>0</v>
      </c>
      <c r="D73" s="19">
        <f ca="1">((100/H67)*C73)/100</f>
        <v>0</v>
      </c>
      <c r="E73" s="103"/>
      <c r="F73" s="194"/>
      <c r="G73" s="103"/>
      <c r="H73" s="104"/>
      <c r="I73" s="14" t="s">
        <v>104</v>
      </c>
      <c r="J73" s="30">
        <f ca="1">(IF(B67&gt;1,(H67/(B67+2)+J72),H67/4+J72))</f>
        <v>5</v>
      </c>
    </row>
    <row r="74" spans="1:10" ht="15.75" customHeight="1" x14ac:dyDescent="0.35">
      <c r="A74" s="94" t="s">
        <v>138</v>
      </c>
      <c r="B74" s="95" t="s">
        <v>131</v>
      </c>
      <c r="C74" s="44">
        <v>0</v>
      </c>
      <c r="D74" s="19">
        <f ca="1">((100/H67)*C74)/100</f>
        <v>0</v>
      </c>
      <c r="E74" s="103"/>
      <c r="F74" s="194"/>
      <c r="G74" s="103"/>
      <c r="H74" s="104"/>
      <c r="I74" s="14" t="s">
        <v>147</v>
      </c>
      <c r="J74" s="30">
        <f>(IF(B67&gt;1,(H67/(B67+2)+J73),0))</f>
        <v>0</v>
      </c>
    </row>
    <row r="75" spans="1:10" ht="15" customHeight="1" x14ac:dyDescent="0.35">
      <c r="A75" s="94" t="s">
        <v>136</v>
      </c>
      <c r="B75" s="95" t="s">
        <v>133</v>
      </c>
      <c r="C75" s="44">
        <v>0</v>
      </c>
      <c r="D75" s="19">
        <f ca="1">((100/(H67))*C75)/100</f>
        <v>0</v>
      </c>
      <c r="E75" s="103"/>
      <c r="F75" s="194"/>
      <c r="G75" s="103"/>
      <c r="H75" s="104"/>
      <c r="I75" s="14" t="s">
        <v>144</v>
      </c>
      <c r="J75" s="30">
        <f>(IF(B67&gt;2,(H67/(B67+2)+J74),0))</f>
        <v>0</v>
      </c>
    </row>
    <row r="76" spans="1:10" ht="15.75" customHeight="1" x14ac:dyDescent="0.35">
      <c r="A76" s="94" t="s">
        <v>132</v>
      </c>
      <c r="B76" s="95" t="s">
        <v>132</v>
      </c>
      <c r="C76" s="44">
        <v>0</v>
      </c>
      <c r="D76" s="19">
        <f ca="1">((100/H67)*C76)/100</f>
        <v>0</v>
      </c>
      <c r="E76" s="103"/>
      <c r="F76" s="194"/>
      <c r="G76" s="103"/>
      <c r="H76" s="104"/>
      <c r="I76" s="14" t="s">
        <v>145</v>
      </c>
      <c r="J76" s="31">
        <f>(IF(B67&gt;3,(H67/(B67+2)+J75),0))</f>
        <v>0</v>
      </c>
    </row>
    <row r="77" spans="1:10" ht="15.75" customHeight="1" x14ac:dyDescent="0.35">
      <c r="A77" s="94" t="s">
        <v>139</v>
      </c>
      <c r="B77" s="95"/>
      <c r="C77" s="44">
        <v>0</v>
      </c>
      <c r="D77" s="19">
        <f ca="1">((100/H67)*C77)/100</f>
        <v>0</v>
      </c>
      <c r="E77" s="103"/>
      <c r="F77" s="194"/>
      <c r="G77" s="103"/>
      <c r="H77" s="104"/>
      <c r="I77" s="14" t="s">
        <v>146</v>
      </c>
      <c r="J77" s="30">
        <f>(IF(B67&gt;4,(H67/(B67+2)+J76),0))</f>
        <v>0</v>
      </c>
    </row>
    <row r="78" spans="1:10" ht="15.75" customHeight="1" x14ac:dyDescent="0.35">
      <c r="A78" s="94" t="s">
        <v>134</v>
      </c>
      <c r="B78" s="95" t="s">
        <v>134</v>
      </c>
      <c r="C78" s="44">
        <v>0</v>
      </c>
      <c r="D78" s="19">
        <f ca="1">((100/(H67))*C78)/100</f>
        <v>0</v>
      </c>
      <c r="E78" s="103"/>
      <c r="F78" s="194"/>
      <c r="G78" s="103"/>
      <c r="H78" s="104"/>
      <c r="I78" s="14" t="s">
        <v>148</v>
      </c>
      <c r="J78" s="30">
        <f ca="1">(IF(B67=1,(H67/(B67+3)+J73),IF(B67=0,(H67/4+J73),IF(B67&gt;1,0))))</f>
        <v>7.5</v>
      </c>
    </row>
    <row r="79" spans="1:10" ht="16" thickBot="1" x14ac:dyDescent="0.4">
      <c r="A79" s="107" t="s">
        <v>135</v>
      </c>
      <c r="B79" s="108"/>
      <c r="C79" s="45">
        <v>0</v>
      </c>
      <c r="D79" s="20">
        <f ca="1">((100/(H67))*C79)/100</f>
        <v>0</v>
      </c>
      <c r="E79" s="105"/>
      <c r="F79" s="195"/>
      <c r="G79" s="105"/>
      <c r="H79" s="106"/>
      <c r="I79" s="15" t="s">
        <v>105</v>
      </c>
      <c r="J79" s="32">
        <f ca="1">(IF(B67&gt;1.5,(H67/(B67+2)+J73+MAX(0,J74-J73)+MAX(0,J75-J74)+MAX(0,J76-J75)+MAX(0,J77-J76)+MAX(0,J78-J77)),IF(B67=1,(H67/(B67+3)+J78),IF(B67=0,H67/4+J78))))</f>
        <v>10</v>
      </c>
    </row>
    <row r="80" spans="1:10" x14ac:dyDescent="0.35">
      <c r="A80" s="196" t="s">
        <v>156</v>
      </c>
      <c r="B80" s="196"/>
      <c r="C80" s="196"/>
      <c r="D80" s="196"/>
      <c r="E80" s="196"/>
      <c r="F80" s="153" t="s">
        <v>160</v>
      </c>
      <c r="G80" s="153"/>
      <c r="H80" s="153"/>
    </row>
    <row r="81" spans="1:9" x14ac:dyDescent="0.35">
      <c r="A81" s="78" t="s">
        <v>158</v>
      </c>
      <c r="B81" s="78"/>
      <c r="C81" s="78"/>
      <c r="D81" s="78"/>
      <c r="E81" s="78"/>
      <c r="F81" s="73">
        <v>4000</v>
      </c>
      <c r="G81" s="73"/>
      <c r="H81" s="73"/>
      <c r="I81" s="21" t="s">
        <v>279</v>
      </c>
    </row>
    <row r="82" spans="1:9" x14ac:dyDescent="0.35">
      <c r="A82" s="78" t="s">
        <v>157</v>
      </c>
      <c r="B82" s="78"/>
      <c r="C82" s="78"/>
      <c r="D82" s="78"/>
      <c r="E82" s="78"/>
      <c r="F82" s="73">
        <v>10000</v>
      </c>
      <c r="G82" s="73"/>
      <c r="H82" s="73"/>
    </row>
    <row r="83" spans="1:9" hidden="1" x14ac:dyDescent="0.35">
      <c r="A83" s="78" t="s">
        <v>159</v>
      </c>
      <c r="B83" s="78"/>
      <c r="C83" s="78"/>
      <c r="D83" s="78"/>
      <c r="E83" s="78"/>
      <c r="F83" s="73"/>
      <c r="G83" s="73"/>
      <c r="H83" s="73"/>
    </row>
    <row r="84" spans="1:9" s="33" customFormat="1" hidden="1" x14ac:dyDescent="0.3">
      <c r="A84" s="78" t="s">
        <v>175</v>
      </c>
      <c r="B84" s="78"/>
      <c r="C84" s="78"/>
      <c r="D84" s="78"/>
      <c r="E84" s="78"/>
      <c r="F84" s="73"/>
      <c r="G84" s="73"/>
      <c r="H84" s="73"/>
    </row>
    <row r="85" spans="1:9" s="33" customFormat="1" x14ac:dyDescent="0.3">
      <c r="A85" s="78" t="s">
        <v>95</v>
      </c>
      <c r="B85" s="78"/>
      <c r="C85" s="78"/>
      <c r="D85" s="78"/>
      <c r="E85" s="78"/>
      <c r="F85" s="73">
        <v>250000</v>
      </c>
      <c r="G85" s="73"/>
      <c r="H85" s="73"/>
    </row>
    <row r="86" spans="1:9" s="33" customFormat="1" hidden="1" x14ac:dyDescent="0.3">
      <c r="A86" s="78" t="s">
        <v>96</v>
      </c>
      <c r="B86" s="78"/>
      <c r="C86" s="78"/>
      <c r="D86" s="78"/>
      <c r="E86" s="78"/>
      <c r="F86" s="73"/>
      <c r="G86" s="73"/>
      <c r="H86" s="73"/>
    </row>
    <row r="87" spans="1:9" s="33" customFormat="1" hidden="1" x14ac:dyDescent="0.3">
      <c r="A87" s="78" t="s">
        <v>161</v>
      </c>
      <c r="B87" s="78"/>
      <c r="C87" s="78"/>
      <c r="D87" s="78"/>
      <c r="E87" s="78"/>
      <c r="F87" s="73"/>
      <c r="G87" s="73"/>
      <c r="H87" s="73"/>
    </row>
    <row r="88" spans="1:9" s="33" customFormat="1" hidden="1" x14ac:dyDescent="0.3">
      <c r="A88" s="78" t="s">
        <v>97</v>
      </c>
      <c r="B88" s="78"/>
      <c r="C88" s="78"/>
      <c r="D88" s="78"/>
      <c r="E88" s="78"/>
      <c r="F88" s="73"/>
      <c r="G88" s="73"/>
      <c r="H88" s="73"/>
    </row>
    <row r="89" spans="1:9" s="33" customFormat="1" hidden="1" x14ac:dyDescent="0.3">
      <c r="A89" s="78" t="s">
        <v>98</v>
      </c>
      <c r="B89" s="78"/>
      <c r="C89" s="78"/>
      <c r="D89" s="78"/>
      <c r="E89" s="78"/>
      <c r="F89" s="73"/>
      <c r="G89" s="73"/>
      <c r="H89" s="73"/>
    </row>
    <row r="90" spans="1:9" s="33" customFormat="1" hidden="1" x14ac:dyDescent="0.3">
      <c r="A90" s="78" t="s">
        <v>99</v>
      </c>
      <c r="B90" s="78"/>
      <c r="C90" s="78"/>
      <c r="D90" s="78"/>
      <c r="E90" s="78"/>
      <c r="F90" s="73"/>
      <c r="G90" s="73"/>
      <c r="H90" s="73"/>
    </row>
    <row r="91" spans="1:9" s="33" customFormat="1" hidden="1" x14ac:dyDescent="0.3">
      <c r="A91" s="78" t="s">
        <v>100</v>
      </c>
      <c r="B91" s="78"/>
      <c r="C91" s="78"/>
      <c r="D91" s="78"/>
      <c r="E91" s="78"/>
      <c r="F91" s="73"/>
      <c r="G91" s="73"/>
      <c r="H91" s="73"/>
    </row>
    <row r="92" spans="1:9" x14ac:dyDescent="0.35">
      <c r="A92" s="78" t="s">
        <v>51</v>
      </c>
      <c r="B92" s="78"/>
      <c r="C92" s="78"/>
      <c r="D92" s="78"/>
      <c r="E92" s="78"/>
      <c r="F92" s="158">
        <v>150000</v>
      </c>
      <c r="G92" s="158"/>
      <c r="H92" s="158"/>
    </row>
    <row r="93" spans="1:9" s="34" customFormat="1" x14ac:dyDescent="0.35">
      <c r="A93" s="159" t="s">
        <v>52</v>
      </c>
      <c r="B93" s="159"/>
      <c r="C93" s="159"/>
      <c r="D93" s="159"/>
      <c r="E93" s="159"/>
      <c r="F93" s="73">
        <f>F81*0.8</f>
        <v>3200</v>
      </c>
      <c r="G93" s="73"/>
      <c r="H93" s="73"/>
    </row>
    <row r="94" spans="1:9" s="35" customFormat="1" ht="15.75" customHeight="1" x14ac:dyDescent="0.35">
      <c r="A94" s="157" t="s">
        <v>75</v>
      </c>
      <c r="B94" s="157"/>
      <c r="C94" s="157"/>
      <c r="D94" s="157"/>
      <c r="E94" s="157"/>
      <c r="F94" s="157"/>
      <c r="G94" s="157"/>
      <c r="H94" s="157"/>
    </row>
    <row r="95" spans="1:9" s="35" customFormat="1" ht="15.75" customHeight="1" x14ac:dyDescent="0.35">
      <c r="A95" s="77" t="s">
        <v>53</v>
      </c>
      <c r="B95" s="77"/>
      <c r="C95" s="83" t="s">
        <v>78</v>
      </c>
      <c r="D95" s="83"/>
      <c r="E95" s="82" t="s">
        <v>54</v>
      </c>
      <c r="F95" s="82"/>
      <c r="G95" s="77" t="s">
        <v>55</v>
      </c>
      <c r="H95" s="77"/>
    </row>
    <row r="96" spans="1:9" s="35" customFormat="1" x14ac:dyDescent="0.35">
      <c r="A96" s="161" t="s">
        <v>253</v>
      </c>
      <c r="B96" s="161"/>
      <c r="C96" s="191">
        <f>COUNT(D106:D110)</f>
        <v>5</v>
      </c>
      <c r="D96" s="192"/>
      <c r="E96" s="189">
        <f>SUM(D106:D110)</f>
        <v>754.66403999999989</v>
      </c>
      <c r="F96" s="190"/>
      <c r="G96" s="189">
        <f>SUM(F106:F110)</f>
        <v>1169.7292619999998</v>
      </c>
      <c r="H96" s="190"/>
    </row>
    <row r="97" spans="1:14" s="35" customFormat="1" x14ac:dyDescent="0.35">
      <c r="A97" s="157" t="s">
        <v>70</v>
      </c>
      <c r="B97" s="157"/>
      <c r="C97" s="157"/>
      <c r="D97" s="157"/>
      <c r="E97" s="157"/>
      <c r="F97" s="157"/>
      <c r="G97" s="157"/>
      <c r="H97" s="157"/>
    </row>
    <row r="98" spans="1:14" s="35" customFormat="1" ht="15.75" customHeight="1" x14ac:dyDescent="0.35">
      <c r="A98" s="77" t="s">
        <v>53</v>
      </c>
      <c r="B98" s="77"/>
      <c r="C98" s="83" t="s">
        <v>78</v>
      </c>
      <c r="D98" s="83"/>
      <c r="E98" s="82" t="s">
        <v>54</v>
      </c>
      <c r="F98" s="82"/>
      <c r="G98" s="77" t="s">
        <v>55</v>
      </c>
      <c r="H98" s="77"/>
    </row>
    <row r="99" spans="1:14" s="35" customFormat="1" ht="16" thickBot="1" x14ac:dyDescent="0.4">
      <c r="A99" s="161" t="s">
        <v>254</v>
      </c>
      <c r="B99" s="161"/>
      <c r="C99" s="191">
        <f>COUNT(D115:D118,D121:D126)+COUNT(D128:D139)*8+COUNT(D141:D144,D146:D152)</f>
        <v>117</v>
      </c>
      <c r="D99" s="191"/>
      <c r="E99" s="189">
        <f>SUM(D115:D118,D121:D126)+SUM(D128:D139)*8+SUM(D141:D144,D146:D152)</f>
        <v>57507.423480000012</v>
      </c>
      <c r="F99" s="189"/>
      <c r="G99" s="189">
        <f>SUM(F115:F118,F121:F126)+SUM(F128:F139)*8+SUM(F141:F144,F146:F152)</f>
        <v>86331.155039999998</v>
      </c>
      <c r="H99" s="189"/>
    </row>
    <row r="100" spans="1:14" s="35" customFormat="1" ht="16" thickBot="1" x14ac:dyDescent="0.4">
      <c r="A100" s="89" t="s">
        <v>167</v>
      </c>
      <c r="B100" s="90"/>
      <c r="C100" s="91">
        <f>SUM(C96,C99)</f>
        <v>122</v>
      </c>
      <c r="D100" s="92"/>
      <c r="E100" s="91">
        <f>SUM(E96,E99)</f>
        <v>58262.087520000016</v>
      </c>
      <c r="F100" s="92"/>
      <c r="G100" s="91">
        <f>SUM(G96,G99)</f>
        <v>87500.884301999991</v>
      </c>
      <c r="H100" s="92"/>
    </row>
    <row r="101" spans="1:14" s="34" customFormat="1" x14ac:dyDescent="0.35">
      <c r="A101" s="153" t="s">
        <v>56</v>
      </c>
      <c r="B101" s="153"/>
      <c r="C101" s="153"/>
      <c r="D101" s="153"/>
      <c r="E101" s="153"/>
      <c r="F101" s="153"/>
      <c r="G101" s="153"/>
      <c r="H101" s="153"/>
    </row>
    <row r="102" spans="1:14" x14ac:dyDescent="0.35">
      <c r="A102" s="76" t="s">
        <v>174</v>
      </c>
      <c r="B102" s="76"/>
      <c r="C102" s="76"/>
      <c r="D102" s="76"/>
      <c r="E102" s="76"/>
      <c r="F102" s="76"/>
      <c r="G102" s="76"/>
      <c r="H102" s="76"/>
    </row>
    <row r="103" spans="1:14" ht="47.25" customHeight="1" x14ac:dyDescent="0.35">
      <c r="A103" s="129" t="s">
        <v>120</v>
      </c>
      <c r="B103" s="129" t="s">
        <v>176</v>
      </c>
      <c r="C103" s="129" t="s">
        <v>57</v>
      </c>
      <c r="D103" s="129" t="s">
        <v>58</v>
      </c>
      <c r="E103" s="131" t="s">
        <v>155</v>
      </c>
      <c r="F103" s="43" t="s">
        <v>150</v>
      </c>
      <c r="G103" s="133" t="s">
        <v>60</v>
      </c>
      <c r="H103" s="134"/>
    </row>
    <row r="104" spans="1:14" s="37" customFormat="1" x14ac:dyDescent="0.35">
      <c r="A104" s="130"/>
      <c r="B104" s="130"/>
      <c r="C104" s="130"/>
      <c r="D104" s="130"/>
      <c r="E104" s="132"/>
      <c r="F104" s="13">
        <v>0.55000000000000004</v>
      </c>
      <c r="G104" s="135"/>
      <c r="H104" s="136"/>
    </row>
    <row r="105" spans="1:14" s="37" customFormat="1" x14ac:dyDescent="0.35">
      <c r="A105" s="186" t="s">
        <v>277</v>
      </c>
      <c r="B105" s="187"/>
      <c r="C105" s="187"/>
      <c r="D105" s="187"/>
      <c r="E105" s="187"/>
      <c r="F105" s="187"/>
      <c r="G105" s="187"/>
      <c r="H105" s="188"/>
      <c r="J105" s="36">
        <v>15000</v>
      </c>
    </row>
    <row r="106" spans="1:14" s="37" customFormat="1" ht="15.75" customHeight="1" x14ac:dyDescent="0.35">
      <c r="A106" s="74">
        <v>1</v>
      </c>
      <c r="B106" s="75"/>
      <c r="C106" s="42" t="s">
        <v>244</v>
      </c>
      <c r="D106" s="58">
        <f>(10.72)*10.764</f>
        <v>115.39008</v>
      </c>
      <c r="E106" s="42">
        <v>0</v>
      </c>
      <c r="F106" s="42">
        <f>(D106+E106)*(($F$104)+1)</f>
        <v>178.854624</v>
      </c>
      <c r="G106" s="144" t="str">
        <f>A105</f>
        <v>Ground Floor For Entrance Lobby, Commercial &amp; Parking</v>
      </c>
      <c r="H106" s="145"/>
      <c r="I106" s="36">
        <f>5.5*1.95</f>
        <v>10.725</v>
      </c>
      <c r="J106" s="37">
        <f>J$105*F106</f>
        <v>2682819.36</v>
      </c>
      <c r="L106" s="185"/>
      <c r="M106" s="185"/>
      <c r="N106" s="36"/>
    </row>
    <row r="107" spans="1:14" s="37" customFormat="1" ht="15.75" customHeight="1" x14ac:dyDescent="0.35">
      <c r="A107" s="74">
        <f t="shared" ref="A107:A110" si="0">A106+1</f>
        <v>2</v>
      </c>
      <c r="B107" s="75"/>
      <c r="C107" s="58" t="s">
        <v>244</v>
      </c>
      <c r="D107" s="58">
        <f>( 11)*10.764</f>
        <v>118.404</v>
      </c>
      <c r="E107" s="42">
        <v>0</v>
      </c>
      <c r="F107" s="42">
        <f t="shared" ref="F107:F109" si="1">(D107+E107)*(($F$104)+1)</f>
        <v>183.52619999999999</v>
      </c>
      <c r="G107" s="146"/>
      <c r="H107" s="147"/>
      <c r="I107" s="36"/>
      <c r="J107" s="65">
        <f t="shared" ref="J107:J110" si="2">J$105*F107</f>
        <v>2752893</v>
      </c>
      <c r="L107" s="185"/>
      <c r="M107" s="185"/>
      <c r="N107" s="36"/>
    </row>
    <row r="108" spans="1:14" s="37" customFormat="1" ht="15.75" customHeight="1" x14ac:dyDescent="0.35">
      <c r="A108" s="74">
        <f t="shared" si="0"/>
        <v>3</v>
      </c>
      <c r="B108" s="75"/>
      <c r="C108" s="58" t="s">
        <v>244</v>
      </c>
      <c r="D108" s="58">
        <f>(11)*10.764</f>
        <v>118.404</v>
      </c>
      <c r="E108" s="42">
        <v>0</v>
      </c>
      <c r="F108" s="42">
        <f t="shared" si="1"/>
        <v>183.52619999999999</v>
      </c>
      <c r="G108" s="146"/>
      <c r="H108" s="147"/>
      <c r="I108" s="36"/>
      <c r="J108" s="65">
        <f t="shared" si="2"/>
        <v>2752893</v>
      </c>
      <c r="L108" s="185"/>
      <c r="M108" s="185"/>
      <c r="N108" s="36"/>
    </row>
    <row r="109" spans="1:14" s="37" customFormat="1" ht="15.75" customHeight="1" x14ac:dyDescent="0.35">
      <c r="A109" s="74">
        <f t="shared" si="0"/>
        <v>4</v>
      </c>
      <c r="B109" s="75"/>
      <c r="C109" s="58" t="s">
        <v>244</v>
      </c>
      <c r="D109" s="58">
        <f>(15.12)*10.764</f>
        <v>162.75167999999999</v>
      </c>
      <c r="E109" s="42">
        <v>0</v>
      </c>
      <c r="F109" s="42">
        <f t="shared" si="1"/>
        <v>252.26510400000001</v>
      </c>
      <c r="G109" s="146"/>
      <c r="H109" s="147"/>
      <c r="I109" s="36"/>
      <c r="J109" s="65">
        <f t="shared" si="2"/>
        <v>3783976.56</v>
      </c>
      <c r="L109" s="185"/>
      <c r="M109" s="185"/>
      <c r="N109" s="36"/>
    </row>
    <row r="110" spans="1:14" s="59" customFormat="1" ht="15.75" customHeight="1" x14ac:dyDescent="0.35">
      <c r="A110" s="74">
        <f t="shared" si="0"/>
        <v>5</v>
      </c>
      <c r="B110" s="75"/>
      <c r="C110" s="58" t="s">
        <v>244</v>
      </c>
      <c r="D110" s="58">
        <f>(22.27)*10.764</f>
        <v>239.71427999999997</v>
      </c>
      <c r="E110" s="58">
        <v>0</v>
      </c>
      <c r="F110" s="58">
        <f t="shared" ref="F110" si="3">(D110+E110)*(($F$104)+1)</f>
        <v>371.55713399999996</v>
      </c>
      <c r="G110" s="148"/>
      <c r="H110" s="149"/>
      <c r="I110" s="36">
        <f>5.5*4.05</f>
        <v>22.274999999999999</v>
      </c>
      <c r="J110" s="65">
        <f t="shared" si="2"/>
        <v>5573357.0099999998</v>
      </c>
      <c r="L110" s="185"/>
      <c r="M110" s="185"/>
      <c r="N110" s="36"/>
    </row>
    <row r="111" spans="1:14" s="37" customFormat="1" x14ac:dyDescent="0.35">
      <c r="A111" s="128"/>
      <c r="B111" s="128"/>
      <c r="C111" s="128"/>
      <c r="D111" s="128"/>
      <c r="E111" s="128"/>
      <c r="F111" s="128"/>
      <c r="G111" s="128"/>
      <c r="H111" s="128"/>
      <c r="I111" s="36"/>
      <c r="N111" s="36"/>
    </row>
    <row r="112" spans="1:14" ht="47.25" customHeight="1" x14ac:dyDescent="0.35">
      <c r="A112" s="198" t="s">
        <v>121</v>
      </c>
      <c r="B112" s="198" t="s">
        <v>177</v>
      </c>
      <c r="C112" s="198" t="s">
        <v>57</v>
      </c>
      <c r="D112" s="198" t="s">
        <v>58</v>
      </c>
      <c r="E112" s="199" t="s">
        <v>59</v>
      </c>
      <c r="F112" s="200" t="s">
        <v>150</v>
      </c>
      <c r="G112" s="198" t="s">
        <v>60</v>
      </c>
      <c r="H112" s="198"/>
      <c r="I112" s="36"/>
    </row>
    <row r="113" spans="1:14" s="37" customFormat="1" x14ac:dyDescent="0.35">
      <c r="A113" s="198"/>
      <c r="B113" s="198"/>
      <c r="C113" s="198"/>
      <c r="D113" s="198"/>
      <c r="E113" s="199"/>
      <c r="F113" s="201">
        <v>0.5</v>
      </c>
      <c r="G113" s="198"/>
      <c r="H113" s="198"/>
      <c r="I113" s="36"/>
    </row>
    <row r="114" spans="1:14" s="37" customFormat="1" x14ac:dyDescent="0.35">
      <c r="A114" s="202" t="s">
        <v>251</v>
      </c>
      <c r="B114" s="202"/>
      <c r="C114" s="202"/>
      <c r="D114" s="202"/>
      <c r="E114" s="202"/>
      <c r="F114" s="202"/>
      <c r="G114" s="202"/>
      <c r="H114" s="202"/>
      <c r="I114" s="58">
        <v>10.763999999999999</v>
      </c>
      <c r="J114" s="36"/>
      <c r="K114" s="37">
        <v>4000</v>
      </c>
    </row>
    <row r="115" spans="1:14" s="37" customFormat="1" x14ac:dyDescent="0.35">
      <c r="A115" s="128">
        <v>101</v>
      </c>
      <c r="B115" s="128"/>
      <c r="C115" s="70" t="s">
        <v>249</v>
      </c>
      <c r="D115" s="70">
        <f>(38.13+0.75*2.75)*10.764</f>
        <v>432.63207</v>
      </c>
      <c r="E115" s="70">
        <v>0</v>
      </c>
      <c r="F115" s="70">
        <f>D115*(($F$113)+1)+(IF(E115&lt;101,E115,IF(E115&lt;201,E115/2,IF(E115&lt;=301,E115/3,E115/4))))</f>
        <v>648.94810499999994</v>
      </c>
      <c r="G115" s="128" t="str">
        <f>A114</f>
        <v>1st Floor For Society Office, Drivers Room &amp; Residential</v>
      </c>
      <c r="H115" s="128"/>
      <c r="I115" s="62">
        <f>2.75*4.05+2.2*2.9+3.25*2.75+2.25*1.2+1.2*2.1+1.05*3.6+1.2*0.9+0.2*1.05</f>
        <v>36.744999999999997</v>
      </c>
      <c r="J115" s="62">
        <f>0.75*2.75</f>
        <v>2.0625</v>
      </c>
      <c r="K115" s="37">
        <f>K$114*F115</f>
        <v>2595792.42</v>
      </c>
      <c r="L115" s="185"/>
      <c r="M115" s="185"/>
      <c r="N115" s="36"/>
    </row>
    <row r="116" spans="1:14" s="37" customFormat="1" x14ac:dyDescent="0.35">
      <c r="A116" s="128">
        <f t="shared" ref="A116:A126" si="4">A115+1</f>
        <v>102</v>
      </c>
      <c r="B116" s="128"/>
      <c r="C116" s="70" t="s">
        <v>250</v>
      </c>
      <c r="D116" s="70">
        <f>(46.95+1.2*(1.8+2.75)+0.75*2.85)*10.764</f>
        <v>587.14929000000006</v>
      </c>
      <c r="E116" s="70">
        <f>(5.7*2+2.3*0.7)*10.764</f>
        <v>140.03963999999999</v>
      </c>
      <c r="F116" s="70">
        <f>D116*(($F$113)+1)+(IF(E116&lt;101,E116,IF(E116&lt;201,E116/2,IF(E116&lt;=301,E116/3,E116/4))))</f>
        <v>950.74375500000008</v>
      </c>
      <c r="G116" s="128"/>
      <c r="H116" s="128"/>
      <c r="I116" s="36">
        <f>2.75*3.75+2.1*2.5+3*2.85+3.2*2.75+1.2*1.8+2*1.2+2.75*0.85+2.1*1.2+0.9*2.4</f>
        <v>44.490000000000009</v>
      </c>
      <c r="J116" s="37">
        <f>1.2*(1.8+2.75)+2.85</f>
        <v>8.31</v>
      </c>
      <c r="K116" s="65">
        <f t="shared" ref="K116:K144" si="5">K$114*F116</f>
        <v>3802975.0200000005</v>
      </c>
      <c r="L116" s="185"/>
      <c r="M116" s="185"/>
      <c r="N116" s="36"/>
    </row>
    <row r="117" spans="1:14" s="37" customFormat="1" x14ac:dyDescent="0.35">
      <c r="A117" s="128">
        <f t="shared" si="4"/>
        <v>103</v>
      </c>
      <c r="B117" s="128"/>
      <c r="C117" s="70" t="s">
        <v>249</v>
      </c>
      <c r="D117" s="70">
        <f>(33.89+1.2*(2.75+2.2+2.75))*10.764</f>
        <v>464.25132000000002</v>
      </c>
      <c r="E117" s="70">
        <v>0</v>
      </c>
      <c r="F117" s="70">
        <f>D117*(($F$113)+1)+(IF(E117&lt;101,E117,IF(E117&lt;201,E117/2,IF(E117&lt;=301,E117/3,E117/4))))</f>
        <v>696.37698</v>
      </c>
      <c r="G117" s="128"/>
      <c r="H117" s="128"/>
      <c r="I117" s="36"/>
      <c r="K117" s="65">
        <f t="shared" si="5"/>
        <v>2785507.92</v>
      </c>
      <c r="L117" s="185"/>
      <c r="M117" s="185"/>
      <c r="N117" s="36"/>
    </row>
    <row r="118" spans="1:14" s="37" customFormat="1" x14ac:dyDescent="0.35">
      <c r="A118" s="128">
        <f t="shared" si="4"/>
        <v>104</v>
      </c>
      <c r="B118" s="128"/>
      <c r="C118" s="70" t="s">
        <v>250</v>
      </c>
      <c r="D118" s="70">
        <f>(45.69+1.2*(2.2+2.85+2.75))*10.764</f>
        <v>592.55819999999994</v>
      </c>
      <c r="E118" s="70">
        <v>0</v>
      </c>
      <c r="F118" s="70">
        <f>D118*(($F$113)+1)+(IF(E118&lt;101,E118,IF(E118&lt;201,E118/2,IF(E118&lt;=301,E118/3,E118/4))))</f>
        <v>888.83729999999991</v>
      </c>
      <c r="G118" s="128"/>
      <c r="H118" s="128"/>
      <c r="I118" s="36"/>
      <c r="K118" s="65">
        <f t="shared" si="5"/>
        <v>3555349.1999999997</v>
      </c>
      <c r="L118" s="185"/>
      <c r="M118" s="185"/>
      <c r="N118" s="36"/>
    </row>
    <row r="119" spans="1:14" s="59" customFormat="1" x14ac:dyDescent="0.35">
      <c r="A119" s="128">
        <f t="shared" si="4"/>
        <v>105</v>
      </c>
      <c r="B119" s="128"/>
      <c r="C119" s="128" t="s">
        <v>247</v>
      </c>
      <c r="D119" s="128"/>
      <c r="E119" s="128"/>
      <c r="F119" s="128"/>
      <c r="G119" s="128"/>
      <c r="H119" s="128"/>
      <c r="I119" s="36"/>
      <c r="K119" s="65">
        <f t="shared" si="5"/>
        <v>0</v>
      </c>
      <c r="L119" s="185"/>
      <c r="M119" s="185"/>
      <c r="N119" s="36"/>
    </row>
    <row r="120" spans="1:14" s="59" customFormat="1" x14ac:dyDescent="0.35">
      <c r="A120" s="128">
        <f t="shared" si="4"/>
        <v>106</v>
      </c>
      <c r="B120" s="128"/>
      <c r="C120" s="128" t="s">
        <v>248</v>
      </c>
      <c r="D120" s="128"/>
      <c r="E120" s="128"/>
      <c r="F120" s="128"/>
      <c r="G120" s="128"/>
      <c r="H120" s="128"/>
      <c r="I120" s="36"/>
      <c r="K120" s="65">
        <f t="shared" si="5"/>
        <v>0</v>
      </c>
      <c r="L120" s="185"/>
      <c r="M120" s="185"/>
      <c r="N120" s="36"/>
    </row>
    <row r="121" spans="1:14" s="59" customFormat="1" x14ac:dyDescent="0.35">
      <c r="A121" s="128">
        <f t="shared" si="4"/>
        <v>107</v>
      </c>
      <c r="B121" s="128"/>
      <c r="C121" s="70" t="s">
        <v>250</v>
      </c>
      <c r="D121" s="70">
        <f>(42.22+1.2*2.75)*10.764</f>
        <v>489.97727999999995</v>
      </c>
      <c r="E121" s="70">
        <v>0</v>
      </c>
      <c r="F121" s="70">
        <f t="shared" ref="F121:F126" si="6">D121*(($F$113)+1)+(IF(E121&lt;101,E121,IF(E121&lt;201,E121/2,IF(E121&lt;=301,E121/3,E121/4))))</f>
        <v>734.96591999999987</v>
      </c>
      <c r="G121" s="128"/>
      <c r="H121" s="128"/>
      <c r="I121" s="36"/>
      <c r="K121" s="65">
        <f t="shared" si="5"/>
        <v>2939863.6799999997</v>
      </c>
      <c r="L121" s="185"/>
      <c r="M121" s="185"/>
      <c r="N121" s="36"/>
    </row>
    <row r="122" spans="1:14" s="59" customFormat="1" x14ac:dyDescent="0.35">
      <c r="A122" s="128">
        <f t="shared" si="4"/>
        <v>108</v>
      </c>
      <c r="B122" s="128"/>
      <c r="C122" s="70" t="s">
        <v>249</v>
      </c>
      <c r="D122" s="70">
        <f>(37.28)*10.764</f>
        <v>401.28192000000001</v>
      </c>
      <c r="E122" s="70">
        <v>0</v>
      </c>
      <c r="F122" s="70">
        <f t="shared" si="6"/>
        <v>601.92288000000008</v>
      </c>
      <c r="G122" s="128"/>
      <c r="H122" s="128"/>
      <c r="I122" s="36"/>
      <c r="K122" s="65">
        <f t="shared" si="5"/>
        <v>2407691.5200000005</v>
      </c>
      <c r="L122" s="185"/>
      <c r="M122" s="185"/>
      <c r="N122" s="36"/>
    </row>
    <row r="123" spans="1:14" s="59" customFormat="1" x14ac:dyDescent="0.35">
      <c r="A123" s="128">
        <f t="shared" si="4"/>
        <v>109</v>
      </c>
      <c r="B123" s="128"/>
      <c r="C123" s="70" t="s">
        <v>249</v>
      </c>
      <c r="D123" s="70">
        <f>(34.87+1.2*1.5)*10.764</f>
        <v>394.71587999999991</v>
      </c>
      <c r="E123" s="70">
        <v>0</v>
      </c>
      <c r="F123" s="70">
        <f t="shared" si="6"/>
        <v>592.07381999999984</v>
      </c>
      <c r="G123" s="128"/>
      <c r="H123" s="128"/>
      <c r="I123" s="36"/>
      <c r="K123" s="65">
        <f t="shared" si="5"/>
        <v>2368295.2799999993</v>
      </c>
      <c r="L123" s="185"/>
      <c r="M123" s="185"/>
      <c r="N123" s="36"/>
    </row>
    <row r="124" spans="1:14" s="59" customFormat="1" x14ac:dyDescent="0.35">
      <c r="A124" s="128">
        <f t="shared" si="4"/>
        <v>110</v>
      </c>
      <c r="B124" s="128"/>
      <c r="C124" s="70" t="s">
        <v>249</v>
      </c>
      <c r="D124" s="66">
        <f>(35.8+1.2*2.75)*10.764</f>
        <v>420.87239999999991</v>
      </c>
      <c r="E124" s="70">
        <v>0</v>
      </c>
      <c r="F124" s="70">
        <f t="shared" si="6"/>
        <v>631.30859999999984</v>
      </c>
      <c r="G124" s="128"/>
      <c r="H124" s="128"/>
      <c r="I124" s="36"/>
      <c r="K124" s="65">
        <f t="shared" si="5"/>
        <v>2525234.3999999994</v>
      </c>
      <c r="L124" s="185"/>
      <c r="M124" s="185"/>
      <c r="N124" s="36"/>
    </row>
    <row r="125" spans="1:14" s="59" customFormat="1" x14ac:dyDescent="0.35">
      <c r="A125" s="128">
        <f t="shared" si="4"/>
        <v>111</v>
      </c>
      <c r="B125" s="128"/>
      <c r="C125" s="70" t="s">
        <v>249</v>
      </c>
      <c r="D125" s="63">
        <f>(32.18)*10.764</f>
        <v>346.38551999999999</v>
      </c>
      <c r="E125" s="70">
        <v>0</v>
      </c>
      <c r="F125" s="70">
        <f t="shared" si="6"/>
        <v>519.57827999999995</v>
      </c>
      <c r="G125" s="128"/>
      <c r="H125" s="128"/>
      <c r="I125" s="36"/>
      <c r="K125" s="65">
        <f t="shared" si="5"/>
        <v>2078313.1199999999</v>
      </c>
      <c r="L125" s="185"/>
      <c r="M125" s="185"/>
      <c r="N125" s="36"/>
    </row>
    <row r="126" spans="1:14" s="59" customFormat="1" x14ac:dyDescent="0.35">
      <c r="A126" s="128">
        <f t="shared" si="4"/>
        <v>112</v>
      </c>
      <c r="B126" s="128"/>
      <c r="C126" s="70" t="s">
        <v>249</v>
      </c>
      <c r="D126" s="63">
        <f>(32.18)*10.764</f>
        <v>346.38551999999999</v>
      </c>
      <c r="E126" s="70">
        <v>0</v>
      </c>
      <c r="F126" s="70">
        <f t="shared" si="6"/>
        <v>519.57827999999995</v>
      </c>
      <c r="G126" s="128"/>
      <c r="H126" s="128"/>
      <c r="I126" s="36">
        <f>2200000/F126</f>
        <v>4234.2031695397282</v>
      </c>
      <c r="K126" s="65">
        <f t="shared" si="5"/>
        <v>2078313.1199999999</v>
      </c>
      <c r="L126" s="185"/>
      <c r="M126" s="185"/>
      <c r="N126" s="36"/>
    </row>
    <row r="127" spans="1:14" s="37" customFormat="1" ht="15.75" customHeight="1" x14ac:dyDescent="0.35">
      <c r="A127" s="186" t="s">
        <v>252</v>
      </c>
      <c r="B127" s="187"/>
      <c r="C127" s="187"/>
      <c r="D127" s="187"/>
      <c r="E127" s="187"/>
      <c r="F127" s="187"/>
      <c r="G127" s="187"/>
      <c r="H127" s="188"/>
      <c r="I127" s="36"/>
      <c r="K127" s="65">
        <f t="shared" si="5"/>
        <v>0</v>
      </c>
    </row>
    <row r="128" spans="1:14" s="37" customFormat="1" ht="15.75" customHeight="1" x14ac:dyDescent="0.35">
      <c r="A128" s="74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10^ROW(INDIRECT("1:"&amp;LEN((LEFT(A127,SUM(LEN(A127)-LEN(SUBSTITUTE(A127,{"0","1","2"},""))))))))/10))*100+1&amp;""&amp;" ,..,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201 ,.., 1001</v>
      </c>
      <c r="B128" s="75"/>
      <c r="C128" s="58" t="s">
        <v>249</v>
      </c>
      <c r="D128" s="60">
        <f>(38.13+1.2*2.2+0.75*2.75)*10.764</f>
        <v>461.04903000000002</v>
      </c>
      <c r="E128" s="42">
        <v>0</v>
      </c>
      <c r="F128" s="42">
        <f>D128*(($F$113)+1)+(IF(E128&lt;101,E128,IF(E128&lt;201,E128/2,IF(E128&lt;=301,E128/3,E128/4))))</f>
        <v>691.57354499999997</v>
      </c>
      <c r="G128" s="144" t="str">
        <f>A127</f>
        <v xml:space="preserve">2nd to 7th, 9th &amp; 10th Floor </v>
      </c>
      <c r="H128" s="145"/>
      <c r="I128" s="36"/>
      <c r="K128" s="65">
        <f t="shared" si="5"/>
        <v>2766294.1799999997</v>
      </c>
    </row>
    <row r="129" spans="1:14" s="37" customFormat="1" ht="15.75" customHeight="1" x14ac:dyDescent="0.35">
      <c r="A129" s="74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,..,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202 ,.., 1002</v>
      </c>
      <c r="B129" s="75"/>
      <c r="C129" s="58" t="s">
        <v>250</v>
      </c>
      <c r="D129" s="60">
        <f>(46.95+1.2*(1.8+2.1+2.75)+0.75*2.85)*10.764</f>
        <v>614.27457000000004</v>
      </c>
      <c r="E129" s="42">
        <v>0</v>
      </c>
      <c r="F129" s="42">
        <f>D129*(($F$113)+1)+(IF(E129&lt;101,E129,IF(E129&lt;201,E129/2,IF(E129&lt;=301,E129/3,E129/4))))</f>
        <v>921.41185500000006</v>
      </c>
      <c r="G129" s="146"/>
      <c r="H129" s="147"/>
      <c r="I129" s="36"/>
      <c r="K129" s="65">
        <f t="shared" si="5"/>
        <v>3685647.4200000004</v>
      </c>
    </row>
    <row r="130" spans="1:14" s="37" customFormat="1" ht="15.75" customHeight="1" x14ac:dyDescent="0.35">
      <c r="A130" s="74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,..,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203 ,.., 1003</v>
      </c>
      <c r="B130" s="75"/>
      <c r="C130" s="58" t="s">
        <v>249</v>
      </c>
      <c r="D130" s="60">
        <f>(33.89+1.2*(2.75+2.2+2.75))*10.764</f>
        <v>464.25132000000002</v>
      </c>
      <c r="E130" s="42">
        <v>0</v>
      </c>
      <c r="F130" s="42">
        <f>D130*(($F$113)+1)+(IF(E130&lt;101,E130,IF(E130&lt;201,E130/2,IF(E130&lt;=301,E130/3,E130/4))))</f>
        <v>696.37698</v>
      </c>
      <c r="G130" s="146"/>
      <c r="H130" s="147"/>
      <c r="I130" s="36"/>
      <c r="K130" s="65">
        <f t="shared" si="5"/>
        <v>2785507.92</v>
      </c>
    </row>
    <row r="131" spans="1:14" s="37" customFormat="1" ht="15.75" customHeight="1" x14ac:dyDescent="0.35">
      <c r="A131" s="74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,..,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204 ,.., 1004</v>
      </c>
      <c r="B131" s="75"/>
      <c r="C131" s="58" t="s">
        <v>250</v>
      </c>
      <c r="D131" s="60">
        <f>(45.69+1.2*(2.2+2.1+2.85+2.75))*10.764</f>
        <v>619.68347999999992</v>
      </c>
      <c r="E131" s="42">
        <v>0</v>
      </c>
      <c r="F131" s="42">
        <f>D131*(($F$113)+1)+(IF(E131&lt;101,E131,IF(E131&lt;201,E131/2,IF(E131&lt;=301,E131/3,E131/4))))</f>
        <v>929.52521999999988</v>
      </c>
      <c r="G131" s="146"/>
      <c r="H131" s="147"/>
      <c r="I131" s="36"/>
      <c r="K131" s="65">
        <f t="shared" si="5"/>
        <v>3718100.8799999994</v>
      </c>
    </row>
    <row r="132" spans="1:14" s="37" customFormat="1" ht="15.75" customHeight="1" x14ac:dyDescent="0.35">
      <c r="A132" s="74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,..,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205 ,.., 1005</v>
      </c>
      <c r="B132" s="75"/>
      <c r="C132" s="58" t="s">
        <v>249</v>
      </c>
      <c r="D132" s="58">
        <f>(35.64+1.2*2.75)*10.764</f>
        <v>419.15015999999997</v>
      </c>
      <c r="E132" s="42">
        <v>0</v>
      </c>
      <c r="F132" s="42">
        <f>D132*(($F$113)+1)+(IF(E132&lt;101,E132,IF(E132&lt;201,E132/2,IF(E132&lt;=301,E132/3,E132/4))))</f>
        <v>628.72523999999999</v>
      </c>
      <c r="G132" s="146"/>
      <c r="H132" s="147"/>
      <c r="I132" s="62">
        <f>4.7*2.75+2.35*2.25+2.35*2.75+1.2*0.9+1.8*2.1+1.1*1.2</f>
        <v>30.855000000000004</v>
      </c>
      <c r="J132" s="67">
        <f>1*(2.25+2.75)</f>
        <v>5</v>
      </c>
      <c r="K132" s="65">
        <f t="shared" si="5"/>
        <v>2514900.96</v>
      </c>
    </row>
    <row r="133" spans="1:14" s="59" customFormat="1" ht="15.75" customHeight="1" x14ac:dyDescent="0.35">
      <c r="A133" s="74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,..,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206 ,.., 1006</v>
      </c>
      <c r="B133" s="75"/>
      <c r="C133" s="58" t="s">
        <v>249</v>
      </c>
      <c r="D133" s="58">
        <f>(35.13+1.2*(2.75+2.75))*10.764</f>
        <v>449.18172000000004</v>
      </c>
      <c r="E133" s="58">
        <v>0</v>
      </c>
      <c r="F133" s="58">
        <f t="shared" ref="F133:F139" si="7">D133*(($F$113)+1)+(IF(E133&lt;101,E133,IF(E133&lt;201,E133/2,IF(E133&lt;=301,E133/3,E133/4))))</f>
        <v>673.77258000000006</v>
      </c>
      <c r="G133" s="146"/>
      <c r="H133" s="147"/>
      <c r="I133" s="36"/>
      <c r="K133" s="68">
        <f t="shared" si="5"/>
        <v>2695090.3200000003</v>
      </c>
    </row>
    <row r="134" spans="1:14" s="59" customFormat="1" ht="15.75" customHeight="1" x14ac:dyDescent="0.35">
      <c r="A134" s="74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,..,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207 ,.., 1007</v>
      </c>
      <c r="B134" s="75"/>
      <c r="C134" s="58" t="s">
        <v>250</v>
      </c>
      <c r="D134" s="58">
        <f>(44.32+1.2*(2.75+2.75+2.75))*10.764</f>
        <v>583.62407999999994</v>
      </c>
      <c r="E134" s="58">
        <v>0</v>
      </c>
      <c r="F134" s="58">
        <f t="shared" si="7"/>
        <v>875.43611999999985</v>
      </c>
      <c r="G134" s="146"/>
      <c r="H134" s="147"/>
      <c r="I134" s="36"/>
      <c r="K134" s="68">
        <f t="shared" si="5"/>
        <v>3501744.4799999995</v>
      </c>
    </row>
    <row r="135" spans="1:14" s="59" customFormat="1" ht="15.75" customHeight="1" x14ac:dyDescent="0.35">
      <c r="A135" s="74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,..,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208 ,.., 1008</v>
      </c>
      <c r="B135" s="75"/>
      <c r="C135" s="58" t="s">
        <v>249</v>
      </c>
      <c r="D135" s="58">
        <f>(37.28+1.2*(2.75+2.25+2.75))*10.764</f>
        <v>501.38711999999992</v>
      </c>
      <c r="E135" s="58">
        <v>0</v>
      </c>
      <c r="F135" s="58">
        <f t="shared" si="7"/>
        <v>752.08067999999992</v>
      </c>
      <c r="G135" s="146"/>
      <c r="H135" s="147"/>
      <c r="I135" s="36"/>
      <c r="K135" s="68">
        <f t="shared" si="5"/>
        <v>3008322.7199999997</v>
      </c>
    </row>
    <row r="136" spans="1:14" s="59" customFormat="1" ht="15.75" customHeight="1" x14ac:dyDescent="0.35">
      <c r="A136" s="74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,..,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209 ,.., 1009</v>
      </c>
      <c r="B136" s="75"/>
      <c r="C136" s="58" t="s">
        <v>249</v>
      </c>
      <c r="D136" s="58">
        <f>(34.87+1.2*(1.5+2.1+2.75))*10.764</f>
        <v>457.36235999999991</v>
      </c>
      <c r="E136" s="58">
        <v>0</v>
      </c>
      <c r="F136" s="58">
        <f t="shared" si="7"/>
        <v>686.04353999999989</v>
      </c>
      <c r="G136" s="146"/>
      <c r="H136" s="147"/>
      <c r="I136" s="36"/>
      <c r="K136" s="68">
        <f t="shared" si="5"/>
        <v>2744174.1599999997</v>
      </c>
    </row>
    <row r="137" spans="1:14" s="59" customFormat="1" ht="15.75" customHeight="1" x14ac:dyDescent="0.35">
      <c r="A137" s="74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,..,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210 ,.., 1010</v>
      </c>
      <c r="B137" s="75"/>
      <c r="C137" s="58" t="s">
        <v>249</v>
      </c>
      <c r="D137" s="58">
        <f>(35.8+1.2*(2.75+2.2+2.9))*10.764</f>
        <v>486.74807999999996</v>
      </c>
      <c r="E137" s="58">
        <v>0</v>
      </c>
      <c r="F137" s="58">
        <f t="shared" si="7"/>
        <v>730.12212</v>
      </c>
      <c r="G137" s="146"/>
      <c r="H137" s="147"/>
      <c r="I137" s="36"/>
      <c r="K137" s="68">
        <f t="shared" si="5"/>
        <v>2920488.48</v>
      </c>
    </row>
    <row r="138" spans="1:14" s="59" customFormat="1" ht="15.75" customHeight="1" x14ac:dyDescent="0.35">
      <c r="A138" s="74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,..,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211 ,.., 1011</v>
      </c>
      <c r="B138" s="75"/>
      <c r="C138" s="58" t="s">
        <v>249</v>
      </c>
      <c r="D138" s="58">
        <f>(34.38+1.2*(2.75+2.75))*10.764</f>
        <v>441.10872000000001</v>
      </c>
      <c r="E138" s="58">
        <v>0</v>
      </c>
      <c r="F138" s="58">
        <f t="shared" si="7"/>
        <v>661.66308000000004</v>
      </c>
      <c r="G138" s="146"/>
      <c r="H138" s="147"/>
      <c r="I138" s="36"/>
      <c r="K138" s="68">
        <f t="shared" si="5"/>
        <v>2646652.3200000003</v>
      </c>
    </row>
    <row r="139" spans="1:14" s="59" customFormat="1" ht="15.75" customHeight="1" x14ac:dyDescent="0.35">
      <c r="A139" s="74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,..,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212 ,.., 1012</v>
      </c>
      <c r="B139" s="75"/>
      <c r="C139" s="58" t="s">
        <v>249</v>
      </c>
      <c r="D139" s="58">
        <f>(34.38+1.2*(2.75+2.75))*10.764</f>
        <v>441.10872000000001</v>
      </c>
      <c r="E139" s="58">
        <v>0</v>
      </c>
      <c r="F139" s="58">
        <f t="shared" si="7"/>
        <v>661.66308000000004</v>
      </c>
      <c r="G139" s="148"/>
      <c r="H139" s="149"/>
      <c r="I139" s="36"/>
      <c r="K139" s="68">
        <f t="shared" si="5"/>
        <v>2646652.3200000003</v>
      </c>
    </row>
    <row r="140" spans="1:14" s="37" customFormat="1" x14ac:dyDescent="0.35">
      <c r="A140" s="160" t="s">
        <v>245</v>
      </c>
      <c r="B140" s="160"/>
      <c r="C140" s="160"/>
      <c r="D140" s="160"/>
      <c r="E140" s="160"/>
      <c r="F140" s="160"/>
      <c r="G140" s="160"/>
      <c r="H140" s="160"/>
      <c r="I140" s="36"/>
      <c r="K140" s="68">
        <f t="shared" si="5"/>
        <v>0</v>
      </c>
      <c r="L140" s="185"/>
      <c r="M140" s="185"/>
    </row>
    <row r="141" spans="1:14" s="37" customFormat="1" ht="15.75" customHeight="1" x14ac:dyDescent="0.35">
      <c r="A141" s="128">
        <f>LEFT(A140,SUM(LEN(A140)-LEN(SUBSTITUTE(A140,{"0","1","2","3","4","5","6","7","8","9"},""))))*100+1</f>
        <v>801</v>
      </c>
      <c r="B141" s="128"/>
      <c r="C141" s="58" t="s">
        <v>249</v>
      </c>
      <c r="D141" s="60">
        <f>(38.13+1.2*2.2+0.75*2.75)*10.764</f>
        <v>461.04903000000002</v>
      </c>
      <c r="E141" s="42">
        <v>0</v>
      </c>
      <c r="F141" s="42">
        <f t="shared" ref="F141:F142" si="8">D141*(($F$113)+1)+(IF(E141&lt;101,E141,IF(E141&lt;201,E141/2,IF(E141&lt;=301,E141/3,E141/4))))</f>
        <v>691.57354499999997</v>
      </c>
      <c r="G141" s="144" t="str">
        <f>A140</f>
        <v>8th Floor (Part Refuge Area)</v>
      </c>
      <c r="H141" s="145"/>
      <c r="I141" s="36"/>
      <c r="K141" s="68">
        <f t="shared" si="5"/>
        <v>2766294.1799999997</v>
      </c>
      <c r="N141" s="36"/>
    </row>
    <row r="142" spans="1:14" s="37" customFormat="1" ht="15.75" customHeight="1" x14ac:dyDescent="0.35">
      <c r="A142" s="128">
        <f>A141+1</f>
        <v>802</v>
      </c>
      <c r="B142" s="128"/>
      <c r="C142" s="58" t="s">
        <v>250</v>
      </c>
      <c r="D142" s="60">
        <f>(46.95+1.2*(1.8+2.1+2.75)+0.75*2.85)*10.764</f>
        <v>614.27457000000004</v>
      </c>
      <c r="E142" s="42">
        <v>0</v>
      </c>
      <c r="F142" s="42">
        <f t="shared" si="8"/>
        <v>921.41185500000006</v>
      </c>
      <c r="G142" s="146"/>
      <c r="H142" s="147"/>
      <c r="I142" s="36"/>
      <c r="K142" s="68">
        <f t="shared" si="5"/>
        <v>3685647.4200000004</v>
      </c>
      <c r="N142" s="36"/>
    </row>
    <row r="143" spans="1:14" s="37" customFormat="1" ht="15.75" customHeight="1" x14ac:dyDescent="0.35">
      <c r="A143" s="128">
        <f>A142+1</f>
        <v>803</v>
      </c>
      <c r="B143" s="128"/>
      <c r="C143" s="58" t="s">
        <v>249</v>
      </c>
      <c r="D143" s="60">
        <f>(33.89+1.2*(2.75+2.2+2.75))*10.764</f>
        <v>464.25132000000002</v>
      </c>
      <c r="E143" s="42">
        <v>0</v>
      </c>
      <c r="F143" s="42">
        <f>D143*(($F$113)+1)+(IF(E143&lt;101,E143,IF(E143&lt;201,E143/2,IF(E143&lt;=301,E143/3,E143/4))))</f>
        <v>696.37698</v>
      </c>
      <c r="G143" s="146"/>
      <c r="H143" s="147"/>
      <c r="I143" s="36"/>
      <c r="K143" s="68">
        <f t="shared" si="5"/>
        <v>2785507.92</v>
      </c>
      <c r="N143" s="36"/>
    </row>
    <row r="144" spans="1:14" s="37" customFormat="1" ht="15.75" customHeight="1" x14ac:dyDescent="0.35">
      <c r="A144" s="128">
        <f>A143+1</f>
        <v>804</v>
      </c>
      <c r="B144" s="128"/>
      <c r="C144" s="58" t="s">
        <v>250</v>
      </c>
      <c r="D144" s="60">
        <f>(45.69+1.2*(2.2+2.1+2.85+2.75))*10.764</f>
        <v>619.68347999999992</v>
      </c>
      <c r="E144" s="42">
        <v>0</v>
      </c>
      <c r="F144" s="42">
        <f>D144*(($F$113)+1)+(IF(E144&lt;101,E144,IF(E144&lt;201,E144/2,IF(E144&lt;=301,E144/3,E144/4))))</f>
        <v>929.52521999999988</v>
      </c>
      <c r="G144" s="146"/>
      <c r="H144" s="147"/>
      <c r="I144" s="36"/>
      <c r="K144" s="68">
        <f t="shared" si="5"/>
        <v>3718100.8799999994</v>
      </c>
      <c r="N144" s="36"/>
    </row>
    <row r="145" spans="1:14" s="37" customFormat="1" ht="15.75" customHeight="1" x14ac:dyDescent="0.35">
      <c r="A145" s="128">
        <f>A144+1</f>
        <v>805</v>
      </c>
      <c r="B145" s="128"/>
      <c r="C145" s="74" t="s">
        <v>246</v>
      </c>
      <c r="D145" s="154"/>
      <c r="E145" s="154"/>
      <c r="F145" s="75"/>
      <c r="G145" s="146"/>
      <c r="H145" s="147"/>
      <c r="I145" s="36"/>
      <c r="N145" s="36"/>
    </row>
    <row r="146" spans="1:14" s="59" customFormat="1" ht="15.75" customHeight="1" x14ac:dyDescent="0.35">
      <c r="A146" s="128">
        <f t="shared" ref="A146:A152" si="9">A145+1</f>
        <v>806</v>
      </c>
      <c r="B146" s="128"/>
      <c r="C146" s="58" t="s">
        <v>249</v>
      </c>
      <c r="D146" s="60">
        <f>(35.13+1.2*(2.75+2.75))*10.764</f>
        <v>449.18172000000004</v>
      </c>
      <c r="E146" s="58">
        <v>0</v>
      </c>
      <c r="F146" s="58">
        <f t="shared" ref="F146:F152" si="10">D146*(($F$113)+1)+(IF(E146&lt;101,E146,IF(E146&lt;201,E146/2,IF(E146&lt;=301,E146/3,E146/4))))</f>
        <v>673.77258000000006</v>
      </c>
      <c r="G146" s="146"/>
      <c r="H146" s="147"/>
      <c r="I146" s="36"/>
      <c r="N146" s="36"/>
    </row>
    <row r="147" spans="1:14" s="59" customFormat="1" ht="15.75" customHeight="1" x14ac:dyDescent="0.35">
      <c r="A147" s="128">
        <f t="shared" si="9"/>
        <v>807</v>
      </c>
      <c r="B147" s="128"/>
      <c r="C147" s="58" t="s">
        <v>249</v>
      </c>
      <c r="D147" s="60">
        <f>(44.32+1.2*(2.75+2.75+2.75))*10.764</f>
        <v>583.62407999999994</v>
      </c>
      <c r="E147" s="58">
        <v>0</v>
      </c>
      <c r="F147" s="58">
        <f t="shared" si="10"/>
        <v>875.43611999999985</v>
      </c>
      <c r="G147" s="146"/>
      <c r="H147" s="147"/>
      <c r="I147" s="36"/>
      <c r="N147" s="36"/>
    </row>
    <row r="148" spans="1:14" s="59" customFormat="1" ht="15.75" customHeight="1" x14ac:dyDescent="0.35">
      <c r="A148" s="128">
        <f t="shared" si="9"/>
        <v>808</v>
      </c>
      <c r="B148" s="128"/>
      <c r="C148" s="58" t="s">
        <v>249</v>
      </c>
      <c r="D148" s="60">
        <f>(37.28+1.2*(2.75+2.25+2.75))*10.764</f>
        <v>501.38711999999992</v>
      </c>
      <c r="E148" s="58">
        <v>0</v>
      </c>
      <c r="F148" s="58">
        <f t="shared" si="10"/>
        <v>752.08067999999992</v>
      </c>
      <c r="G148" s="146"/>
      <c r="H148" s="147"/>
      <c r="I148" s="36"/>
      <c r="N148" s="36"/>
    </row>
    <row r="149" spans="1:14" s="59" customFormat="1" ht="15.75" customHeight="1" x14ac:dyDescent="0.35">
      <c r="A149" s="128">
        <f t="shared" si="9"/>
        <v>809</v>
      </c>
      <c r="B149" s="128"/>
      <c r="C149" s="58" t="s">
        <v>249</v>
      </c>
      <c r="D149" s="60">
        <f>(34.87+1.2*(1.5+2.1+2.75))*10.764</f>
        <v>457.36235999999991</v>
      </c>
      <c r="E149" s="58">
        <v>0</v>
      </c>
      <c r="F149" s="58">
        <f t="shared" si="10"/>
        <v>686.04353999999989</v>
      </c>
      <c r="G149" s="146"/>
      <c r="H149" s="147"/>
      <c r="I149" s="36"/>
      <c r="N149" s="36"/>
    </row>
    <row r="150" spans="1:14" s="59" customFormat="1" ht="15.75" customHeight="1" x14ac:dyDescent="0.35">
      <c r="A150" s="128">
        <f t="shared" si="9"/>
        <v>810</v>
      </c>
      <c r="B150" s="128"/>
      <c r="C150" s="58" t="s">
        <v>249</v>
      </c>
      <c r="D150" s="60">
        <f>(35.8+1.2*(2.75+2.2+2.9))*10.764</f>
        <v>486.74807999999996</v>
      </c>
      <c r="E150" s="58">
        <v>0</v>
      </c>
      <c r="F150" s="58">
        <f t="shared" si="10"/>
        <v>730.12212</v>
      </c>
      <c r="G150" s="146"/>
      <c r="H150" s="147"/>
      <c r="I150" s="36"/>
      <c r="N150" s="36"/>
    </row>
    <row r="151" spans="1:14" s="59" customFormat="1" ht="15.75" customHeight="1" x14ac:dyDescent="0.35">
      <c r="A151" s="128">
        <f t="shared" si="9"/>
        <v>811</v>
      </c>
      <c r="B151" s="128"/>
      <c r="C151" s="58" t="s">
        <v>249</v>
      </c>
      <c r="D151" s="60">
        <f>(34.38+1.2*(2.75+2.75))*10.764</f>
        <v>441.10872000000001</v>
      </c>
      <c r="E151" s="58">
        <v>0</v>
      </c>
      <c r="F151" s="58">
        <f t="shared" si="10"/>
        <v>661.66308000000004</v>
      </c>
      <c r="G151" s="146"/>
      <c r="H151" s="147"/>
      <c r="I151" s="36"/>
      <c r="N151" s="36"/>
    </row>
    <row r="152" spans="1:14" s="59" customFormat="1" ht="15.75" customHeight="1" x14ac:dyDescent="0.35">
      <c r="A152" s="128">
        <f t="shared" si="9"/>
        <v>812</v>
      </c>
      <c r="B152" s="128"/>
      <c r="C152" s="58" t="s">
        <v>249</v>
      </c>
      <c r="D152" s="60">
        <f>(34.38+1.2*(2.75+2.75))*10.764</f>
        <v>441.10872000000001</v>
      </c>
      <c r="E152" s="58">
        <v>0</v>
      </c>
      <c r="F152" s="58">
        <f t="shared" si="10"/>
        <v>661.66308000000004</v>
      </c>
      <c r="G152" s="148"/>
      <c r="H152" s="149"/>
      <c r="I152" s="36"/>
      <c r="N152" s="36"/>
    </row>
    <row r="153" spans="1:14" s="35" customFormat="1" x14ac:dyDescent="0.35">
      <c r="A153" s="143" t="s">
        <v>68</v>
      </c>
      <c r="B153" s="143"/>
      <c r="C153" s="143"/>
      <c r="D153" s="143"/>
      <c r="E153" s="143"/>
      <c r="F153" s="143"/>
      <c r="G153" s="143"/>
      <c r="H153" s="143"/>
    </row>
    <row r="154" spans="1:14" s="35" customFormat="1" x14ac:dyDescent="0.35">
      <c r="A154" s="47" t="s">
        <v>153</v>
      </c>
      <c r="B154" s="150" t="s">
        <v>281</v>
      </c>
      <c r="C154" s="151"/>
      <c r="D154" s="151"/>
      <c r="E154" s="151"/>
      <c r="F154" s="151"/>
      <c r="G154" s="151"/>
      <c r="H154" s="152"/>
    </row>
    <row r="155" spans="1:14" s="35" customFormat="1" x14ac:dyDescent="0.35">
      <c r="A155" s="47" t="s">
        <v>153</v>
      </c>
      <c r="B155" s="150" t="str">
        <f>(IF(F112="Saleable area Loading :","We have considered Saleable area of Flats as per our Calculation.","We considered Saleable area of Flat as per Builder area Sheet."))</f>
        <v>We have considered Saleable area of Flats as per our Calculation.</v>
      </c>
      <c r="C155" s="151"/>
      <c r="D155" s="151"/>
      <c r="E155" s="151"/>
      <c r="F155" s="151"/>
      <c r="G155" s="151"/>
      <c r="H155" s="152"/>
    </row>
    <row r="156" spans="1:14" s="35" customFormat="1" x14ac:dyDescent="0.35">
      <c r="A156" s="47" t="s">
        <v>153</v>
      </c>
      <c r="B156" s="150" t="str">
        <f>(IF(F103="Saleable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6" s="151"/>
      <c r="D156" s="151"/>
      <c r="E156" s="151"/>
      <c r="F156" s="151"/>
      <c r="G156" s="151"/>
      <c r="H156" s="152"/>
    </row>
    <row r="157" spans="1:14" s="35" customFormat="1" x14ac:dyDescent="0.35">
      <c r="A157" s="47" t="s">
        <v>153</v>
      </c>
      <c r="B157" s="140" t="s">
        <v>124</v>
      </c>
      <c r="C157" s="141"/>
      <c r="D157" s="141"/>
      <c r="E157" s="141"/>
      <c r="F157" s="141"/>
      <c r="G157" s="141"/>
      <c r="H157" s="142"/>
    </row>
    <row r="158" spans="1:14" s="35" customFormat="1" x14ac:dyDescent="0.35">
      <c r="A158" s="47" t="s">
        <v>153</v>
      </c>
      <c r="B158" s="140" t="s">
        <v>278</v>
      </c>
      <c r="C158" s="141"/>
      <c r="D158" s="141"/>
      <c r="E158" s="141"/>
      <c r="F158" s="141"/>
      <c r="G158" s="141"/>
      <c r="H158" s="142"/>
    </row>
    <row r="159" spans="1:14" s="35" customFormat="1" x14ac:dyDescent="0.35">
      <c r="A159" s="47" t="s">
        <v>153</v>
      </c>
      <c r="B159" s="140" t="s">
        <v>152</v>
      </c>
      <c r="C159" s="141"/>
      <c r="D159" s="141"/>
      <c r="E159" s="141"/>
      <c r="F159" s="141"/>
      <c r="G159" s="141"/>
      <c r="H159" s="142"/>
    </row>
    <row r="160" spans="1:14" s="35" customFormat="1" x14ac:dyDescent="0.35">
      <c r="A160" s="47" t="s">
        <v>153</v>
      </c>
      <c r="B160" s="140" t="s">
        <v>125</v>
      </c>
      <c r="C160" s="141"/>
      <c r="D160" s="141"/>
      <c r="E160" s="141"/>
      <c r="F160" s="141"/>
      <c r="G160" s="141"/>
      <c r="H160" s="142"/>
    </row>
    <row r="161" spans="1:8" s="35" customFormat="1" ht="34.5" customHeight="1" x14ac:dyDescent="0.35">
      <c r="A161" s="47" t="s">
        <v>153</v>
      </c>
      <c r="B161" s="137" t="s">
        <v>154</v>
      </c>
      <c r="C161" s="138"/>
      <c r="D161" s="138"/>
      <c r="E161" s="138"/>
      <c r="F161" s="138"/>
      <c r="G161" s="138"/>
      <c r="H161" s="139"/>
    </row>
    <row r="162" spans="1:8" s="35" customFormat="1" x14ac:dyDescent="0.35">
      <c r="A162" s="47" t="s">
        <v>153</v>
      </c>
      <c r="B162" s="140" t="s">
        <v>126</v>
      </c>
      <c r="C162" s="141"/>
      <c r="D162" s="141"/>
      <c r="E162" s="141"/>
      <c r="F162" s="141"/>
      <c r="G162" s="141"/>
      <c r="H162" s="142"/>
    </row>
    <row r="163" spans="1:8" s="35" customFormat="1" ht="32.25" customHeight="1" x14ac:dyDescent="0.35">
      <c r="A163" s="64" t="s">
        <v>153</v>
      </c>
      <c r="B163" s="137" t="s">
        <v>280</v>
      </c>
      <c r="C163" s="138"/>
      <c r="D163" s="138"/>
      <c r="E163" s="138"/>
      <c r="F163" s="138"/>
      <c r="G163" s="138"/>
      <c r="H163" s="139"/>
    </row>
    <row r="164" spans="1:8" x14ac:dyDescent="0.35">
      <c r="A164" s="162" t="s">
        <v>61</v>
      </c>
      <c r="B164" s="162"/>
      <c r="C164" s="162"/>
      <c r="D164" s="162"/>
      <c r="E164" s="162"/>
      <c r="F164" s="162"/>
      <c r="G164" s="162"/>
      <c r="H164" s="162"/>
    </row>
    <row r="165" spans="1:8" x14ac:dyDescent="0.35">
      <c r="A165" s="78" t="s">
        <v>62</v>
      </c>
      <c r="B165" s="78"/>
      <c r="C165" s="78"/>
      <c r="D165" s="78"/>
      <c r="E165" s="78"/>
      <c r="F165" s="78"/>
      <c r="G165" s="78"/>
      <c r="H165" s="78"/>
    </row>
    <row r="166" spans="1:8" ht="15.75" customHeight="1" x14ac:dyDescent="0.35">
      <c r="A166" s="127" t="s">
        <v>63</v>
      </c>
      <c r="B166" s="127"/>
      <c r="C166" s="127"/>
      <c r="D166" s="127"/>
      <c r="E166" s="127"/>
      <c r="F166" s="127"/>
      <c r="G166" s="127"/>
      <c r="H166" s="127"/>
    </row>
    <row r="167" spans="1:8" x14ac:dyDescent="0.35">
      <c r="A167" s="78" t="s">
        <v>64</v>
      </c>
      <c r="B167" s="78"/>
      <c r="C167" s="78"/>
      <c r="D167" s="78"/>
      <c r="E167" s="78"/>
      <c r="F167" s="78"/>
      <c r="G167" s="78"/>
      <c r="H167" s="78"/>
    </row>
    <row r="168" spans="1:8" x14ac:dyDescent="0.35">
      <c r="A168" s="78" t="s">
        <v>65</v>
      </c>
      <c r="B168" s="78"/>
      <c r="C168" s="78"/>
      <c r="D168" s="78"/>
      <c r="E168" s="78"/>
      <c r="F168" s="78"/>
      <c r="G168" s="78"/>
      <c r="H168" s="78"/>
    </row>
    <row r="169" spans="1:8" x14ac:dyDescent="0.35">
      <c r="A169" s="78" t="s">
        <v>127</v>
      </c>
      <c r="B169" s="78"/>
      <c r="C169" s="78"/>
      <c r="D169" s="78"/>
      <c r="E169" s="78"/>
      <c r="F169" s="78"/>
      <c r="G169" s="78"/>
      <c r="H169" s="78"/>
    </row>
    <row r="170" spans="1:8" ht="34" customHeight="1" x14ac:dyDescent="0.35">
      <c r="A170" s="84" t="s">
        <v>128</v>
      </c>
      <c r="B170" s="84"/>
      <c r="C170" s="84"/>
      <c r="D170" s="84"/>
      <c r="E170" s="84"/>
      <c r="F170" s="84"/>
      <c r="G170" s="84"/>
      <c r="H170" s="84"/>
    </row>
    <row r="171" spans="1:8" x14ac:dyDescent="0.35">
      <c r="A171" s="156" t="s">
        <v>77</v>
      </c>
      <c r="B171" s="156"/>
      <c r="C171" s="156" t="s">
        <v>256</v>
      </c>
      <c r="D171" s="156"/>
      <c r="E171" s="156" t="s">
        <v>107</v>
      </c>
      <c r="F171" s="156"/>
      <c r="G171" s="156" t="s">
        <v>282</v>
      </c>
      <c r="H171" s="156"/>
    </row>
    <row r="172" spans="1:8" x14ac:dyDescent="0.35">
      <c r="A172" s="155" t="s">
        <v>79</v>
      </c>
      <c r="B172" s="155"/>
      <c r="C172" s="155"/>
      <c r="D172" s="155"/>
      <c r="E172" s="155"/>
      <c r="F172" s="155"/>
      <c r="G172" s="155"/>
      <c r="H172" s="155"/>
    </row>
    <row r="173" spans="1:8" x14ac:dyDescent="0.35">
      <c r="A173" s="155"/>
      <c r="B173" s="155"/>
      <c r="C173" s="155"/>
      <c r="D173" s="155"/>
      <c r="E173" s="155"/>
      <c r="F173" s="155"/>
      <c r="G173" s="155"/>
      <c r="H173" s="155"/>
    </row>
    <row r="174" spans="1:8" x14ac:dyDescent="0.35">
      <c r="A174" s="155"/>
      <c r="B174" s="155"/>
      <c r="C174" s="155"/>
      <c r="D174" s="155"/>
      <c r="E174" s="155"/>
      <c r="F174" s="155"/>
      <c r="G174" s="155"/>
      <c r="H174" s="155"/>
    </row>
    <row r="175" spans="1:8" x14ac:dyDescent="0.35">
      <c r="A175" s="155"/>
      <c r="B175" s="155"/>
      <c r="C175" s="155"/>
      <c r="D175" s="155"/>
      <c r="E175" s="155"/>
      <c r="F175" s="155"/>
      <c r="G175" s="155"/>
      <c r="H175" s="155"/>
    </row>
    <row r="176" spans="1:8" x14ac:dyDescent="0.35">
      <c r="A176" s="38" t="s">
        <v>66</v>
      </c>
      <c r="B176" s="39"/>
      <c r="C176" s="39"/>
      <c r="D176" s="38" t="str">
        <f>E8</f>
        <v>Sonal Paradise</v>
      </c>
      <c r="F176" s="39"/>
      <c r="G176" s="39"/>
      <c r="H176" s="39"/>
    </row>
    <row r="177" spans="1:8" x14ac:dyDescent="0.35">
      <c r="A177" s="39"/>
      <c r="B177" s="39"/>
      <c r="C177" s="39"/>
      <c r="D177" s="39"/>
      <c r="E177" s="39"/>
      <c r="F177" s="39"/>
      <c r="G177" s="39"/>
      <c r="H177" s="39"/>
    </row>
    <row r="178" spans="1:8" x14ac:dyDescent="0.35">
      <c r="A178" s="39"/>
      <c r="B178" s="39"/>
      <c r="C178" s="39"/>
      <c r="D178" s="39"/>
      <c r="E178" s="39"/>
      <c r="F178" s="39"/>
      <c r="G178" s="39"/>
      <c r="H178" s="39"/>
    </row>
    <row r="179" spans="1:8" ht="15" customHeight="1" x14ac:dyDescent="0.35"/>
    <row r="219" spans="1:1" x14ac:dyDescent="0.35">
      <c r="A219" s="41" t="s">
        <v>164</v>
      </c>
    </row>
    <row r="262" spans="1:1" x14ac:dyDescent="0.35">
      <c r="A262" s="41" t="s">
        <v>67</v>
      </c>
    </row>
  </sheetData>
  <mergeCells count="317">
    <mergeCell ref="A80:E80"/>
    <mergeCell ref="A98:B98"/>
    <mergeCell ref="A74:B74"/>
    <mergeCell ref="L125:M125"/>
    <mergeCell ref="A126:B126"/>
    <mergeCell ref="L126:M126"/>
    <mergeCell ref="A133:B133"/>
    <mergeCell ref="A134:B134"/>
    <mergeCell ref="G115:H126"/>
    <mergeCell ref="C119:F119"/>
    <mergeCell ref="C120:F120"/>
    <mergeCell ref="L121:M121"/>
    <mergeCell ref="A122:B122"/>
    <mergeCell ref="L122:M122"/>
    <mergeCell ref="A123:B123"/>
    <mergeCell ref="L123:M123"/>
    <mergeCell ref="A124:B124"/>
    <mergeCell ref="L124:M124"/>
    <mergeCell ref="L120:M120"/>
    <mergeCell ref="A115:B115"/>
    <mergeCell ref="L117:M117"/>
    <mergeCell ref="A118:B118"/>
    <mergeCell ref="L108:M108"/>
    <mergeCell ref="L107:M107"/>
    <mergeCell ref="L106:M106"/>
    <mergeCell ref="A77:B77"/>
    <mergeCell ref="C99:D99"/>
    <mergeCell ref="E99:F99"/>
    <mergeCell ref="G99:H99"/>
    <mergeCell ref="L140:M140"/>
    <mergeCell ref="A91:E91"/>
    <mergeCell ref="C96:D96"/>
    <mergeCell ref="E96:F96"/>
    <mergeCell ref="B103:B104"/>
    <mergeCell ref="A103:A104"/>
    <mergeCell ref="C112:C113"/>
    <mergeCell ref="C103:C104"/>
    <mergeCell ref="B112:B113"/>
    <mergeCell ref="A121:B121"/>
    <mergeCell ref="L118:M118"/>
    <mergeCell ref="L115:M115"/>
    <mergeCell ref="A116:B116"/>
    <mergeCell ref="D103:D104"/>
    <mergeCell ref="A117:B117"/>
    <mergeCell ref="A127:H127"/>
    <mergeCell ref="E70:F79"/>
    <mergeCell ref="L110:M110"/>
    <mergeCell ref="A119:B119"/>
    <mergeCell ref="L119:M119"/>
    <mergeCell ref="A120:B120"/>
    <mergeCell ref="L116:M116"/>
    <mergeCell ref="A81:E81"/>
    <mergeCell ref="A105:H105"/>
    <mergeCell ref="E103:E104"/>
    <mergeCell ref="G103:H104"/>
    <mergeCell ref="F82:H82"/>
    <mergeCell ref="A82:E82"/>
    <mergeCell ref="A84:E84"/>
    <mergeCell ref="A83:E83"/>
    <mergeCell ref="A109:B109"/>
    <mergeCell ref="A108:B108"/>
    <mergeCell ref="A86:E86"/>
    <mergeCell ref="F86:H86"/>
    <mergeCell ref="A87:E87"/>
    <mergeCell ref="A89:E89"/>
    <mergeCell ref="F83:H83"/>
    <mergeCell ref="A88:E88"/>
    <mergeCell ref="A111:H111"/>
    <mergeCell ref="E98:F98"/>
    <mergeCell ref="L109:M109"/>
    <mergeCell ref="G96:H96"/>
    <mergeCell ref="F88:H88"/>
    <mergeCell ref="F80:H80"/>
    <mergeCell ref="F85:H85"/>
    <mergeCell ref="F81:H81"/>
    <mergeCell ref="A75:B75"/>
    <mergeCell ref="A85:E85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38:B38"/>
    <mergeCell ref="C38:H38"/>
    <mergeCell ref="A45:D45"/>
    <mergeCell ref="A39:B39"/>
    <mergeCell ref="C39:H39"/>
    <mergeCell ref="A48:B48"/>
    <mergeCell ref="C48:H48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12:D12"/>
    <mergeCell ref="E12:H12"/>
    <mergeCell ref="A11:D11"/>
    <mergeCell ref="E11:H11"/>
    <mergeCell ref="A13:D13"/>
    <mergeCell ref="A22:D23"/>
    <mergeCell ref="E22:H23"/>
    <mergeCell ref="E14:H14"/>
    <mergeCell ref="A46:D46"/>
    <mergeCell ref="A47:H47"/>
    <mergeCell ref="D57:H57"/>
    <mergeCell ref="A57:C57"/>
    <mergeCell ref="G50:H50"/>
    <mergeCell ref="G53:H53"/>
    <mergeCell ref="C50:E50"/>
    <mergeCell ref="F33:H33"/>
    <mergeCell ref="A15:B15"/>
    <mergeCell ref="C15:H15"/>
    <mergeCell ref="C16:H16"/>
    <mergeCell ref="A17:B17"/>
    <mergeCell ref="C17:H17"/>
    <mergeCell ref="A16:B16"/>
    <mergeCell ref="A49:B49"/>
    <mergeCell ref="C49:E49"/>
    <mergeCell ref="G49:H49"/>
    <mergeCell ref="G51:H51"/>
    <mergeCell ref="A50:B50"/>
    <mergeCell ref="A54:H54"/>
    <mergeCell ref="A55:C55"/>
    <mergeCell ref="A172:H175"/>
    <mergeCell ref="A171:B171"/>
    <mergeCell ref="E171:F171"/>
    <mergeCell ref="C171:D171"/>
    <mergeCell ref="G171:H171"/>
    <mergeCell ref="A94:H94"/>
    <mergeCell ref="A92:E92"/>
    <mergeCell ref="F92:H92"/>
    <mergeCell ref="A93:E93"/>
    <mergeCell ref="F93:H93"/>
    <mergeCell ref="A140:H140"/>
    <mergeCell ref="A99:B99"/>
    <mergeCell ref="A130:B130"/>
    <mergeCell ref="A96:B96"/>
    <mergeCell ref="A167:H167"/>
    <mergeCell ref="A97:H97"/>
    <mergeCell ref="A170:H170"/>
    <mergeCell ref="A168:H168"/>
    <mergeCell ref="A164:H164"/>
    <mergeCell ref="G98:H98"/>
    <mergeCell ref="A132:B132"/>
    <mergeCell ref="A145:B145"/>
    <mergeCell ref="A165:H165"/>
    <mergeCell ref="B162:H162"/>
    <mergeCell ref="C95:D95"/>
    <mergeCell ref="F84:H84"/>
    <mergeCell ref="G106:H110"/>
    <mergeCell ref="F87:H87"/>
    <mergeCell ref="B160:H160"/>
    <mergeCell ref="B156:H156"/>
    <mergeCell ref="A101:H101"/>
    <mergeCell ref="B154:H154"/>
    <mergeCell ref="B155:H155"/>
    <mergeCell ref="A112:A113"/>
    <mergeCell ref="A142:B142"/>
    <mergeCell ref="A106:B106"/>
    <mergeCell ref="A110:B110"/>
    <mergeCell ref="C145:F145"/>
    <mergeCell ref="G141:H152"/>
    <mergeCell ref="G128:H139"/>
    <mergeCell ref="A147:B147"/>
    <mergeCell ref="A148:B148"/>
    <mergeCell ref="A149:B149"/>
    <mergeCell ref="A150:B150"/>
    <mergeCell ref="A151:B151"/>
    <mergeCell ref="A152:B152"/>
    <mergeCell ref="A169:H169"/>
    <mergeCell ref="A166:H166"/>
    <mergeCell ref="A141:B141"/>
    <mergeCell ref="D112:D113"/>
    <mergeCell ref="E112:E113"/>
    <mergeCell ref="G112:H113"/>
    <mergeCell ref="A114:H114"/>
    <mergeCell ref="A131:B131"/>
    <mergeCell ref="A128:B128"/>
    <mergeCell ref="B161:H161"/>
    <mergeCell ref="B159:H159"/>
    <mergeCell ref="B157:H157"/>
    <mergeCell ref="B158:H158"/>
    <mergeCell ref="A153:H153"/>
    <mergeCell ref="A144:B144"/>
    <mergeCell ref="A146:B146"/>
    <mergeCell ref="B163:H163"/>
    <mergeCell ref="A135:B135"/>
    <mergeCell ref="A136:B136"/>
    <mergeCell ref="A137:B137"/>
    <mergeCell ref="A138:B138"/>
    <mergeCell ref="A139:B139"/>
    <mergeCell ref="A143:B143"/>
    <mergeCell ref="A125:B125"/>
    <mergeCell ref="A56:C56"/>
    <mergeCell ref="D56:H56"/>
    <mergeCell ref="A51:B51"/>
    <mergeCell ref="A52:B52"/>
    <mergeCell ref="C51:E51"/>
    <mergeCell ref="A58:C58"/>
    <mergeCell ref="D58:H58"/>
    <mergeCell ref="A63:C63"/>
    <mergeCell ref="A69:B69"/>
    <mergeCell ref="A68:B68"/>
    <mergeCell ref="A66:B66"/>
    <mergeCell ref="C66:H66"/>
    <mergeCell ref="C52:H52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D64:H64"/>
    <mergeCell ref="A70:B70"/>
    <mergeCell ref="G69:H69"/>
    <mergeCell ref="G70:H79"/>
    <mergeCell ref="A78:B78"/>
    <mergeCell ref="A79:B79"/>
    <mergeCell ref="A76:B76"/>
    <mergeCell ref="A72:B72"/>
    <mergeCell ref="I14:P14"/>
    <mergeCell ref="F91:H91"/>
    <mergeCell ref="F89:H89"/>
    <mergeCell ref="A129:B129"/>
    <mergeCell ref="A102:H102"/>
    <mergeCell ref="G95:H95"/>
    <mergeCell ref="A90:E90"/>
    <mergeCell ref="A107:B107"/>
    <mergeCell ref="A53:B53"/>
    <mergeCell ref="C53:E53"/>
    <mergeCell ref="D55:H55"/>
    <mergeCell ref="F90:H90"/>
    <mergeCell ref="E95:F95"/>
    <mergeCell ref="A95:B95"/>
    <mergeCell ref="C98:D98"/>
    <mergeCell ref="D63:H63"/>
    <mergeCell ref="A64:C64"/>
    <mergeCell ref="F34:H34"/>
    <mergeCell ref="A100:B100"/>
    <mergeCell ref="C100:D100"/>
    <mergeCell ref="E100:F100"/>
    <mergeCell ref="G100:H100"/>
    <mergeCell ref="E42:H42"/>
    <mergeCell ref="A42:D42"/>
  </mergeCells>
  <dataValidations count="12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3:E104">
      <formula1>"Attached Loft area,Attached Terrace area,Attached Mezzanine area"</formula1>
    </dataValidation>
    <dataValidation type="list" allowBlank="1" showInputMessage="1" showErrorMessage="1" sqref="F104 F113">
      <formula1>"45%,50%,55%,60%"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3 F112">
      <formula1>"Saleable area Loading :,Builder Saleable area"</formula1>
    </dataValidation>
    <dataValidation type="list" allowBlank="1" showInputMessage="1" showErrorMessage="1" sqref="B103:B104">
      <formula1>"Shop No. (Sale Plan),Sale / Rehab,Sale / Mhada"</formula1>
    </dataValidation>
    <dataValidation type="list" allowBlank="1" showInputMessage="1" showErrorMessage="1" sqref="B112:B113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75" max="16383" man="1"/>
    <brk id="218" max="16383" man="1"/>
    <brk id="26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7" t="s">
        <v>108</v>
      </c>
      <c r="C3" s="197"/>
      <c r="D3" s="197"/>
      <c r="E3" s="197"/>
      <c r="F3" s="197"/>
      <c r="G3" s="197"/>
      <c r="H3" s="197"/>
    </row>
    <row r="4" spans="1:9" x14ac:dyDescent="0.3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6"/>
      <c r="C4" s="56" t="s">
        <v>12</v>
      </c>
      <c r="D4" s="57" t="s">
        <v>178</v>
      </c>
      <c r="E4" s="57" t="s">
        <v>188</v>
      </c>
      <c r="F4" s="57" t="s">
        <v>172</v>
      </c>
      <c r="G4" s="57" t="s">
        <v>193</v>
      </c>
      <c r="H4" s="57" t="s">
        <v>211</v>
      </c>
      <c r="J4" t="s">
        <v>193</v>
      </c>
      <c r="K4" t="s">
        <v>209</v>
      </c>
    </row>
    <row r="5" spans="2:11" x14ac:dyDescent="0.35">
      <c r="B5" s="56"/>
      <c r="C5" s="56"/>
      <c r="D5" s="57" t="s">
        <v>179</v>
      </c>
      <c r="E5" s="57" t="s">
        <v>186</v>
      </c>
      <c r="F5" s="57" t="s">
        <v>208</v>
      </c>
      <c r="G5" s="57" t="s">
        <v>194</v>
      </c>
      <c r="H5" s="57" t="s">
        <v>212</v>
      </c>
    </row>
    <row r="6" spans="2:11" x14ac:dyDescent="0.35">
      <c r="B6" s="56"/>
      <c r="C6" s="56"/>
      <c r="D6" s="57" t="s">
        <v>180</v>
      </c>
      <c r="E6" s="57" t="s">
        <v>187</v>
      </c>
      <c r="F6" s="57" t="s">
        <v>209</v>
      </c>
      <c r="G6" s="57" t="s">
        <v>195</v>
      </c>
      <c r="H6" s="57" t="s">
        <v>225</v>
      </c>
    </row>
    <row r="7" spans="2:11" x14ac:dyDescent="0.35">
      <c r="B7" s="56"/>
      <c r="C7" s="56"/>
      <c r="D7" s="57" t="s">
        <v>181</v>
      </c>
      <c r="E7" s="57" t="s">
        <v>189</v>
      </c>
      <c r="F7" s="57" t="s">
        <v>210</v>
      </c>
      <c r="G7" s="57" t="s">
        <v>196</v>
      </c>
      <c r="H7" s="57" t="s">
        <v>213</v>
      </c>
    </row>
    <row r="8" spans="2:11" x14ac:dyDescent="0.35">
      <c r="B8" s="56"/>
      <c r="C8" s="56"/>
      <c r="D8" s="57" t="s">
        <v>182</v>
      </c>
      <c r="E8" s="57" t="s">
        <v>190</v>
      </c>
      <c r="F8" s="57"/>
      <c r="G8" s="57" t="s">
        <v>197</v>
      </c>
      <c r="H8" s="57" t="s">
        <v>214</v>
      </c>
    </row>
    <row r="9" spans="2:11" x14ac:dyDescent="0.35">
      <c r="B9" s="56"/>
      <c r="C9" s="56"/>
      <c r="D9" s="57" t="s">
        <v>183</v>
      </c>
      <c r="E9" s="57" t="s">
        <v>188</v>
      </c>
      <c r="F9" s="57"/>
      <c r="G9" s="57" t="s">
        <v>198</v>
      </c>
      <c r="H9" s="57" t="s">
        <v>215</v>
      </c>
    </row>
    <row r="10" spans="2:11" x14ac:dyDescent="0.35">
      <c r="B10" s="56"/>
      <c r="C10" s="56"/>
      <c r="D10" s="57" t="s">
        <v>184</v>
      </c>
      <c r="E10" s="57" t="s">
        <v>191</v>
      </c>
      <c r="F10" s="57"/>
      <c r="G10" s="57" t="s">
        <v>199</v>
      </c>
      <c r="H10" s="57" t="s">
        <v>216</v>
      </c>
    </row>
    <row r="11" spans="2:11" x14ac:dyDescent="0.35">
      <c r="B11" s="56"/>
      <c r="C11" s="56"/>
      <c r="D11" s="57" t="s">
        <v>185</v>
      </c>
      <c r="E11" s="57" t="s">
        <v>192</v>
      </c>
      <c r="F11" s="57"/>
      <c r="G11" s="57" t="s">
        <v>200</v>
      </c>
      <c r="H11" s="57" t="s">
        <v>217</v>
      </c>
    </row>
    <row r="12" spans="2:11" x14ac:dyDescent="0.35">
      <c r="B12" s="56"/>
      <c r="C12" s="56"/>
      <c r="D12" s="57"/>
      <c r="E12" s="57"/>
      <c r="F12" s="57"/>
      <c r="G12" s="57" t="s">
        <v>201</v>
      </c>
      <c r="H12" s="57" t="s">
        <v>218</v>
      </c>
    </row>
    <row r="13" spans="2:11" x14ac:dyDescent="0.35">
      <c r="B13" s="56"/>
      <c r="C13" s="56"/>
      <c r="D13" s="57"/>
      <c r="E13" s="57"/>
      <c r="F13" s="57"/>
      <c r="G13" s="57" t="s">
        <v>202</v>
      </c>
      <c r="H13" s="57" t="s">
        <v>219</v>
      </c>
    </row>
    <row r="14" spans="2:11" x14ac:dyDescent="0.35">
      <c r="B14" s="56"/>
      <c r="C14" s="56"/>
      <c r="D14" s="57"/>
      <c r="E14" s="57"/>
      <c r="F14" s="57"/>
      <c r="G14" s="57" t="s">
        <v>203</v>
      </c>
      <c r="H14" s="57" t="s">
        <v>220</v>
      </c>
    </row>
    <row r="15" spans="2:11" x14ac:dyDescent="0.35">
      <c r="B15" s="56"/>
      <c r="C15" s="56"/>
      <c r="D15" s="57"/>
      <c r="E15" s="57"/>
      <c r="F15" s="57"/>
      <c r="G15" s="57" t="s">
        <v>204</v>
      </c>
      <c r="H15" s="57" t="s">
        <v>221</v>
      </c>
    </row>
    <row r="16" spans="2:11" x14ac:dyDescent="0.35">
      <c r="B16" s="56"/>
      <c r="C16" s="56"/>
      <c r="D16" s="57"/>
      <c r="E16" s="57"/>
      <c r="F16" s="57"/>
      <c r="G16" s="57" t="s">
        <v>205</v>
      </c>
      <c r="H16" s="57" t="s">
        <v>222</v>
      </c>
    </row>
    <row r="17" spans="2:8" x14ac:dyDescent="0.35">
      <c r="B17" s="56"/>
      <c r="C17" s="56"/>
      <c r="D17" s="57"/>
      <c r="E17" s="57"/>
      <c r="F17" s="57"/>
      <c r="G17" s="57" t="s">
        <v>206</v>
      </c>
      <c r="H17" s="57" t="s">
        <v>223</v>
      </c>
    </row>
    <row r="18" spans="2:8" x14ac:dyDescent="0.35">
      <c r="B18" s="56"/>
      <c r="C18" s="56"/>
      <c r="D18" s="57"/>
      <c r="E18" s="57"/>
      <c r="F18" s="57"/>
      <c r="G18" s="57" t="s">
        <v>207</v>
      </c>
      <c r="H18" s="57" t="s">
        <v>224</v>
      </c>
    </row>
    <row r="24" spans="2:8" x14ac:dyDescent="0.35">
      <c r="C24" t="s">
        <v>170</v>
      </c>
    </row>
    <row r="25" spans="2:8" x14ac:dyDescent="0.35">
      <c r="C25" t="s">
        <v>226</v>
      </c>
    </row>
    <row r="26" spans="2:8" x14ac:dyDescent="0.35">
      <c r="C26" t="s">
        <v>227</v>
      </c>
    </row>
    <row r="27" spans="2:8" x14ac:dyDescent="0.35">
      <c r="C27" t="s">
        <v>228</v>
      </c>
    </row>
    <row r="28" spans="2:8" x14ac:dyDescent="0.35">
      <c r="C28" t="s">
        <v>229</v>
      </c>
    </row>
    <row r="29" spans="2:8" x14ac:dyDescent="0.35">
      <c r="C29" t="s">
        <v>230</v>
      </c>
    </row>
    <row r="30" spans="2:8" x14ac:dyDescent="0.35">
      <c r="C30" t="s">
        <v>170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2025-07-12T13:58:37Z</cp:lastPrinted>
  <dcterms:created xsi:type="dcterms:W3CDTF">2019-07-16T09:29:46Z</dcterms:created>
  <dcterms:modified xsi:type="dcterms:W3CDTF">2025-07-12T13:59:21Z</dcterms:modified>
</cp:coreProperties>
</file>