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2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Report!$A$1:$H$293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0" i="1" l="1"/>
  <c r="N139" i="1"/>
  <c r="M137" i="1" l="1"/>
  <c r="M139" i="1"/>
  <c r="M138" i="1"/>
  <c r="J119" i="1"/>
  <c r="J117" i="1"/>
  <c r="J116" i="1"/>
  <c r="I111" i="1" l="1"/>
  <c r="I110" i="1"/>
  <c r="E45" i="1" l="1"/>
  <c r="I43" i="1" l="1"/>
  <c r="E43" i="1"/>
  <c r="D137" i="1"/>
  <c r="F137" i="1" s="1"/>
  <c r="N137" i="1" s="1"/>
  <c r="I137" i="1"/>
  <c r="I44" i="1" l="1"/>
  <c r="E44" i="1"/>
  <c r="L137" i="1"/>
  <c r="J137" i="1"/>
  <c r="J141" i="1"/>
  <c r="I141" i="1"/>
  <c r="J138" i="1"/>
  <c r="I138" i="1"/>
  <c r="J136" i="1"/>
  <c r="I136" i="1"/>
  <c r="I121" i="1"/>
  <c r="I119" i="1"/>
  <c r="I116" i="1"/>
  <c r="I114" i="1"/>
  <c r="I113" i="1"/>
  <c r="I109" i="1"/>
  <c r="D136" i="1"/>
  <c r="F136" i="1" s="1"/>
  <c r="N136" i="1" s="1"/>
  <c r="D141" i="1"/>
  <c r="F141" i="1" s="1"/>
  <c r="N141" i="1" s="1"/>
  <c r="D142" i="1"/>
  <c r="F142" i="1" s="1"/>
  <c r="N142" i="1" s="1"/>
  <c r="D140" i="1"/>
  <c r="L140" i="1" s="1"/>
  <c r="D138" i="1"/>
  <c r="D130" i="1"/>
  <c r="D129" i="1"/>
  <c r="D128" i="1"/>
  <c r="D127" i="1"/>
  <c r="D125" i="1"/>
  <c r="D124" i="1"/>
  <c r="D122" i="1"/>
  <c r="D121" i="1"/>
  <c r="D120" i="1"/>
  <c r="D119" i="1"/>
  <c r="D118" i="1"/>
  <c r="D117" i="1"/>
  <c r="D116" i="1"/>
  <c r="G116" i="1"/>
  <c r="G109" i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F109" i="1" s="1"/>
  <c r="A110" i="1"/>
  <c r="A111" i="1" s="1"/>
  <c r="A112" i="1" s="1"/>
  <c r="A113" i="1" s="1"/>
  <c r="A114" i="1" s="1"/>
  <c r="E101" i="1" l="1"/>
  <c r="E97" i="1"/>
  <c r="F140" i="1"/>
  <c r="N140" i="1" s="1"/>
  <c r="L136" i="1"/>
  <c r="F138" i="1"/>
  <c r="N138" i="1" s="1"/>
  <c r="L138" i="1"/>
  <c r="C101" i="1"/>
  <c r="L141" i="1"/>
  <c r="L142" i="1"/>
  <c r="G96" i="1"/>
  <c r="C96" i="1"/>
  <c r="C97" i="1"/>
  <c r="E96" i="1"/>
  <c r="B145" i="1"/>
  <c r="G124" i="1"/>
  <c r="A125" i="1"/>
  <c r="A126" i="1" s="1"/>
  <c r="A127" i="1" s="1"/>
  <c r="A128" i="1" s="1"/>
  <c r="A129" i="1" s="1"/>
  <c r="A130" i="1" s="1"/>
  <c r="F130" i="1"/>
  <c r="F129" i="1"/>
  <c r="F128" i="1"/>
  <c r="F127" i="1"/>
  <c r="F125" i="1"/>
  <c r="F124" i="1"/>
  <c r="F122" i="1"/>
  <c r="F121" i="1"/>
  <c r="F120" i="1"/>
  <c r="E7" i="1"/>
  <c r="A116" i="1"/>
  <c r="E98" i="1" l="1"/>
  <c r="E102" i="1" s="1"/>
  <c r="C98" i="1"/>
  <c r="C102" i="1" s="1"/>
  <c r="Z12" i="1"/>
  <c r="I14" i="1"/>
  <c r="A117" i="1"/>
  <c r="A137" i="1"/>
  <c r="F116" i="1" l="1"/>
  <c r="A138" i="1"/>
  <c r="A118" i="1"/>
  <c r="C15" i="1" l="1"/>
  <c r="A119" i="1"/>
  <c r="E30" i="1" l="1"/>
  <c r="A120" i="1"/>
  <c r="G136" i="1" l="1"/>
  <c r="A121" i="1"/>
  <c r="F93" i="1" l="1"/>
  <c r="A122" i="1"/>
  <c r="F117" i="1" l="1"/>
  <c r="F118" i="1"/>
  <c r="F119" i="1"/>
  <c r="G97" i="1" l="1"/>
  <c r="G98" i="1" s="1"/>
  <c r="G101" i="1"/>
  <c r="B146" i="1"/>
  <c r="G102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5" i="1"/>
  <c r="G140" i="1"/>
  <c r="A140" i="1"/>
  <c r="A141" i="1" s="1"/>
  <c r="A142" i="1" s="1"/>
  <c r="C66" i="1"/>
  <c r="B67" i="1" s="1"/>
  <c r="D55" i="1"/>
  <c r="G50" i="1"/>
  <c r="G51" i="1" s="1"/>
  <c r="C50" i="1"/>
  <c r="C51" i="1" s="1"/>
  <c r="E27" i="1"/>
  <c r="E25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<sst xmlns="http://schemas.openxmlformats.org/spreadsheetml/2006/main" count="406" uniqueCount="285">
  <si>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</si>
  <si>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</si>
  <si>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</si>
  <si>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</si>
  <si>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</si>
  <si>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</si>
  <si>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</si>
  <si>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</si>
  <si>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</si>
  <si>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</si>
  <si>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</si>
  <si>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</si>
  <si>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</si>
  <si>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</si>
  <si>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</si>
  <si>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</si>
  <si>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</si>
  <si>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</si>
  <si>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</si>
  <si>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</si>
  <si>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</si>
  <si>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</si>
  <si>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</si>
  <si>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</si>
  <si>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</si>
  <si>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</si>
  <si>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</si>
  <si>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</si>
  <si>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</si>
  <si>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</si>
  <si>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</si>
  <si>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</si>
  <si>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</si>
  <si>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</si>
  <si>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</si>
  <si>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</si>
  <si>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</si>
  <si>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</si>
  <si>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</si>
  <si>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</si>
  <si>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</si>
  <si>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</si>
  <si>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</si>
  <si>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</si>
  <si>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</si>
  <si>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</si>
  <si>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</si>
  <si>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</si>
  <si>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</si>
  <si>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</si>
  <si>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</si>
  <si>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</si>
  <si>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</si>
  <si>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</si>
  <si>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</si>
  <si>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</si>
  <si>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</si>
  <si>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</si>
  <si>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</si>
  <si>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</si>
  <si>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</si>
  <si>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</si>
  <si>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</si>
  <si>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</si>
  <si>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</si>
  <si>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</si>
  <si>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</si>
  <si>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</si>
  <si>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</si>
  <si>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</si>
  <si>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</si>
  <si>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</si>
  <si>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</si>
  <si>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</si>
  <si>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</si>
  <si>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</si>
  <si>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</si>
  <si>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</si>
  <si>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</si>
  <si>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</si>
  <si>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</si>
  <si>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</si>
  <si>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</si>
  <si>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</si>
  <si>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</si>
  <si>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</si>
  <si>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</si>
  <si>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</si>
  <si>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</si>
  <si>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</si>
  <si>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</si>
  <si>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</si>
  <si>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</si>
  <si>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</si>
  <si>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</si>
  <si>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</si>
  <si>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</si>
  <si>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</si>
  <si>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</si>
  <si>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</si>
  <si>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</si>
  <si>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</si>
  <si>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</si>
  <si>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</si>
  <si>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</si>
  <si>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</si>
  <si>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</si>
  <si>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</si>
  <si>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</si>
  <si>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</si>
  <si>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</si>
  <si>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</si>
  <si>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</si>
  <si>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</si>
  <si>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</si>
  <si>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</si>
  <si>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</si>
  <si>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</si>
  <si>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</si>
  <si>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</si>
  <si>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</si>
  <si>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</si>
  <si>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</si>
  <si>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</si>
  <si>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</si>
  <si>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</si>
  <si>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</si>
  <si>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</si>
  <si>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</si>
  <si>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</si>
  <si>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</si>
  <si>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</si>
  <si>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</si>
  <si>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</si>
  <si>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</si>
  <si>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</si>
  <si>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</si>
  <si>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</si>
  <si>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</si>
  <si>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</si>
  <si>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</si>
  <si>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</si>
  <si>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</si>
  <si>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</si>
  <si>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</si>
  <si>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</si>
  <si>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</si>
  <si>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</si>
  <si>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</si>
  <si>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</si>
  <si>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</si>
  <si>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</si>
  <si>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</si>
  <si>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</si>
  <si>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</si>
  <si>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</si>
  <si>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</si>
  <si>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</si>
  <si>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</si>
  <si>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</si>
  <si>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</si>
  <si>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</si>
  <si>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</si>
  <si>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</si>
  <si>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</si>
  <si>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</si>
  <si>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</si>
  <si>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</si>
  <si>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</si>
  <si>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</si>
  <si>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</si>
  <si>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</si>
  <si>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Axis Goregaon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</si>
  <si>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</si>
  <si>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</si>
  <si>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</si>
  <si>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</si>
  <si>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</si>
  <si>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</si>
  <si>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</si>
  <si>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</si>
  <si>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</si>
  <si>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</si>
  <si>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</si>
  <si>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</si>
  <si>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</si>
  <si>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</si>
  <si>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</si>
  <si>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</si>
  <si>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</si>
  <si>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</si>
  <si>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</si>
  <si>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</si>
  <si>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</si>
  <si>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</si>
  <si>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</si>
  <si>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</si>
  <si>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</si>
  <si>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</si>
  <si>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</si>
  <si>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</si>
  <si>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</si>
  <si>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</si>
  <si>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</si>
  <si>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</si>
  <si>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</si>
  <si>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</si>
  <si>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</si>
  <si>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</si>
  <si>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</si>
  <si>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</si>
  <si>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</si>
  <si>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</si>
  <si>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</si>
  <si>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</si>
  <si>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</si>
  <si>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</si>
  <si>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</si>
  <si>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</si>
  <si>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</si>
  <si>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</si>
  <si>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</si>
  <si>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</si>
  <si>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</si>
  <si>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</si>
  <si>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</si>
  <si>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</si>
  <si>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</si>
  <si>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</si>
  <si>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</si>
  <si>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</si>
  <si>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</si>
  <si>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</si>
  <si>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Commencement-CC No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</si>
  <si>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</si>
  <si>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</si>
  <si>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V Square</t>
  </si>
  <si>
    <t>V Square Arcade</t>
  </si>
  <si>
    <t>Mr. Ankit Mehta 9324583220</t>
  </si>
  <si>
    <t>Approved Plans, CC &amp; Cost Sheet.</t>
  </si>
  <si>
    <t>P99000027100</t>
  </si>
  <si>
    <t>Survey No</t>
  </si>
  <si>
    <t>84/B/2/5/3</t>
  </si>
  <si>
    <t>Palghar West</t>
  </si>
  <si>
    <t>19.695739,72.770248</t>
  </si>
  <si>
    <t>https://maps.app.goo.gl/yEX87kV7Qun5syUK7</t>
  </si>
  <si>
    <t>Kacheri Road</t>
  </si>
  <si>
    <t>Saraswati Chandra Appt.</t>
  </si>
  <si>
    <t>15 M. Wide Road</t>
  </si>
  <si>
    <t>Other Plot</t>
  </si>
  <si>
    <t>Internal Road/Building</t>
  </si>
  <si>
    <t>Building/ Hospial Dave</t>
  </si>
  <si>
    <t>Palghar Municipal Council</t>
  </si>
  <si>
    <t>CBPPE/RB/2023/APL/00064</t>
  </si>
  <si>
    <t>As per RERA - 31/10/2026</t>
  </si>
  <si>
    <t>Vitrified tiles flooring, Granite Kitchen Platform, Decorative
Entrance &amp; Landscape Garden, etc.</t>
  </si>
  <si>
    <t>1st, 2nd Floor For Commercial</t>
  </si>
  <si>
    <t>Office</t>
  </si>
  <si>
    <t>3rd Floor For Commercial &amp; Society Office</t>
  </si>
  <si>
    <t>Society Office</t>
  </si>
  <si>
    <t>4th to 6th Floor For Residential</t>
  </si>
  <si>
    <t>401 to 601</t>
  </si>
  <si>
    <t>1BHK</t>
  </si>
  <si>
    <t>3BHK</t>
  </si>
  <si>
    <t>2BHK</t>
  </si>
  <si>
    <t>We considered Gross carpet area = Net carpet + Balcony.</t>
  </si>
  <si>
    <t>Vishnu Nagar</t>
  </si>
  <si>
    <t>350M from Palghar Railway Station</t>
  </si>
  <si>
    <t>Shop</t>
  </si>
  <si>
    <t>Ground Floor For Commercial &amp; Parking</t>
  </si>
  <si>
    <t>7th Floor For Residential &amp; Drivers Room</t>
  </si>
  <si>
    <t>Shops</t>
  </si>
  <si>
    <t>Offices</t>
  </si>
  <si>
    <t>Flats</t>
  </si>
  <si>
    <t>Flats - 12, Shops - 06, Offices - 20</t>
  </si>
  <si>
    <t>Saraswati Chandra Appt</t>
  </si>
  <si>
    <t>Ignore saleable</t>
  </si>
  <si>
    <t>Building No. 01</t>
  </si>
  <si>
    <t>4K to 5</t>
  </si>
  <si>
    <t>Building No. 01 = Gr + 1st to 7th Floor</t>
  </si>
  <si>
    <t>Mr. Papu Mishra 9226723808</t>
  </si>
  <si>
    <t>Mr. Akash Upadhayay 7666091563</t>
  </si>
  <si>
    <t xml:space="preserve">Construction work is in process at the time of visit. Lift installation &amp; finishing work in process.
</t>
  </si>
  <si>
    <t>Pooja Kawale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</si>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</sst>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19" xfId="0" applyFont="1" applyBorder="1"/>
    <xf numFmtId="0" fontId="25" fillId="0" borderId="3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65" fontId="7" fillId="0" borderId="0" xfId="1" applyNumberFormat="1" applyFont="1"/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vertical="center"/>
    </xf>
    <xf numFmtId="1" fontId="15" fillId="0" borderId="0" xfId="1" applyNumberFormat="1" applyFont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1" fontId="13" fillId="0" borderId="2" xfId="1" applyNumberFormat="1" applyFont="1" applyBorder="1" applyAlignment="1" applyProtection="1">
      <alignment horizontal="center" vertical="top" wrapText="1"/>
      <protection locked="0"/>
    </xf>
    <xf numFmtId="9" fontId="13" fillId="0" borderId="10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1" fontId="10" fillId="0" borderId="21" xfId="0" applyNumberFormat="1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5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0" xfId="1" applyFont="1" applyFill="1" applyAlignment="1">
      <alignment horizontal="center" vertical="center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5" fillId="0" borderId="0" xfId="1" applyFont="1" applyAlignment="1">
      <alignment horizontal="center" vertical="center"/>
    </xf>
    <xf numFmtId="0" fontId="9" fillId="0" borderId="1" xfId="5" applyFont="1" applyBorder="1" applyAlignment="1">
      <alignment horizontal="left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659439</xdr:colOff>
      <xdr:row>231</xdr:row>
      <xdr:rowOff>148197</xdr:rowOff>
    </xdr:from>
    <xdr:to>
      <xdr:col>6</xdr:col>
      <xdr:colOff>89923</xdr:colOff>
      <xdr:row>248</xdr:row>
      <xdr:rowOff>25139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054" y="47934389"/>
          <a:ext cx="3885254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654315</xdr:colOff>
      <xdr:row>209</xdr:row>
      <xdr:rowOff>21981</xdr:rowOff>
    </xdr:from>
    <xdr:to>
      <xdr:col>6</xdr:col>
      <xdr:colOff>93851</xdr:colOff>
      <xdr:row>230</xdr:row>
      <xdr:rowOff>187616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4930" y="43455981"/>
          <a:ext cx="3894306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205157</xdr:colOff>
      <xdr:row>252</xdr:row>
      <xdr:rowOff>21981</xdr:rowOff>
    </xdr:from>
    <xdr:to>
      <xdr:col>7</xdr:col>
      <xdr:colOff>544462</xdr:colOff>
      <xdr:row>272</xdr:row>
      <xdr:rowOff>171615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157" y="52160366"/>
          <a:ext cx="6435305" cy="410617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205156</xdr:colOff>
      <xdr:row>273</xdr:row>
      <xdr:rowOff>117224</xdr:rowOff>
    </xdr:from>
    <xdr:to>
      <xdr:col>7</xdr:col>
      <xdr:colOff>544461</xdr:colOff>
      <xdr:row>291</xdr:row>
      <xdr:rowOff>117230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156" y="56409974"/>
          <a:ext cx="6435305" cy="35608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236154</xdr:colOff>
      <xdr:row>279</xdr:row>
      <xdr:rowOff>29707</xdr:rowOff>
    </xdr:from>
    <xdr:to>
      <xdr:col>4</xdr:col>
      <xdr:colOff>404286</xdr:colOff>
      <xdr:row>285</xdr:row>
      <xdr:rowOff>38752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20127247">
          <a:off x="2829885" y="57509419"/>
          <a:ext cx="1179247" cy="1196006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8</xdr:col>
      <xdr:colOff>549519</xdr:colOff>
      <xdr:row>93</xdr:row>
      <xdr:rowOff>29309</xdr:rowOff>
    </xdr:from>
    <xdr:to>
      <xdr:col>10</xdr:col>
      <xdr:colOff>208500</xdr:colOff>
      <xdr:row>102</xdr:row>
      <xdr:rowOff>19559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0192" y="20200328"/>
          <a:ext cx="1725173" cy="1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56030</xdr:colOff>
      <xdr:row>110</xdr:row>
      <xdr:rowOff>200845</xdr:rowOff>
    </xdr:from>
    <xdr:to>
      <xdr:col>13</xdr:col>
      <xdr:colOff>557979</xdr:colOff>
      <xdr:row>129</xdr:row>
      <xdr:rowOff>38255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4030" y="24091786"/>
          <a:ext cx="4917067" cy="3669822"/>
        </a:xfrm>
        <a:prstGeom prst="rect">
          <a:avLst/>
        </a:prstGeom>
      </xdr:spPr>
    </xdr:pic>
    <xdr:clientData/>
  </xdr:twoCellAnchor>
  <xdr:twoCellAnchor>
    <xdr:from>
      <xdr:col>9</xdr:col>
      <xdr:colOff>133350</xdr:colOff>
      <xdr:row>165</xdr:row>
      <xdr:rowOff>152400</xdr:rowOff>
    </xdr:from>
    <xdr:to>
      <xdr:col>16</xdr:col>
      <xdr:colOff>471690</xdr:colOff>
      <xdr:row>206</xdr:row>
      <xdr:rowOff>181977</xdr:rowOff>
    </xdr:to>
    <xdr:grpSp>
      <xdr:nvGrpSpPr>
        <xdr:cNvPr id="2" name="Group 1"/>
        <xdr:cNvGrpSpPr/>
      </xdr:nvGrpSpPr>
      <xdr:grpSpPr>
        <a:xfrm>
          <a:off x="8045450" y="34296350"/>
          <a:ext cx="5818390" cy="8094077"/>
          <a:chOff x="400050" y="34851975"/>
          <a:chExt cx="5577090" cy="8221077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C71E7298-DB0D-481A-A7CA-CA807269D6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0050" y="34874906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F3FEC035-BD40-4AE5-8E46-6328176622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90033" y="34861154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8FB3C1E6-4BC6-4334-9C45-5A4D873372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37132" y="34861154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56BE93BF-D7C5-4D7D-A278-10E496C44B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83390" y="34851975"/>
            <a:ext cx="129375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2ECA9946-3777-4D21-B1F5-66A289D292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7314" y="37968174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139290C6-C5E3-4F2A-837E-B52C687E83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0810" y="37968174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39A88683-0B14-48A4-8E7D-18FD4653F8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07669" y="37955838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4C0DB714-B02F-4206-8E35-4CBAC4DBD1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94630" y="37962822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0B5F75DA-6883-4ED1-9C9D-B72CC96D00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81591" y="37921441"/>
            <a:ext cx="970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F9A787CA-5517-43C4-A16B-9DB52FDA1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922" y="40243860"/>
            <a:ext cx="3600000" cy="16211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9B257302-8A5D-4981-8600-7F00DD7A1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78540" y="41985056"/>
            <a:ext cx="486844" cy="10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EA1048C1-9B3A-4B87-860C-756F006EC8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85916" y="41993052"/>
            <a:ext cx="2398268" cy="10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120650</xdr:colOff>
      <xdr:row>165</xdr:row>
      <xdr:rowOff>88900</xdr:rowOff>
    </xdr:from>
    <xdr:to>
      <xdr:col>7</xdr:col>
      <xdr:colOff>620084</xdr:colOff>
      <xdr:row>196</xdr:row>
      <xdr:rowOff>108395</xdr:rowOff>
    </xdr:to>
    <xdr:grpSp>
      <xdr:nvGrpSpPr>
        <xdr:cNvPr id="3" name="Group 2"/>
        <xdr:cNvGrpSpPr/>
      </xdr:nvGrpSpPr>
      <xdr:grpSpPr>
        <a:xfrm>
          <a:off x="120650" y="34232850"/>
          <a:ext cx="6455734" cy="6115495"/>
          <a:chOff x="120650" y="34232850"/>
          <a:chExt cx="6455734" cy="6115495"/>
        </a:xfrm>
      </xdr:grpSpPr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38987" y="38296345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8629" y="342328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99878" y="38296345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650" y="38296345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60769" y="38296345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91192" y="342328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yEX87kV7Qun5syUK7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Z251"/>
  <sheetViews>
    <sheetView tabSelected="1" view="pageBreakPreview" zoomScaleNormal="100" zoomScaleSheetLayoutView="100" zoomScalePageLayoutView="145" workbookViewId="0">
      <selection activeCell="E9" sqref="E9:H9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7265625" style="37" customWidth="1"/>
    <col min="4" max="4" width="14.1796875" style="37" customWidth="1"/>
    <col min="5" max="6" width="11.7265625" style="37" customWidth="1"/>
    <col min="7" max="7" width="11.453125" style="37" customWidth="1"/>
    <col min="8" max="8" width="10.54296875" style="37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26" ht="46.5" customHeight="1" x14ac:dyDescent="0.35">
      <c r="A1" s="153" t="s">
        <v>166</v>
      </c>
      <c r="B1" s="153"/>
      <c r="C1" s="153"/>
      <c r="D1" s="153"/>
      <c r="E1" s="153"/>
      <c r="F1" s="153"/>
      <c r="G1" s="153"/>
      <c r="H1" s="153"/>
    </row>
    <row r="2" spans="1:26" ht="16.5" customHeight="1" x14ac:dyDescent="0.35">
      <c r="A2" s="70" t="s">
        <v>0</v>
      </c>
      <c r="B2" s="70"/>
      <c r="C2" s="70"/>
      <c r="D2" s="70"/>
      <c r="E2" s="70"/>
      <c r="F2" s="70"/>
      <c r="G2" s="70"/>
      <c r="H2" s="70"/>
    </row>
    <row r="3" spans="1:26" x14ac:dyDescent="0.35">
      <c r="A3" s="93" t="s">
        <v>1</v>
      </c>
      <c r="B3" s="93"/>
      <c r="C3" s="93"/>
      <c r="D3" s="93"/>
      <c r="E3" s="93" t="str">
        <f ca="1">TEXT(TODAY(),"DD/MM/YYYY")</f>
        <v>12/07/2025</v>
      </c>
      <c r="F3" s="93"/>
      <c r="G3" s="93"/>
      <c r="H3" s="93"/>
    </row>
    <row r="4" spans="1:26" ht="15" customHeight="1" x14ac:dyDescent="0.35">
      <c r="A4" s="93" t="s">
        <v>2</v>
      </c>
      <c r="B4" s="93"/>
      <c r="C4" s="93"/>
      <c r="D4" s="93"/>
      <c r="E4" s="93" t="s">
        <v>172</v>
      </c>
      <c r="F4" s="93"/>
      <c r="G4" s="93"/>
      <c r="H4" s="93"/>
    </row>
    <row r="5" spans="1:26" x14ac:dyDescent="0.35">
      <c r="A5" s="93" t="s">
        <v>3</v>
      </c>
      <c r="B5" s="93"/>
      <c r="C5" s="93"/>
      <c r="D5" s="93"/>
      <c r="E5" s="154">
        <v>45848</v>
      </c>
      <c r="F5" s="93"/>
      <c r="G5" s="93"/>
      <c r="H5" s="93"/>
    </row>
    <row r="6" spans="1:26" ht="16.5" customHeight="1" x14ac:dyDescent="0.35">
      <c r="A6" s="93" t="s">
        <v>4</v>
      </c>
      <c r="B6" s="93"/>
      <c r="C6" s="93"/>
      <c r="D6" s="93"/>
      <c r="E6" s="93" t="s">
        <v>236</v>
      </c>
      <c r="F6" s="93"/>
      <c r="G6" s="93"/>
      <c r="H6" s="93"/>
    </row>
    <row r="7" spans="1:26" ht="15" customHeight="1" x14ac:dyDescent="0.35">
      <c r="A7" s="93" t="s">
        <v>5</v>
      </c>
      <c r="B7" s="93"/>
      <c r="C7" s="93"/>
      <c r="D7" s="93"/>
      <c r="E7" s="93" t="str">
        <f>E6</f>
        <v>V Square</v>
      </c>
      <c r="F7" s="93"/>
      <c r="G7" s="93"/>
      <c r="H7" s="93"/>
    </row>
    <row r="8" spans="1:26" x14ac:dyDescent="0.35">
      <c r="A8" s="93" t="s">
        <v>6</v>
      </c>
      <c r="B8" s="93"/>
      <c r="C8" s="93"/>
      <c r="D8" s="93"/>
      <c r="E8" s="141" t="s">
        <v>237</v>
      </c>
      <c r="F8" s="141"/>
      <c r="G8" s="141"/>
      <c r="H8" s="141"/>
    </row>
    <row r="9" spans="1:26" x14ac:dyDescent="0.35">
      <c r="A9" s="93" t="s">
        <v>169</v>
      </c>
      <c r="B9" s="93"/>
      <c r="C9" s="93"/>
      <c r="D9" s="93"/>
      <c r="E9" s="93">
        <v>9324583220</v>
      </c>
      <c r="F9" s="93"/>
      <c r="G9" s="93"/>
      <c r="H9" s="93"/>
      <c r="J9" s="93" t="s">
        <v>280</v>
      </c>
      <c r="K9" s="93"/>
      <c r="L9" s="93"/>
      <c r="M9" s="93"/>
    </row>
    <row r="10" spans="1:26" x14ac:dyDescent="0.35">
      <c r="A10" s="93" t="s">
        <v>170</v>
      </c>
      <c r="B10" s="93"/>
      <c r="C10" s="93"/>
      <c r="D10" s="93"/>
      <c r="E10" s="93" t="s">
        <v>281</v>
      </c>
      <c r="F10" s="93"/>
      <c r="G10" s="93"/>
      <c r="H10" s="93"/>
      <c r="I10" s="93" t="s">
        <v>238</v>
      </c>
      <c r="J10" s="93"/>
      <c r="K10" s="93"/>
      <c r="L10" s="93"/>
    </row>
    <row r="11" spans="1:26" x14ac:dyDescent="0.35">
      <c r="A11" s="93" t="s">
        <v>7</v>
      </c>
      <c r="B11" s="93"/>
      <c r="C11" s="93"/>
      <c r="D11" s="93"/>
      <c r="E11" s="93" t="s">
        <v>277</v>
      </c>
      <c r="F11" s="93"/>
      <c r="G11" s="93"/>
      <c r="H11" s="93"/>
    </row>
    <row r="12" spans="1:26" x14ac:dyDescent="0.35">
      <c r="A12" s="93" t="s">
        <v>173</v>
      </c>
      <c r="B12" s="93"/>
      <c r="C12" s="93"/>
      <c r="D12" s="93"/>
      <c r="E12" s="93" t="s">
        <v>29</v>
      </c>
      <c r="F12" s="93"/>
      <c r="G12" s="93"/>
      <c r="H12" s="93"/>
      <c r="S12" s="48" t="s">
        <v>180</v>
      </c>
      <c r="T12" s="48" t="s">
        <v>190</v>
      </c>
      <c r="U12" s="48" t="s">
        <v>174</v>
      </c>
      <c r="V12" s="48" t="s">
        <v>195</v>
      </c>
      <c r="W12" s="48" t="s">
        <v>213</v>
      </c>
      <c r="X12"/>
      <c r="Y12" t="s">
        <v>195</v>
      </c>
      <c r="Z12" t="e">
        <f ca="1">OFFSET($S$12,1,MATCH($G19,$S$12:$W$12,0)-1,15,1)</f>
        <v>#VALUE!</v>
      </c>
    </row>
    <row r="13" spans="1:26" x14ac:dyDescent="0.35">
      <c r="A13" s="93" t="s">
        <v>8</v>
      </c>
      <c r="B13" s="93"/>
      <c r="C13" s="93"/>
      <c r="D13" s="93"/>
      <c r="E13" s="92" t="s">
        <v>239</v>
      </c>
      <c r="F13" s="92"/>
      <c r="G13" s="92"/>
      <c r="H13" s="92"/>
      <c r="S13" s="48" t="s">
        <v>181</v>
      </c>
      <c r="T13" s="48" t="s">
        <v>188</v>
      </c>
      <c r="U13" s="48" t="s">
        <v>210</v>
      </c>
      <c r="V13" s="48" t="s">
        <v>196</v>
      </c>
      <c r="W13" s="48" t="s">
        <v>214</v>
      </c>
      <c r="X13"/>
      <c r="Y13"/>
      <c r="Z13"/>
    </row>
    <row r="14" spans="1:26" x14ac:dyDescent="0.35">
      <c r="A14" s="72" t="s">
        <v>9</v>
      </c>
      <c r="B14" s="72"/>
      <c r="C14" s="72"/>
      <c r="D14" s="72"/>
      <c r="E14" s="92" t="s">
        <v>240</v>
      </c>
      <c r="F14" s="93"/>
      <c r="G14" s="93"/>
      <c r="H14" s="93"/>
      <c r="I14" s="67" t="e">
        <f ca="1">OFFSET($D$4,1,MATCH($J12,$D$4:$H$4,0)-1,15,1)</f>
        <v>#N/A</v>
      </c>
      <c r="J14" s="68"/>
      <c r="K14" s="68"/>
      <c r="L14" s="68"/>
      <c r="M14" s="68"/>
      <c r="N14" s="68"/>
      <c r="O14" s="68"/>
      <c r="P14" s="68"/>
      <c r="S14" s="48" t="s">
        <v>182</v>
      </c>
      <c r="T14" s="48" t="s">
        <v>189</v>
      </c>
      <c r="U14" s="48" t="s">
        <v>211</v>
      </c>
      <c r="V14" s="48" t="s">
        <v>197</v>
      </c>
      <c r="W14" s="48" t="s">
        <v>227</v>
      </c>
      <c r="X14"/>
      <c r="Y14"/>
      <c r="Z14"/>
    </row>
    <row r="15" spans="1:26" ht="32.25" customHeight="1" x14ac:dyDescent="0.35">
      <c r="A15" s="91" t="s">
        <v>10</v>
      </c>
      <c r="B15" s="91"/>
      <c r="C15" s="91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V Square Arcade, Survey No.84/B/2/5/3, near Saraswati Chandra Appt, Kacheri Road, Vishnu Nagar, Palghar, Palghar West, Palghar, Palghar - 401404.</v>
      </c>
      <c r="D15" s="91"/>
      <c r="E15" s="91"/>
      <c r="F15" s="91"/>
      <c r="G15" s="91"/>
      <c r="H15" s="91"/>
      <c r="S15" s="48" t="s">
        <v>183</v>
      </c>
      <c r="T15" s="48" t="s">
        <v>191</v>
      </c>
      <c r="U15" s="48" t="s">
        <v>212</v>
      </c>
      <c r="V15" s="48" t="s">
        <v>198</v>
      </c>
      <c r="W15" s="48" t="s">
        <v>215</v>
      </c>
      <c r="X15"/>
      <c r="Y15"/>
      <c r="Z15"/>
    </row>
    <row r="16" spans="1:26" x14ac:dyDescent="0.35">
      <c r="A16" s="92" t="s">
        <v>241</v>
      </c>
      <c r="B16" s="92"/>
      <c r="C16" s="92" t="s">
        <v>242</v>
      </c>
      <c r="D16" s="92"/>
      <c r="E16" s="92"/>
      <c r="F16" s="92"/>
      <c r="G16" s="92"/>
      <c r="H16" s="92"/>
      <c r="S16" s="48" t="s">
        <v>184</v>
      </c>
      <c r="T16" s="48" t="s">
        <v>192</v>
      </c>
      <c r="U16" s="48"/>
      <c r="V16" s="48" t="s">
        <v>199</v>
      </c>
      <c r="W16" s="48" t="s">
        <v>216</v>
      </c>
      <c r="X16"/>
      <c r="Y16"/>
      <c r="Z16"/>
    </row>
    <row r="17" spans="1:26" ht="15.75" customHeight="1" x14ac:dyDescent="0.35">
      <c r="A17" s="92" t="s">
        <v>164</v>
      </c>
      <c r="B17" s="92"/>
      <c r="C17" s="92" t="s">
        <v>266</v>
      </c>
      <c r="D17" s="92"/>
      <c r="E17" s="92"/>
      <c r="F17" s="92"/>
      <c r="G17" s="92"/>
      <c r="H17" s="92"/>
      <c r="S17" s="48" t="s">
        <v>185</v>
      </c>
      <c r="T17" s="48" t="s">
        <v>190</v>
      </c>
      <c r="U17" s="48"/>
      <c r="V17" s="48" t="s">
        <v>200</v>
      </c>
      <c r="W17" s="48" t="s">
        <v>217</v>
      </c>
      <c r="X17"/>
      <c r="Y17"/>
      <c r="Z17"/>
    </row>
    <row r="18" spans="1:26" ht="15.75" customHeight="1" x14ac:dyDescent="0.35">
      <c r="A18" s="91" t="s">
        <v>11</v>
      </c>
      <c r="B18" s="91"/>
      <c r="C18" s="93" t="s">
        <v>246</v>
      </c>
      <c r="D18" s="93"/>
      <c r="E18" s="91" t="s">
        <v>73</v>
      </c>
      <c r="F18" s="91"/>
      <c r="G18" s="92" t="s">
        <v>190</v>
      </c>
      <c r="H18" s="92"/>
      <c r="S18" s="48" t="s">
        <v>186</v>
      </c>
      <c r="T18" s="48" t="s">
        <v>193</v>
      </c>
      <c r="U18" s="48"/>
      <c r="V18" s="48" t="s">
        <v>201</v>
      </c>
      <c r="W18" s="48" t="s">
        <v>218</v>
      </c>
      <c r="X18"/>
      <c r="Y18"/>
      <c r="Z18"/>
    </row>
    <row r="19" spans="1:26" x14ac:dyDescent="0.35">
      <c r="A19" s="72" t="s">
        <v>13</v>
      </c>
      <c r="B19" s="72"/>
      <c r="C19" s="92" t="s">
        <v>243</v>
      </c>
      <c r="D19" s="92"/>
      <c r="E19" s="92" t="s">
        <v>12</v>
      </c>
      <c r="F19" s="92"/>
      <c r="G19" s="155" t="s">
        <v>190</v>
      </c>
      <c r="H19" s="155"/>
      <c r="S19" s="48" t="s">
        <v>187</v>
      </c>
      <c r="T19" s="48" t="s">
        <v>194</v>
      </c>
      <c r="U19" s="48"/>
      <c r="V19" s="48" t="s">
        <v>202</v>
      </c>
      <c r="W19" s="48" t="s">
        <v>219</v>
      </c>
      <c r="X19"/>
      <c r="Y19"/>
      <c r="Z19"/>
    </row>
    <row r="20" spans="1:26" x14ac:dyDescent="0.35">
      <c r="A20" s="72" t="s">
        <v>74</v>
      </c>
      <c r="B20" s="72"/>
      <c r="C20" s="92" t="s">
        <v>190</v>
      </c>
      <c r="D20" s="92"/>
      <c r="E20" s="92" t="s">
        <v>14</v>
      </c>
      <c r="F20" s="92"/>
      <c r="G20" s="92">
        <v>401404</v>
      </c>
      <c r="H20" s="92"/>
      <c r="S20" s="48"/>
      <c r="T20" s="48"/>
      <c r="U20" s="48"/>
      <c r="V20" s="48" t="s">
        <v>203</v>
      </c>
      <c r="W20" s="48" t="s">
        <v>220</v>
      </c>
      <c r="X20"/>
      <c r="Y20"/>
      <c r="Z20"/>
    </row>
    <row r="21" spans="1:26" ht="32.25" customHeight="1" x14ac:dyDescent="0.35">
      <c r="A21" s="72" t="s">
        <v>123</v>
      </c>
      <c r="B21" s="72"/>
      <c r="C21" s="92" t="s">
        <v>275</v>
      </c>
      <c r="D21" s="92"/>
      <c r="E21" s="91" t="s">
        <v>15</v>
      </c>
      <c r="F21" s="91"/>
      <c r="G21" s="92" t="s">
        <v>267</v>
      </c>
      <c r="H21" s="92"/>
      <c r="S21" s="48"/>
      <c r="T21" s="48"/>
      <c r="U21" s="48"/>
      <c r="V21" s="48" t="s">
        <v>204</v>
      </c>
      <c r="W21" s="48" t="s">
        <v>221</v>
      </c>
      <c r="X21"/>
      <c r="Y21"/>
      <c r="Z21"/>
    </row>
    <row r="22" spans="1:26" ht="15" customHeight="1" x14ac:dyDescent="0.35">
      <c r="A22" s="91" t="s">
        <v>76</v>
      </c>
      <c r="B22" s="91"/>
      <c r="C22" s="91"/>
      <c r="D22" s="91"/>
      <c r="E22" s="93" t="s">
        <v>16</v>
      </c>
      <c r="F22" s="93"/>
      <c r="G22" s="93"/>
      <c r="H22" s="93"/>
      <c r="S22" s="48"/>
      <c r="T22" s="48"/>
      <c r="U22" s="48"/>
      <c r="V22" s="48" t="s">
        <v>205</v>
      </c>
      <c r="W22" s="48" t="s">
        <v>222</v>
      </c>
      <c r="X22"/>
      <c r="Y22"/>
      <c r="Z22"/>
    </row>
    <row r="23" spans="1:26" ht="18.75" customHeight="1" x14ac:dyDescent="0.35">
      <c r="A23" s="91"/>
      <c r="B23" s="91"/>
      <c r="C23" s="91"/>
      <c r="D23" s="91"/>
      <c r="E23" s="93"/>
      <c r="F23" s="93"/>
      <c r="G23" s="93"/>
      <c r="H23" s="93"/>
      <c r="S23" s="48"/>
      <c r="T23" s="48"/>
      <c r="U23" s="48"/>
      <c r="V23" s="48" t="s">
        <v>206</v>
      </c>
      <c r="W23" s="48" t="s">
        <v>223</v>
      </c>
      <c r="X23"/>
      <c r="Y23"/>
      <c r="Z23"/>
    </row>
    <row r="24" spans="1:26" ht="15" customHeight="1" x14ac:dyDescent="0.35">
      <c r="A24" s="91" t="s">
        <v>17</v>
      </c>
      <c r="B24" s="91"/>
      <c r="C24" s="91"/>
      <c r="D24" s="91"/>
      <c r="E24" s="92" t="s">
        <v>18</v>
      </c>
      <c r="F24" s="92"/>
      <c r="G24" s="92"/>
      <c r="H24" s="92"/>
      <c r="S24" s="48"/>
      <c r="T24" s="48"/>
      <c r="U24" s="48"/>
      <c r="V24" s="48" t="s">
        <v>207</v>
      </c>
      <c r="W24" s="48" t="s">
        <v>224</v>
      </c>
      <c r="X24"/>
      <c r="Y24"/>
      <c r="Z24"/>
    </row>
    <row r="25" spans="1:26" ht="15" customHeight="1" x14ac:dyDescent="0.35">
      <c r="A25" s="72" t="s">
        <v>19</v>
      </c>
      <c r="B25" s="72"/>
      <c r="C25" s="72"/>
      <c r="D25" s="72"/>
      <c r="E25" s="92" t="str">
        <f>IF(AND(G19="Mumbai"),"Upper Class","Middle Class")</f>
        <v>Middle Class</v>
      </c>
      <c r="F25" s="92"/>
      <c r="G25" s="92"/>
      <c r="H25" s="92"/>
      <c r="S25" s="48"/>
      <c r="T25" s="48"/>
      <c r="U25" s="48"/>
      <c r="V25" s="48" t="s">
        <v>208</v>
      </c>
      <c r="W25" s="48" t="s">
        <v>225</v>
      </c>
      <c r="X25"/>
      <c r="Y25"/>
      <c r="Z25"/>
    </row>
    <row r="26" spans="1:26" x14ac:dyDescent="0.35">
      <c r="A26" s="72" t="s">
        <v>20</v>
      </c>
      <c r="B26" s="72"/>
      <c r="C26" s="72"/>
      <c r="D26" s="72"/>
      <c r="E26" s="92" t="s">
        <v>21</v>
      </c>
      <c r="F26" s="92"/>
      <c r="G26" s="92"/>
      <c r="H26" s="92"/>
      <c r="S26" s="48"/>
      <c r="T26" s="48"/>
      <c r="U26" s="48"/>
      <c r="V26" s="48" t="s">
        <v>209</v>
      </c>
      <c r="W26" s="48" t="s">
        <v>226</v>
      </c>
      <c r="X26"/>
      <c r="Y26"/>
      <c r="Z26"/>
    </row>
    <row r="27" spans="1:26" ht="15.75" customHeight="1" x14ac:dyDescent="0.35">
      <c r="A27" s="72" t="s">
        <v>22</v>
      </c>
      <c r="B27" s="72"/>
      <c r="C27" s="72"/>
      <c r="D27" s="72"/>
      <c r="E27" s="92" t="str">
        <f>IF(AND(G19="Mumbai"),"Developed","Developing")</f>
        <v>Developing</v>
      </c>
      <c r="F27" s="92"/>
      <c r="G27" s="92"/>
      <c r="H27" s="92"/>
    </row>
    <row r="28" spans="1:26" x14ac:dyDescent="0.35">
      <c r="A28" s="72" t="s">
        <v>23</v>
      </c>
      <c r="B28" s="72"/>
      <c r="C28" s="72"/>
      <c r="D28" s="72"/>
      <c r="E28" s="92" t="s">
        <v>24</v>
      </c>
      <c r="F28" s="92"/>
      <c r="G28" s="92"/>
      <c r="H28" s="92"/>
    </row>
    <row r="29" spans="1:26" ht="15.75" customHeight="1" x14ac:dyDescent="0.35">
      <c r="A29" s="72" t="s">
        <v>81</v>
      </c>
      <c r="B29" s="72"/>
      <c r="C29" s="72"/>
      <c r="D29" s="72"/>
      <c r="E29" s="92" t="s">
        <v>82</v>
      </c>
      <c r="F29" s="92"/>
      <c r="G29" s="92"/>
      <c r="H29" s="92"/>
    </row>
    <row r="30" spans="1:26" ht="15" customHeight="1" x14ac:dyDescent="0.35">
      <c r="A30" s="72" t="s">
        <v>32</v>
      </c>
      <c r="B30" s="72"/>
      <c r="C30" s="72"/>
      <c r="D30" s="72"/>
      <c r="E30" s="9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92"/>
      <c r="G30" s="92"/>
      <c r="H30" s="92"/>
    </row>
    <row r="31" spans="1:26" ht="15.75" customHeight="1" x14ac:dyDescent="0.35">
      <c r="A31" s="72" t="s">
        <v>93</v>
      </c>
      <c r="B31" s="72"/>
      <c r="C31" s="72"/>
      <c r="D31" s="72"/>
      <c r="E31" s="92" t="s">
        <v>33</v>
      </c>
      <c r="F31" s="92"/>
      <c r="G31" s="92"/>
      <c r="H31" s="92"/>
    </row>
    <row r="32" spans="1:26" s="19" customFormat="1" x14ac:dyDescent="0.35">
      <c r="A32" s="160" t="s">
        <v>94</v>
      </c>
      <c r="B32" s="160"/>
      <c r="C32" s="157" t="s">
        <v>175</v>
      </c>
      <c r="D32" s="158"/>
      <c r="E32" s="159"/>
      <c r="F32" s="157" t="s">
        <v>30</v>
      </c>
      <c r="G32" s="158"/>
      <c r="H32" s="159"/>
    </row>
    <row r="33" spans="1:9" s="19" customFormat="1" x14ac:dyDescent="0.35">
      <c r="A33" s="156" t="s">
        <v>25</v>
      </c>
      <c r="B33" s="156" t="s">
        <v>29</v>
      </c>
      <c r="C33" s="152" t="s">
        <v>248</v>
      </c>
      <c r="D33" s="148"/>
      <c r="E33" s="149"/>
      <c r="F33" s="152" t="s">
        <v>246</v>
      </c>
      <c r="G33" s="148"/>
      <c r="H33" s="149"/>
    </row>
    <row r="34" spans="1:9" x14ac:dyDescent="0.35">
      <c r="A34" s="156" t="s">
        <v>26</v>
      </c>
      <c r="B34" s="156" t="s">
        <v>29</v>
      </c>
      <c r="C34" s="152" t="s">
        <v>249</v>
      </c>
      <c r="D34" s="148"/>
      <c r="E34" s="149"/>
      <c r="F34" s="147" t="s">
        <v>247</v>
      </c>
      <c r="G34" s="148"/>
      <c r="H34" s="149"/>
    </row>
    <row r="35" spans="1:9" s="19" customFormat="1" x14ac:dyDescent="0.35">
      <c r="A35" s="156" t="s">
        <v>28</v>
      </c>
      <c r="B35" s="156" t="s">
        <v>29</v>
      </c>
      <c r="C35" s="152" t="s">
        <v>249</v>
      </c>
      <c r="D35" s="148"/>
      <c r="E35" s="149"/>
      <c r="F35" s="152" t="s">
        <v>251</v>
      </c>
      <c r="G35" s="148"/>
      <c r="H35" s="149"/>
    </row>
    <row r="36" spans="1:9" x14ac:dyDescent="0.35">
      <c r="A36" s="156" t="s">
        <v>27</v>
      </c>
      <c r="B36" s="156" t="s">
        <v>29</v>
      </c>
      <c r="C36" s="152" t="s">
        <v>249</v>
      </c>
      <c r="D36" s="148"/>
      <c r="E36" s="149"/>
      <c r="F36" s="152" t="s">
        <v>250</v>
      </c>
      <c r="G36" s="148"/>
      <c r="H36" s="149"/>
    </row>
    <row r="37" spans="1:9" x14ac:dyDescent="0.35">
      <c r="A37" s="72" t="s">
        <v>31</v>
      </c>
      <c r="B37" s="72"/>
      <c r="C37" s="72"/>
      <c r="D37" s="72"/>
      <c r="E37" s="72"/>
      <c r="F37" s="72"/>
      <c r="G37" s="72"/>
      <c r="H37" s="72"/>
    </row>
    <row r="38" spans="1:9" ht="15.75" customHeight="1" x14ac:dyDescent="0.35">
      <c r="A38" s="72" t="s">
        <v>167</v>
      </c>
      <c r="B38" s="72"/>
      <c r="C38" s="72" t="s">
        <v>244</v>
      </c>
      <c r="D38" s="72"/>
      <c r="E38" s="72"/>
      <c r="F38" s="72"/>
      <c r="G38" s="72"/>
      <c r="H38" s="72"/>
    </row>
    <row r="39" spans="1:9" x14ac:dyDescent="0.35">
      <c r="A39" s="72" t="s">
        <v>163</v>
      </c>
      <c r="B39" s="72"/>
      <c r="C39" s="165" t="s">
        <v>245</v>
      </c>
      <c r="D39" s="92"/>
      <c r="E39" s="92"/>
      <c r="F39" s="92"/>
      <c r="G39" s="92"/>
      <c r="H39" s="92"/>
    </row>
    <row r="40" spans="1:9" x14ac:dyDescent="0.35">
      <c r="A40" s="131" t="s">
        <v>34</v>
      </c>
      <c r="B40" s="131"/>
      <c r="C40" s="131"/>
      <c r="D40" s="131"/>
      <c r="E40" s="131"/>
      <c r="F40" s="131"/>
      <c r="G40" s="131"/>
      <c r="H40" s="131"/>
    </row>
    <row r="41" spans="1:9" x14ac:dyDescent="0.35">
      <c r="A41" s="151" t="s">
        <v>35</v>
      </c>
      <c r="B41" s="151"/>
      <c r="C41" s="151"/>
      <c r="D41" s="151"/>
      <c r="E41" s="161">
        <v>652.15</v>
      </c>
      <c r="F41" s="161"/>
      <c r="G41" s="161"/>
      <c r="H41" s="161"/>
    </row>
    <row r="42" spans="1:9" x14ac:dyDescent="0.35">
      <c r="A42" s="151" t="s">
        <v>36</v>
      </c>
      <c r="B42" s="151"/>
      <c r="C42" s="151"/>
      <c r="D42" s="151"/>
      <c r="E42" s="150">
        <v>1.1000000000000001</v>
      </c>
      <c r="F42" s="150"/>
      <c r="G42" s="150"/>
      <c r="H42" s="150"/>
    </row>
    <row r="43" spans="1:9" x14ac:dyDescent="0.35">
      <c r="A43" s="151" t="s">
        <v>37</v>
      </c>
      <c r="B43" s="151"/>
      <c r="C43" s="151"/>
      <c r="D43" s="151"/>
      <c r="E43" s="150">
        <f>E45/E41-E42</f>
        <v>1.8315341562523959</v>
      </c>
      <c r="F43" s="150"/>
      <c r="G43" s="150"/>
      <c r="H43" s="150"/>
      <c r="I43" s="18">
        <f>E45/E41-E42</f>
        <v>1.8315341562523959</v>
      </c>
    </row>
    <row r="44" spans="1:9" x14ac:dyDescent="0.35">
      <c r="A44" s="151" t="s">
        <v>38</v>
      </c>
      <c r="B44" s="151"/>
      <c r="C44" s="151"/>
      <c r="D44" s="151"/>
      <c r="E44" s="150">
        <f>E42+E43</f>
        <v>2.931534156252396</v>
      </c>
      <c r="F44" s="150"/>
      <c r="G44" s="150"/>
      <c r="H44" s="150"/>
      <c r="I44" s="53">
        <f>E42+E43</f>
        <v>2.931534156252396</v>
      </c>
    </row>
    <row r="45" spans="1:9" x14ac:dyDescent="0.35">
      <c r="A45" s="151" t="s">
        <v>92</v>
      </c>
      <c r="B45" s="151"/>
      <c r="C45" s="151"/>
      <c r="D45" s="151"/>
      <c r="E45" s="164">
        <f>81.94+(268.42)*3+(256.15)*4</f>
        <v>1911.8</v>
      </c>
      <c r="F45" s="164"/>
      <c r="G45" s="164"/>
      <c r="H45" s="164"/>
    </row>
    <row r="46" spans="1:9" x14ac:dyDescent="0.35">
      <c r="A46" s="93" t="s">
        <v>39</v>
      </c>
      <c r="B46" s="93"/>
      <c r="C46" s="93"/>
      <c r="D46" s="93"/>
      <c r="E46" s="93" t="s">
        <v>122</v>
      </c>
      <c r="F46" s="93"/>
      <c r="G46" s="93"/>
      <c r="H46" s="93"/>
    </row>
    <row r="47" spans="1:9" x14ac:dyDescent="0.35">
      <c r="A47" s="131" t="s">
        <v>40</v>
      </c>
      <c r="B47" s="131"/>
      <c r="C47" s="131"/>
      <c r="D47" s="131"/>
      <c r="E47" s="131"/>
      <c r="F47" s="131"/>
      <c r="G47" s="131"/>
      <c r="H47" s="131"/>
    </row>
    <row r="48" spans="1:9" ht="33.75" customHeight="1" x14ac:dyDescent="0.35">
      <c r="A48" s="83" t="s">
        <v>152</v>
      </c>
      <c r="B48" s="84"/>
      <c r="C48" s="168" t="s">
        <v>252</v>
      </c>
      <c r="D48" s="169"/>
      <c r="E48" s="169"/>
      <c r="F48" s="169"/>
      <c r="G48" s="169"/>
      <c r="H48" s="170"/>
    </row>
    <row r="49" spans="1:14" ht="15.75" customHeight="1" x14ac:dyDescent="0.35">
      <c r="A49" s="83" t="s">
        <v>41</v>
      </c>
      <c r="B49" s="84"/>
      <c r="C49" s="85" t="s">
        <v>253</v>
      </c>
      <c r="D49" s="86"/>
      <c r="E49" s="87"/>
      <c r="F49" s="16" t="s">
        <v>42</v>
      </c>
      <c r="G49" s="88">
        <v>45068</v>
      </c>
      <c r="H49" s="84"/>
    </row>
    <row r="50" spans="1:14" x14ac:dyDescent="0.35">
      <c r="A50" s="83" t="s">
        <v>43</v>
      </c>
      <c r="B50" s="84"/>
      <c r="C50" s="83" t="str">
        <f>C49</f>
        <v>CBPPE/RB/2023/APL/00064</v>
      </c>
      <c r="D50" s="94"/>
      <c r="E50" s="84"/>
      <c r="F50" s="16" t="s">
        <v>42</v>
      </c>
      <c r="G50" s="88">
        <f>G49</f>
        <v>45068</v>
      </c>
      <c r="H50" s="89"/>
    </row>
    <row r="51" spans="1:14" s="20" customFormat="1" ht="15.75" customHeight="1" x14ac:dyDescent="0.35">
      <c r="A51" s="91" t="s">
        <v>233</v>
      </c>
      <c r="B51" s="91"/>
      <c r="C51" s="83" t="str">
        <f>C50</f>
        <v>CBPPE/RB/2023/APL/00064</v>
      </c>
      <c r="D51" s="94"/>
      <c r="E51" s="84"/>
      <c r="F51" s="16" t="s">
        <v>42</v>
      </c>
      <c r="G51" s="88">
        <f>G50</f>
        <v>45068</v>
      </c>
      <c r="H51" s="89"/>
    </row>
    <row r="52" spans="1:14" s="20" customFormat="1" x14ac:dyDescent="0.35">
      <c r="A52" s="91" t="s">
        <v>234</v>
      </c>
      <c r="B52" s="91"/>
      <c r="C52" s="83" t="s">
        <v>279</v>
      </c>
      <c r="D52" s="94"/>
      <c r="E52" s="94"/>
      <c r="F52" s="94"/>
      <c r="G52" s="94"/>
      <c r="H52" s="84"/>
    </row>
    <row r="53" spans="1:14" x14ac:dyDescent="0.35">
      <c r="A53" s="75" t="s">
        <v>44</v>
      </c>
      <c r="B53" s="76"/>
      <c r="C53" s="75" t="s">
        <v>106</v>
      </c>
      <c r="D53" s="77"/>
      <c r="E53" s="76"/>
      <c r="F53" s="41" t="s">
        <v>42</v>
      </c>
      <c r="G53" s="145" t="s">
        <v>29</v>
      </c>
      <c r="H53" s="146"/>
    </row>
    <row r="54" spans="1:14" x14ac:dyDescent="0.35">
      <c r="A54" s="90" t="s">
        <v>46</v>
      </c>
      <c r="B54" s="90"/>
      <c r="C54" s="90"/>
      <c r="D54" s="90"/>
      <c r="E54" s="90"/>
      <c r="F54" s="90"/>
      <c r="G54" s="90"/>
      <c r="H54" s="90"/>
    </row>
    <row r="55" spans="1:14" x14ac:dyDescent="0.35">
      <c r="A55" s="91" t="s">
        <v>91</v>
      </c>
      <c r="B55" s="91"/>
      <c r="C55" s="91"/>
      <c r="D55" s="72">
        <f>E45</f>
        <v>1911.8</v>
      </c>
      <c r="E55" s="72"/>
      <c r="F55" s="72"/>
      <c r="G55" s="72"/>
      <c r="H55" s="72"/>
    </row>
    <row r="56" spans="1:14" x14ac:dyDescent="0.35">
      <c r="A56" s="92" t="s">
        <v>47</v>
      </c>
      <c r="B56" s="93"/>
      <c r="C56" s="93"/>
      <c r="D56" s="93" t="s">
        <v>274</v>
      </c>
      <c r="E56" s="93"/>
      <c r="F56" s="93"/>
      <c r="G56" s="93"/>
      <c r="H56" s="93"/>
      <c r="I56" s="21"/>
    </row>
    <row r="57" spans="1:14" x14ac:dyDescent="0.35">
      <c r="A57" s="95" t="s">
        <v>48</v>
      </c>
      <c r="B57" s="96"/>
      <c r="C57" s="144"/>
      <c r="D57" s="101" t="s">
        <v>279</v>
      </c>
      <c r="E57" s="143"/>
      <c r="F57" s="143"/>
      <c r="G57" s="143"/>
      <c r="H57" s="143"/>
    </row>
    <row r="58" spans="1:14" ht="15.75" customHeight="1" x14ac:dyDescent="0.35">
      <c r="A58" s="95" t="s">
        <v>89</v>
      </c>
      <c r="B58" s="96"/>
      <c r="C58" s="96"/>
      <c r="D58" s="97" t="s">
        <v>279</v>
      </c>
      <c r="E58" s="98"/>
      <c r="F58" s="98"/>
      <c r="G58" s="98"/>
      <c r="H58" s="99"/>
    </row>
    <row r="59" spans="1:14" ht="15.75" customHeight="1" x14ac:dyDescent="0.35">
      <c r="A59" s="72" t="s">
        <v>45</v>
      </c>
      <c r="B59" s="72"/>
      <c r="C59" s="72"/>
      <c r="D59" s="162" t="s">
        <v>254</v>
      </c>
      <c r="E59" s="162"/>
      <c r="F59" s="162"/>
      <c r="G59" s="162"/>
      <c r="H59" s="162"/>
      <c r="J59" s="22"/>
      <c r="K59" s="21"/>
      <c r="N59" s="21"/>
    </row>
    <row r="60" spans="1:14" ht="15.75" customHeight="1" x14ac:dyDescent="0.35">
      <c r="A60" s="72" t="s">
        <v>87</v>
      </c>
      <c r="B60" s="72"/>
      <c r="C60" s="72"/>
      <c r="D60" s="163" t="str">
        <f>(IF(G53="NA","60 Years After Completion",IF(G53&lt;&gt;"NA",""&amp;60-ROUNDDOWN((E3-G53)/360,0)&amp;" Years"," ")))</f>
        <v>60 Years After Completion</v>
      </c>
      <c r="E60" s="163"/>
      <c r="F60" s="163"/>
      <c r="G60" s="163"/>
      <c r="H60" s="163"/>
      <c r="N60" s="21"/>
    </row>
    <row r="61" spans="1:14" ht="15.75" customHeight="1" x14ac:dyDescent="0.35">
      <c r="A61" s="72" t="s">
        <v>88</v>
      </c>
      <c r="B61" s="72"/>
      <c r="C61" s="72"/>
      <c r="D61" s="91" t="s">
        <v>24</v>
      </c>
      <c r="E61" s="91"/>
      <c r="F61" s="91"/>
      <c r="G61" s="91"/>
      <c r="H61" s="91"/>
      <c r="J61" s="23"/>
      <c r="K61" s="23"/>
    </row>
    <row r="62" spans="1:14" ht="33.75" customHeight="1" x14ac:dyDescent="0.35">
      <c r="A62" s="93" t="s">
        <v>235</v>
      </c>
      <c r="B62" s="93"/>
      <c r="C62" s="93"/>
      <c r="D62" s="92" t="s">
        <v>255</v>
      </c>
      <c r="E62" s="91"/>
      <c r="F62" s="91"/>
      <c r="G62" s="91"/>
      <c r="H62" s="91"/>
    </row>
    <row r="63" spans="1:14" x14ac:dyDescent="0.35">
      <c r="A63" s="91" t="s">
        <v>149</v>
      </c>
      <c r="B63" s="91"/>
      <c r="C63" s="91"/>
      <c r="D63" s="91" t="s">
        <v>29</v>
      </c>
      <c r="E63" s="91"/>
      <c r="F63" s="91"/>
      <c r="G63" s="91"/>
      <c r="H63" s="91"/>
      <c r="I63" s="24"/>
      <c r="J63" s="24"/>
      <c r="K63" s="24"/>
      <c r="L63" s="24"/>
      <c r="M63" s="24"/>
      <c r="N63" s="24"/>
    </row>
    <row r="64" spans="1:14" ht="15.75" customHeight="1" x14ac:dyDescent="0.35">
      <c r="A64" s="72" t="s">
        <v>86</v>
      </c>
      <c r="B64" s="72"/>
      <c r="C64" s="72"/>
      <c r="D64" s="92" t="str">
        <f ca="1">(IF(G70&gt;95%,"Nothing",IF(G70&gt;0%,"Cement, Aggregate, Steel, etc",IF(G70=0%,"Work not yet Started"))))</f>
        <v>Cement, Aggregate, Steel, etc</v>
      </c>
      <c r="E64" s="92"/>
      <c r="F64" s="92"/>
      <c r="G64" s="92"/>
      <c r="H64" s="92"/>
      <c r="J64" s="23"/>
    </row>
    <row r="65" spans="1:10" ht="33.75" customHeight="1" thickBot="1" x14ac:dyDescent="0.4">
      <c r="A65" s="91" t="s">
        <v>119</v>
      </c>
      <c r="B65" s="91"/>
      <c r="C65" s="91"/>
      <c r="D65" s="92" t="str">
        <f ca="1">(IF(D64="Nothing","Yes",IF(D64="Cement, Aggregate, Steel, etc","Under Construction",IF(D64="Work not yet Started","Work not yet Started"))))</f>
        <v>Under Construction</v>
      </c>
      <c r="E65" s="92"/>
      <c r="F65" s="92" t="str">
        <f ca="1">(IF(D64="Nothing","Yes",IF(D64="Cement, Aggregate, Steel, etc","Under Construction",IF(D64="Work not yet Started","Work not yet Started"))))</f>
        <v>Under Construction</v>
      </c>
      <c r="G65" s="92"/>
      <c r="H65" s="92"/>
    </row>
    <row r="66" spans="1:10" ht="15.75" customHeight="1" x14ac:dyDescent="0.35">
      <c r="A66" s="177" t="s">
        <v>141</v>
      </c>
      <c r="B66" s="177"/>
      <c r="C66" s="177" t="str">
        <f>D58</f>
        <v>Building No. 01 = Gr + 1st to 7th Floor</v>
      </c>
      <c r="D66" s="177"/>
      <c r="E66" s="177"/>
      <c r="F66" s="177"/>
      <c r="G66" s="177"/>
      <c r="H66" s="177"/>
      <c r="I66" s="175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6 Floor, Painting upto 6 Floor Completed</v>
      </c>
      <c r="J66" s="44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6 Floor, Painting upto 6 Floor</v>
      </c>
    </row>
    <row r="67" spans="1:10" x14ac:dyDescent="0.35">
      <c r="A67" s="46" t="s">
        <v>143</v>
      </c>
      <c r="B67" s="46">
        <f>IF(AND(ISNUMBER(SEARCH("1B",C66))),1,IF(AND(ISNUMBER(SEARCH("2B",C66))),2,IF(AND(ISNUMBER(SEARCH("3B",C66))),3,IF(AND(ISNUMBER(SEARCH("4B",C66))),4,IF(ISNUMBER(SEARCH("5B",C66)),5,0)))))</f>
        <v>0</v>
      </c>
      <c r="C67" s="46" t="s">
        <v>72</v>
      </c>
      <c r="D67" s="46">
        <v>1</v>
      </c>
      <c r="E67" s="46" t="s">
        <v>71</v>
      </c>
      <c r="F67" s="46">
        <v>0</v>
      </c>
      <c r="G67" s="43" t="s">
        <v>80</v>
      </c>
      <c r="H67" s="46">
        <f ca="1">--TRIM(RIGHT(SUBSTITUTE(LEFT(C66,_xlfn.AGGREGATE(16,6,FIND({0,1,2,3,4,5,6,7,8,9},C66,ROW(INDIRECT("1:"&amp;LEN(C66)))),1))," ",REPT(" ",LEN(C66))),LEN(C66)))</f>
        <v>7</v>
      </c>
      <c r="I67" s="176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45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5.25" customHeight="1" x14ac:dyDescent="0.35">
      <c r="A68" s="141" t="s">
        <v>90</v>
      </c>
      <c r="B68" s="141"/>
      <c r="C68" s="100" t="str">
        <f ca="1">I66</f>
        <v>Excavation, Plinth, RCC Slab, Brickwork, Internal Plaster, External Plaster Completed, Flooring upto 6 Floor, Painting upto 6 Floor Completed</v>
      </c>
      <c r="D68" s="100"/>
      <c r="E68" s="100"/>
      <c r="F68" s="100"/>
      <c r="G68" s="100"/>
      <c r="H68" s="100"/>
      <c r="I68" s="176" t="str">
        <f ca="1">IF(I67&lt;&gt;""," Completed","")</f>
        <v xml:space="preserve"> Completed</v>
      </c>
      <c r="J68" s="45" t="str">
        <f ca="1">IF(J66&lt;&gt;"","Completed","")</f>
        <v>Completed</v>
      </c>
    </row>
    <row r="69" spans="1:10" ht="15.75" customHeight="1" x14ac:dyDescent="0.35">
      <c r="A69" s="82" t="s">
        <v>49</v>
      </c>
      <c r="B69" s="82"/>
      <c r="C69" s="65" t="s">
        <v>140</v>
      </c>
      <c r="D69" s="65" t="s">
        <v>83</v>
      </c>
      <c r="E69" s="82" t="s">
        <v>85</v>
      </c>
      <c r="F69" s="82"/>
      <c r="G69" s="82" t="s">
        <v>84</v>
      </c>
      <c r="H69" s="82"/>
      <c r="I69" s="14" t="s">
        <v>142</v>
      </c>
      <c r="J69" s="25">
        <f ca="1">H67*25%</f>
        <v>1.75</v>
      </c>
    </row>
    <row r="70" spans="1:10" x14ac:dyDescent="0.35">
      <c r="A70" s="82" t="s">
        <v>129</v>
      </c>
      <c r="B70" s="82"/>
      <c r="C70" s="65">
        <f ca="1">J71</f>
        <v>7</v>
      </c>
      <c r="D70" s="17">
        <f ca="1">((100/H67)*C70)/100</f>
        <v>1</v>
      </c>
      <c r="E70" s="178">
        <f ca="1">(((C71/H67*10)+(40/(D67+F67+H67)*C72)+(7.5/(H67)*C73)+(7.5/(H67)*C74)+(10/H67*C75)+(10/H67*C76)+(5/H67*C77)+(5/H67*C78)+(5/H67*C79))/100)</f>
        <v>0.87857142857142856</v>
      </c>
      <c r="F70" s="178"/>
      <c r="G70" s="178">
        <f ca="1">((((C70/H67)*20)+((C71/H67)*25)+(30/(H67+F67+D67)*C72)+(5/H67*C73)+(5/H67*C74)+(5/H67*C75)+(5/H67*C76)+(0/H67*C77)+(0/H67*C78)+(5/H67*C79))/100)</f>
        <v>0.94285714285714295</v>
      </c>
      <c r="H70" s="178"/>
      <c r="I70" s="14" t="s">
        <v>101</v>
      </c>
      <c r="J70" s="26">
        <f ca="1">H67*50%</f>
        <v>3.5</v>
      </c>
    </row>
    <row r="71" spans="1:10" x14ac:dyDescent="0.35">
      <c r="A71" s="82" t="s">
        <v>50</v>
      </c>
      <c r="B71" s="82"/>
      <c r="C71" s="65">
        <f ca="1">J79</f>
        <v>7</v>
      </c>
      <c r="D71" s="17">
        <f ca="1">((100/H67)*C71)/100</f>
        <v>1</v>
      </c>
      <c r="E71" s="178"/>
      <c r="F71" s="178"/>
      <c r="G71" s="178"/>
      <c r="H71" s="178"/>
      <c r="I71" s="14" t="s">
        <v>102</v>
      </c>
      <c r="J71" s="26">
        <f ca="1">H67</f>
        <v>7</v>
      </c>
    </row>
    <row r="72" spans="1:10" ht="15.75" customHeight="1" x14ac:dyDescent="0.35">
      <c r="A72" s="82" t="s">
        <v>130</v>
      </c>
      <c r="B72" s="82"/>
      <c r="C72" s="65">
        <v>8</v>
      </c>
      <c r="D72" s="17">
        <f ca="1">((100/(D67+F67+H67))*C72)/100</f>
        <v>1</v>
      </c>
      <c r="E72" s="178"/>
      <c r="F72" s="178"/>
      <c r="G72" s="178"/>
      <c r="H72" s="178"/>
      <c r="I72" s="14" t="s">
        <v>103</v>
      </c>
      <c r="J72" s="27">
        <f ca="1">(IF(B67&gt;1,(H67/(B67+2)),H67/4))</f>
        <v>1.75</v>
      </c>
    </row>
    <row r="73" spans="1:10" ht="15.75" customHeight="1" x14ac:dyDescent="0.35">
      <c r="A73" s="82" t="s">
        <v>137</v>
      </c>
      <c r="B73" s="82" t="s">
        <v>131</v>
      </c>
      <c r="C73" s="65">
        <v>7</v>
      </c>
      <c r="D73" s="17">
        <f ca="1">((100/H67)*C73)/100</f>
        <v>1</v>
      </c>
      <c r="E73" s="178"/>
      <c r="F73" s="178"/>
      <c r="G73" s="178"/>
      <c r="H73" s="178"/>
      <c r="I73" s="14" t="s">
        <v>104</v>
      </c>
      <c r="J73" s="27">
        <f ca="1">(IF(B67&gt;1,(H67/(B67+2)+J72),H67/4+J72))</f>
        <v>3.5</v>
      </c>
    </row>
    <row r="74" spans="1:10" ht="15.75" customHeight="1" x14ac:dyDescent="0.35">
      <c r="A74" s="82" t="s">
        <v>138</v>
      </c>
      <c r="B74" s="82" t="s">
        <v>131</v>
      </c>
      <c r="C74" s="65">
        <v>7</v>
      </c>
      <c r="D74" s="17">
        <f ca="1">((100/H67)*C74)/100</f>
        <v>1</v>
      </c>
      <c r="E74" s="178"/>
      <c r="F74" s="178"/>
      <c r="G74" s="178"/>
      <c r="H74" s="178"/>
      <c r="I74" s="14" t="s">
        <v>147</v>
      </c>
      <c r="J74" s="27">
        <f>(IF(B67&gt;1,(H67/(B67+2)+J73),0))</f>
        <v>0</v>
      </c>
    </row>
    <row r="75" spans="1:10" ht="15" customHeight="1" x14ac:dyDescent="0.35">
      <c r="A75" s="82" t="s">
        <v>136</v>
      </c>
      <c r="B75" s="82" t="s">
        <v>133</v>
      </c>
      <c r="C75" s="65">
        <v>7</v>
      </c>
      <c r="D75" s="17">
        <f ca="1">((100/(H67))*C75)/100</f>
        <v>1</v>
      </c>
      <c r="E75" s="178"/>
      <c r="F75" s="178"/>
      <c r="G75" s="178"/>
      <c r="H75" s="178"/>
      <c r="I75" s="14" t="s">
        <v>144</v>
      </c>
      <c r="J75" s="27">
        <f>(IF(B67&gt;2,(H67/(B67+2)+J74),0))</f>
        <v>0</v>
      </c>
    </row>
    <row r="76" spans="1:10" ht="15.75" customHeight="1" x14ac:dyDescent="0.35">
      <c r="A76" s="82" t="s">
        <v>132</v>
      </c>
      <c r="B76" s="82" t="s">
        <v>132</v>
      </c>
      <c r="C76" s="65">
        <v>6</v>
      </c>
      <c r="D76" s="17">
        <f ca="1">((100/H67)*C76)/100</f>
        <v>0.85714285714285721</v>
      </c>
      <c r="E76" s="178"/>
      <c r="F76" s="178"/>
      <c r="G76" s="178"/>
      <c r="H76" s="178"/>
      <c r="I76" s="14" t="s">
        <v>145</v>
      </c>
      <c r="J76" s="28">
        <f>(IF(B67&gt;3,(H67/(B67+2)+J75),0))</f>
        <v>0</v>
      </c>
    </row>
    <row r="77" spans="1:10" ht="15.75" customHeight="1" x14ac:dyDescent="0.35">
      <c r="A77" s="82" t="s">
        <v>139</v>
      </c>
      <c r="B77" s="82"/>
      <c r="C77" s="65">
        <v>6</v>
      </c>
      <c r="D77" s="17">
        <f ca="1">((100/H67)*C77)/100</f>
        <v>0.85714285714285721</v>
      </c>
      <c r="E77" s="178"/>
      <c r="F77" s="178"/>
      <c r="G77" s="178"/>
      <c r="H77" s="178"/>
      <c r="I77" s="14" t="s">
        <v>146</v>
      </c>
      <c r="J77" s="27">
        <f>(IF(B67&gt;4,(H67/(B67+2)+J76),0))</f>
        <v>0</v>
      </c>
    </row>
    <row r="78" spans="1:10" ht="15.75" customHeight="1" x14ac:dyDescent="0.35">
      <c r="A78" s="82" t="s">
        <v>134</v>
      </c>
      <c r="B78" s="82" t="s">
        <v>134</v>
      </c>
      <c r="C78" s="65">
        <v>0</v>
      </c>
      <c r="D78" s="17">
        <f ca="1">((100/(H67))*C78)/100</f>
        <v>0</v>
      </c>
      <c r="E78" s="178"/>
      <c r="F78" s="178"/>
      <c r="G78" s="178"/>
      <c r="H78" s="178"/>
      <c r="I78" s="14" t="s">
        <v>148</v>
      </c>
      <c r="J78" s="27">
        <f ca="1">(IF(B67=1,(H67/(B67+3)+J73),IF(B67=0,(H67/4+J73),IF(B67&gt;1,0))))</f>
        <v>5.25</v>
      </c>
    </row>
    <row r="79" spans="1:10" ht="16" thickBot="1" x14ac:dyDescent="0.4">
      <c r="A79" s="82" t="s">
        <v>135</v>
      </c>
      <c r="B79" s="82"/>
      <c r="C79" s="65">
        <v>0</v>
      </c>
      <c r="D79" s="17">
        <f ca="1">((100/(H67))*C79)/100</f>
        <v>0</v>
      </c>
      <c r="E79" s="178"/>
      <c r="F79" s="178"/>
      <c r="G79" s="178"/>
      <c r="H79" s="178"/>
      <c r="I79" s="15" t="s">
        <v>105</v>
      </c>
      <c r="J79" s="29">
        <f ca="1">(IF(B67&gt;1.5,(H67/(B67+2)+J73+MAX(0,J74-J73)+MAX(0,J75-J74)+MAX(0,J76-J75)+MAX(0,J77-J76)+MAX(0,J78-J77)),IF(B67=1,(H67/(B67+3)+J78),IF(B67=0,H67/4+J78))))</f>
        <v>7</v>
      </c>
    </row>
    <row r="80" spans="1:10" x14ac:dyDescent="0.35">
      <c r="A80" s="171" t="s">
        <v>157</v>
      </c>
      <c r="B80" s="171"/>
      <c r="C80" s="171"/>
      <c r="D80" s="171"/>
      <c r="E80" s="171"/>
      <c r="F80" s="134" t="s">
        <v>161</v>
      </c>
      <c r="G80" s="134"/>
      <c r="H80" s="134"/>
    </row>
    <row r="81" spans="1:9" x14ac:dyDescent="0.35">
      <c r="A81" s="72" t="s">
        <v>159</v>
      </c>
      <c r="B81" s="72"/>
      <c r="C81" s="72"/>
      <c r="D81" s="72"/>
      <c r="E81" s="72"/>
      <c r="F81" s="69">
        <v>4700</v>
      </c>
      <c r="G81" s="69"/>
      <c r="H81" s="69"/>
      <c r="I81" s="18" t="s">
        <v>278</v>
      </c>
    </row>
    <row r="82" spans="1:9" x14ac:dyDescent="0.35">
      <c r="A82" s="72" t="s">
        <v>158</v>
      </c>
      <c r="B82" s="72"/>
      <c r="C82" s="72"/>
      <c r="D82" s="72"/>
      <c r="E82" s="72"/>
      <c r="F82" s="69">
        <v>9000</v>
      </c>
      <c r="G82" s="69"/>
      <c r="H82" s="69"/>
    </row>
    <row r="83" spans="1:9" x14ac:dyDescent="0.35">
      <c r="A83" s="72" t="s">
        <v>160</v>
      </c>
      <c r="B83" s="72"/>
      <c r="C83" s="72"/>
      <c r="D83" s="72"/>
      <c r="E83" s="72"/>
      <c r="F83" s="69">
        <v>7000</v>
      </c>
      <c r="G83" s="69"/>
      <c r="H83" s="69"/>
    </row>
    <row r="84" spans="1:9" s="30" customFormat="1" hidden="1" x14ac:dyDescent="0.3">
      <c r="A84" s="72" t="s">
        <v>177</v>
      </c>
      <c r="B84" s="72"/>
      <c r="C84" s="72"/>
      <c r="D84" s="72"/>
      <c r="E84" s="72"/>
      <c r="F84" s="69"/>
      <c r="G84" s="69"/>
      <c r="H84" s="69"/>
    </row>
    <row r="85" spans="1:9" s="30" customFormat="1" hidden="1" x14ac:dyDescent="0.3">
      <c r="A85" s="72" t="s">
        <v>95</v>
      </c>
      <c r="B85" s="72"/>
      <c r="C85" s="72"/>
      <c r="D85" s="72"/>
      <c r="E85" s="72"/>
      <c r="F85" s="69"/>
      <c r="G85" s="69"/>
      <c r="H85" s="69"/>
    </row>
    <row r="86" spans="1:9" s="30" customFormat="1" hidden="1" x14ac:dyDescent="0.3">
      <c r="A86" s="72" t="s">
        <v>96</v>
      </c>
      <c r="B86" s="72"/>
      <c r="C86" s="72"/>
      <c r="D86" s="72"/>
      <c r="E86" s="72"/>
      <c r="F86" s="69"/>
      <c r="G86" s="69"/>
      <c r="H86" s="69"/>
    </row>
    <row r="87" spans="1:9" s="30" customFormat="1" hidden="1" x14ac:dyDescent="0.3">
      <c r="A87" s="72" t="s">
        <v>162</v>
      </c>
      <c r="B87" s="72"/>
      <c r="C87" s="72"/>
      <c r="D87" s="72"/>
      <c r="E87" s="72"/>
      <c r="F87" s="69"/>
      <c r="G87" s="69"/>
      <c r="H87" s="69"/>
    </row>
    <row r="88" spans="1:9" s="30" customFormat="1" hidden="1" x14ac:dyDescent="0.3">
      <c r="A88" s="72" t="s">
        <v>97</v>
      </c>
      <c r="B88" s="72"/>
      <c r="C88" s="72"/>
      <c r="D88" s="72"/>
      <c r="E88" s="72"/>
      <c r="F88" s="69"/>
      <c r="G88" s="69"/>
      <c r="H88" s="69"/>
    </row>
    <row r="89" spans="1:9" s="30" customFormat="1" hidden="1" x14ac:dyDescent="0.3">
      <c r="A89" s="72" t="s">
        <v>98</v>
      </c>
      <c r="B89" s="72"/>
      <c r="C89" s="72"/>
      <c r="D89" s="72"/>
      <c r="E89" s="72"/>
      <c r="F89" s="69"/>
      <c r="G89" s="69"/>
      <c r="H89" s="69"/>
    </row>
    <row r="90" spans="1:9" s="30" customFormat="1" x14ac:dyDescent="0.3">
      <c r="A90" s="72" t="s">
        <v>99</v>
      </c>
      <c r="B90" s="72"/>
      <c r="C90" s="72"/>
      <c r="D90" s="72"/>
      <c r="E90" s="72"/>
      <c r="F90" s="69">
        <v>125000</v>
      </c>
      <c r="G90" s="69"/>
      <c r="H90" s="69"/>
    </row>
    <row r="91" spans="1:9" s="30" customFormat="1" x14ac:dyDescent="0.3">
      <c r="A91" s="72" t="s">
        <v>100</v>
      </c>
      <c r="B91" s="72"/>
      <c r="C91" s="72"/>
      <c r="D91" s="72"/>
      <c r="E91" s="72"/>
      <c r="F91" s="69">
        <v>30000</v>
      </c>
      <c r="G91" s="69"/>
      <c r="H91" s="69"/>
    </row>
    <row r="92" spans="1:9" x14ac:dyDescent="0.35">
      <c r="A92" s="72" t="s">
        <v>51</v>
      </c>
      <c r="B92" s="72"/>
      <c r="C92" s="72"/>
      <c r="D92" s="72"/>
      <c r="E92" s="72"/>
      <c r="F92" s="69">
        <v>200000</v>
      </c>
      <c r="G92" s="69"/>
      <c r="H92" s="69"/>
    </row>
    <row r="93" spans="1:9" s="31" customFormat="1" x14ac:dyDescent="0.35">
      <c r="A93" s="131" t="s">
        <v>52</v>
      </c>
      <c r="B93" s="131"/>
      <c r="C93" s="131"/>
      <c r="D93" s="131"/>
      <c r="E93" s="131"/>
      <c r="F93" s="69">
        <f>F81*0.8</f>
        <v>3760</v>
      </c>
      <c r="G93" s="69"/>
      <c r="H93" s="69"/>
    </row>
    <row r="94" spans="1:9" s="32" customFormat="1" ht="15.75" customHeight="1" x14ac:dyDescent="0.35">
      <c r="A94" s="130" t="s">
        <v>75</v>
      </c>
      <c r="B94" s="130"/>
      <c r="C94" s="130"/>
      <c r="D94" s="130"/>
      <c r="E94" s="130"/>
      <c r="F94" s="130"/>
      <c r="G94" s="130"/>
      <c r="H94" s="130"/>
    </row>
    <row r="95" spans="1:9" s="32" customFormat="1" ht="15.75" customHeight="1" x14ac:dyDescent="0.35">
      <c r="A95" s="71" t="s">
        <v>53</v>
      </c>
      <c r="B95" s="71"/>
      <c r="C95" s="80" t="s">
        <v>78</v>
      </c>
      <c r="D95" s="80"/>
      <c r="E95" s="78" t="s">
        <v>54</v>
      </c>
      <c r="F95" s="78"/>
      <c r="G95" s="71" t="s">
        <v>55</v>
      </c>
      <c r="H95" s="71"/>
    </row>
    <row r="96" spans="1:9" s="32" customFormat="1" x14ac:dyDescent="0.35">
      <c r="A96" s="79" t="s">
        <v>271</v>
      </c>
      <c r="B96" s="79"/>
      <c r="C96" s="166">
        <f>COUNT(D109:D114)</f>
        <v>6</v>
      </c>
      <c r="D96" s="172"/>
      <c r="E96" s="112">
        <f>SUM(D109:D114)</f>
        <v>1213.5333599999999</v>
      </c>
      <c r="F96" s="113"/>
      <c r="G96" s="112">
        <f>SUM(F109:F114)</f>
        <v>1820.3000399999996</v>
      </c>
      <c r="H96" s="113"/>
    </row>
    <row r="97" spans="1:14" s="32" customFormat="1" x14ac:dyDescent="0.35">
      <c r="A97" s="79" t="s">
        <v>272</v>
      </c>
      <c r="B97" s="79"/>
      <c r="C97" s="166">
        <f>COUNT(D116:D122)*2+COUNT(D124:D125,D127:D130)</f>
        <v>20</v>
      </c>
      <c r="D97" s="166"/>
      <c r="E97" s="112">
        <f>SUM(D116:D122)*2+SUM(D124:D125,D127:D130)</f>
        <v>5912.2346399999997</v>
      </c>
      <c r="F97" s="112"/>
      <c r="G97" s="112">
        <f>SUM(F116:F122)*2+SUM(F124:F125,F127:F130)</f>
        <v>8868.35196</v>
      </c>
      <c r="H97" s="112"/>
    </row>
    <row r="98" spans="1:14" s="32" customFormat="1" x14ac:dyDescent="0.35">
      <c r="A98" s="130" t="s">
        <v>151</v>
      </c>
      <c r="B98" s="130"/>
      <c r="C98" s="127">
        <f>C96+C97</f>
        <v>26</v>
      </c>
      <c r="D98" s="80"/>
      <c r="E98" s="127">
        <f t="shared" ref="E98" si="0">E96+E97</f>
        <v>7125.768</v>
      </c>
      <c r="F98" s="80"/>
      <c r="G98" s="127">
        <f t="shared" ref="G98" si="1">G96+G97</f>
        <v>10688.652</v>
      </c>
      <c r="H98" s="80"/>
    </row>
    <row r="99" spans="1:14" s="32" customFormat="1" x14ac:dyDescent="0.35">
      <c r="A99" s="130" t="s">
        <v>70</v>
      </c>
      <c r="B99" s="130"/>
      <c r="C99" s="130"/>
      <c r="D99" s="130"/>
      <c r="E99" s="130"/>
      <c r="F99" s="130"/>
      <c r="G99" s="130"/>
      <c r="H99" s="130"/>
    </row>
    <row r="100" spans="1:14" s="32" customFormat="1" ht="15.75" customHeight="1" x14ac:dyDescent="0.35">
      <c r="A100" s="71" t="s">
        <v>53</v>
      </c>
      <c r="B100" s="71"/>
      <c r="C100" s="80" t="s">
        <v>78</v>
      </c>
      <c r="D100" s="80"/>
      <c r="E100" s="78" t="s">
        <v>54</v>
      </c>
      <c r="F100" s="78"/>
      <c r="G100" s="71" t="s">
        <v>55</v>
      </c>
      <c r="H100" s="71"/>
    </row>
    <row r="101" spans="1:14" s="32" customFormat="1" ht="16" thickBot="1" x14ac:dyDescent="0.4">
      <c r="A101" s="79" t="s">
        <v>273</v>
      </c>
      <c r="B101" s="79"/>
      <c r="C101" s="166">
        <f>COUNT(D136:D138)*3+COUNT(D140:D142)</f>
        <v>12</v>
      </c>
      <c r="D101" s="166"/>
      <c r="E101" s="112">
        <f>SUM(D136:D138)*3+SUM(D140:D142)</f>
        <v>8535.4214400000001</v>
      </c>
      <c r="F101" s="112"/>
      <c r="G101" s="112">
        <f>SUM(F136:F138)*3+SUM(F140:F142)</f>
        <v>12376.361088</v>
      </c>
      <c r="H101" s="112"/>
    </row>
    <row r="102" spans="1:14" s="32" customFormat="1" ht="16" thickBot="1" x14ac:dyDescent="0.4">
      <c r="A102" s="117" t="s">
        <v>168</v>
      </c>
      <c r="B102" s="118"/>
      <c r="C102" s="119">
        <f>C98+C101</f>
        <v>38</v>
      </c>
      <c r="D102" s="120"/>
      <c r="E102" s="119">
        <f>E98+E101</f>
        <v>15661.18944</v>
      </c>
      <c r="F102" s="120"/>
      <c r="G102" s="119">
        <f>G98+G101</f>
        <v>23065.013088</v>
      </c>
      <c r="H102" s="120"/>
    </row>
    <row r="103" spans="1:14" s="31" customFormat="1" x14ac:dyDescent="0.35">
      <c r="A103" s="134" t="s">
        <v>56</v>
      </c>
      <c r="B103" s="134"/>
      <c r="C103" s="134"/>
      <c r="D103" s="134"/>
      <c r="E103" s="134"/>
      <c r="F103" s="134"/>
      <c r="G103" s="134"/>
      <c r="H103" s="134"/>
    </row>
    <row r="104" spans="1:14" x14ac:dyDescent="0.35">
      <c r="A104" s="70" t="s">
        <v>176</v>
      </c>
      <c r="B104" s="70"/>
      <c r="C104" s="70"/>
      <c r="D104" s="70"/>
      <c r="E104" s="70"/>
      <c r="F104" s="70"/>
      <c r="G104" s="70"/>
      <c r="H104" s="70"/>
    </row>
    <row r="105" spans="1:14" ht="47.25" customHeight="1" x14ac:dyDescent="0.35">
      <c r="A105" s="104" t="s">
        <v>120</v>
      </c>
      <c r="B105" s="104" t="s">
        <v>178</v>
      </c>
      <c r="C105" s="104" t="s">
        <v>57</v>
      </c>
      <c r="D105" s="104" t="s">
        <v>58</v>
      </c>
      <c r="E105" s="106" t="s">
        <v>156</v>
      </c>
      <c r="F105" s="40" t="s">
        <v>150</v>
      </c>
      <c r="G105" s="108" t="s">
        <v>60</v>
      </c>
      <c r="H105" s="109"/>
    </row>
    <row r="106" spans="1:14" s="34" customFormat="1" x14ac:dyDescent="0.35">
      <c r="A106" s="105"/>
      <c r="B106" s="105"/>
      <c r="C106" s="105"/>
      <c r="D106" s="105"/>
      <c r="E106" s="107"/>
      <c r="F106" s="13">
        <v>0.5</v>
      </c>
      <c r="G106" s="110"/>
      <c r="H106" s="111"/>
    </row>
    <row r="107" spans="1:14" s="60" customFormat="1" x14ac:dyDescent="0.35">
      <c r="A107" s="132" t="s">
        <v>277</v>
      </c>
      <c r="B107" s="132"/>
      <c r="C107" s="132"/>
      <c r="D107" s="132"/>
      <c r="E107" s="132"/>
      <c r="F107" s="132"/>
      <c r="G107" s="132"/>
      <c r="H107" s="132"/>
      <c r="J107" s="33"/>
    </row>
    <row r="108" spans="1:14" s="34" customFormat="1" x14ac:dyDescent="0.35">
      <c r="A108" s="132" t="s">
        <v>269</v>
      </c>
      <c r="B108" s="132"/>
      <c r="C108" s="132"/>
      <c r="D108" s="132"/>
      <c r="E108" s="132"/>
      <c r="F108" s="132"/>
      <c r="G108" s="132"/>
      <c r="H108" s="132"/>
      <c r="J108" s="33"/>
    </row>
    <row r="109" spans="1:14" s="52" customFormat="1" ht="15.75" customHeight="1" x14ac:dyDescent="0.35">
      <c r="A109" s="103">
        <v>1</v>
      </c>
      <c r="B109" s="103"/>
      <c r="C109" s="66" t="s">
        <v>268</v>
      </c>
      <c r="D109" s="66">
        <f>(19.08)*10.764</f>
        <v>205.37711999999996</v>
      </c>
      <c r="E109" s="66">
        <v>0</v>
      </c>
      <c r="F109" s="66">
        <f t="shared" ref="F109:F114" si="2">(D109+E109)*(($F$106)+1)</f>
        <v>308.06567999999993</v>
      </c>
      <c r="G109" s="132" t="str">
        <f>A108</f>
        <v>Ground Floor For Commercial &amp; Parking</v>
      </c>
      <c r="H109" s="132"/>
      <c r="I109" s="33">
        <f>4.46*4.3</f>
        <v>19.178000000000001</v>
      </c>
      <c r="L109" s="81"/>
      <c r="M109" s="81"/>
      <c r="N109" s="33"/>
    </row>
    <row r="110" spans="1:14" s="52" customFormat="1" ht="15.75" customHeight="1" x14ac:dyDescent="0.35">
      <c r="A110" s="103">
        <f>A109+1</f>
        <v>2</v>
      </c>
      <c r="B110" s="103"/>
      <c r="C110" s="66" t="s">
        <v>268</v>
      </c>
      <c r="D110" s="66">
        <f>(19.01)*10.764</f>
        <v>204.62363999999999</v>
      </c>
      <c r="E110" s="66">
        <v>0</v>
      </c>
      <c r="F110" s="66">
        <f t="shared" si="2"/>
        <v>306.93545999999998</v>
      </c>
      <c r="G110" s="132"/>
      <c r="H110" s="132"/>
      <c r="I110" s="33">
        <f>4.46*4.35</f>
        <v>19.401</v>
      </c>
      <c r="L110" s="81"/>
      <c r="M110" s="81"/>
      <c r="N110" s="33"/>
    </row>
    <row r="111" spans="1:14" s="52" customFormat="1" ht="15.75" customHeight="1" x14ac:dyDescent="0.35">
      <c r="A111" s="103">
        <f t="shared" ref="A111:A114" si="3">A110+1</f>
        <v>3</v>
      </c>
      <c r="B111" s="103"/>
      <c r="C111" s="66" t="s">
        <v>268</v>
      </c>
      <c r="D111" s="66">
        <f>(9.84)*10.764</f>
        <v>105.91775999999999</v>
      </c>
      <c r="E111" s="66">
        <v>0</v>
      </c>
      <c r="F111" s="66">
        <f t="shared" si="2"/>
        <v>158.87663999999998</v>
      </c>
      <c r="G111" s="132"/>
      <c r="H111" s="132"/>
      <c r="I111" s="33">
        <f>2.31*4.3</f>
        <v>9.9329999999999998</v>
      </c>
      <c r="L111" s="81"/>
      <c r="M111" s="81"/>
      <c r="N111" s="33"/>
    </row>
    <row r="112" spans="1:14" s="52" customFormat="1" ht="15.75" customHeight="1" x14ac:dyDescent="0.35">
      <c r="A112" s="103">
        <f t="shared" si="3"/>
        <v>4</v>
      </c>
      <c r="B112" s="103"/>
      <c r="C112" s="66" t="s">
        <v>268</v>
      </c>
      <c r="D112" s="66">
        <f>(9.84)*10.764</f>
        <v>105.91775999999999</v>
      </c>
      <c r="E112" s="66">
        <v>0</v>
      </c>
      <c r="F112" s="66">
        <f t="shared" si="2"/>
        <v>158.87663999999998</v>
      </c>
      <c r="G112" s="132"/>
      <c r="H112" s="132"/>
      <c r="I112" s="33"/>
      <c r="L112" s="81"/>
      <c r="M112" s="81"/>
      <c r="N112" s="33"/>
    </row>
    <row r="113" spans="1:14" s="52" customFormat="1" ht="15.75" customHeight="1" x14ac:dyDescent="0.35">
      <c r="A113" s="103">
        <f t="shared" si="3"/>
        <v>5</v>
      </c>
      <c r="B113" s="103"/>
      <c r="C113" s="66" t="s">
        <v>268</v>
      </c>
      <c r="D113" s="66">
        <f>(29.95)*10.764</f>
        <v>322.3818</v>
      </c>
      <c r="E113" s="66">
        <v>0</v>
      </c>
      <c r="F113" s="66">
        <f t="shared" si="2"/>
        <v>483.5727</v>
      </c>
      <c r="G113" s="132"/>
      <c r="H113" s="132"/>
      <c r="I113" s="33">
        <f>4.77*2.95+2.6*5.9</f>
        <v>29.411500000000004</v>
      </c>
      <c r="L113" s="81"/>
      <c r="M113" s="81"/>
      <c r="N113" s="33"/>
    </row>
    <row r="114" spans="1:14" s="64" customFormat="1" ht="15.75" customHeight="1" x14ac:dyDescent="0.35">
      <c r="A114" s="179">
        <f t="shared" si="3"/>
        <v>6</v>
      </c>
      <c r="B114" s="179"/>
      <c r="C114" s="62" t="s">
        <v>268</v>
      </c>
      <c r="D114" s="62">
        <f>(25.02)*10.764</f>
        <v>269.31527999999997</v>
      </c>
      <c r="E114" s="62">
        <v>0</v>
      </c>
      <c r="F114" s="62">
        <f t="shared" si="2"/>
        <v>403.97291999999993</v>
      </c>
      <c r="G114" s="132"/>
      <c r="H114" s="132"/>
      <c r="I114" s="63">
        <f>3.35*7.53</f>
        <v>25.2255</v>
      </c>
      <c r="L114" s="167"/>
      <c r="M114" s="167"/>
      <c r="N114" s="63"/>
    </row>
    <row r="115" spans="1:14" s="50" customFormat="1" x14ac:dyDescent="0.35">
      <c r="A115" s="132" t="s">
        <v>256</v>
      </c>
      <c r="B115" s="132"/>
      <c r="C115" s="132"/>
      <c r="D115" s="132"/>
      <c r="E115" s="132"/>
      <c r="F115" s="132"/>
      <c r="G115" s="132"/>
      <c r="H115" s="132"/>
      <c r="J115" s="33"/>
    </row>
    <row r="116" spans="1:14" s="34" customFormat="1" ht="15.75" customHeight="1" x14ac:dyDescent="0.35">
      <c r="A116" s="103" t="str">
        <f ca="1">(SUMPRODUCT(MID(0&amp;(LEFT(A115,SUM(LEN(A115)-LEN(SUBSTITUTE(A115,{"0","1","2"},""))))), LARGE(INDEX(ISNUMBER(--MID((LEFT(A115,SUM(LEN(A115)-LEN(SUBSTITUTE(A115,{"0","1","2"},""))))), ROW(INDIRECT("1:"&amp;LEN((LEFT(A115,SUM(LEN(A115)-LEN(SUBSTITUTE(A115,{"0","1","2"},"")))))))), 1)) * ROW(INDIRECT("1:"&amp;LEN((LEFT(A115,SUM(LEN(A115)-LEN(SUBSTITUTE(A115,{"0","1","2"},"")))))))), 0), ROW(INDIRECT("1:"&amp;LEN((LEFT(A115,SUM(LEN(A115)-LEN(SUBSTITUTE(A115,{"0","1","2"},"")))))))))+1, 1) * 10^ROW(INDIRECT("1:"&amp;LEN((LEFT(A115,SUM(LEN(A115)-LEN(SUBSTITUTE(A115,{"0","1","2"},""))))))))/10))*100+1&amp;""&amp;" &amp; "&amp;""&amp;(SUMPRODUCT(MID(0&amp;(--TRIM(RIGHT(SUBSTITUTE(LEFT(A115,_xlfn.AGGREGATE(16,6,FIND({0,1,2,3,4,5,6,7,8,9},A115,ROW(INDIRECT("1:"&amp;LEN(A115)))),1))," ",REPT(" ",LEN(A115))),LEN(A115)))), LARGE(INDEX(ISNUMBER(--MID((--TRIM(RIGHT(SUBSTITUTE(LEFT(A115,_xlfn.AGGREGATE(16,6,FIND({0,1,2,3,4,5,6,7,8,9},A115,ROW(INDIRECT("1:"&amp;LEN(A115)))),1))," ",REPT(" ",LEN(A115))),LEN(A115)))), ROW(INDIRECT("1:"&amp;LEN((--TRIM(RIGHT(SUBSTITUTE(LEFT(A115,_xlfn.AGGREGATE(16,6,FIND({0,1,2,3,4,5,6,7,8,9},A115,ROW(INDIRECT("1:"&amp;LEN(A115)))),1))," ",REPT(" ",LEN(A115))),LEN(A115))))))), 1)) * ROW(INDIRECT("1:"&amp;LEN((--TRIM(RIGHT(SUBSTITUTE(LEFT(A115,_xlfn.AGGREGATE(16,6,FIND({0,1,2,3,4,5,6,7,8,9},A115,ROW(INDIRECT("1:"&amp;LEN(A115)))),1))," ",REPT(" ",LEN(A115))),LEN(A115))))))), 0), ROW(INDIRECT("1:"&amp;LEN((--TRIM(RIGHT(SUBSTITUTE(LEFT(A115,_xlfn.AGGREGATE(16,6,FIND({0,1,2,3,4,5,6,7,8,9},A115,ROW(INDIRECT("1:"&amp;LEN(A115)))),1))," ",REPT(" ",LEN(A115))),LEN(A115))))))))+1, 1) * 10^ROW(INDIRECT("1:"&amp;LEN((--TRIM(RIGHT(SUBSTITUTE(LEFT(A115,_xlfn.AGGREGATE(16,6,FIND({0,1,2,3,4,5,6,7,8,9},A115,ROW(INDIRECT("1:"&amp;LEN(A115)))),1))," ",REPT(" ",LEN(A115))),LEN(A115)))))))/10))*100+1</f>
        <v>101 &amp; 201</v>
      </c>
      <c r="B116" s="103"/>
      <c r="C116" s="66" t="s">
        <v>257</v>
      </c>
      <c r="D116" s="61">
        <f>(19.46)*10.764</f>
        <v>209.46744000000001</v>
      </c>
      <c r="E116" s="66">
        <v>0</v>
      </c>
      <c r="F116" s="66">
        <f>(D116+E116)*(($F$106)+1)</f>
        <v>314.20116000000002</v>
      </c>
      <c r="G116" s="103" t="str">
        <f>A115</f>
        <v>1st, 2nd Floor For Commercial</v>
      </c>
      <c r="H116" s="103"/>
      <c r="I116" s="33">
        <f>2.6*5.45+1.35*0.9+1.5*0.33+1.2*2.1</f>
        <v>18.400000000000002</v>
      </c>
      <c r="J116" s="34">
        <f>2.65*5.45+1.1*2.1+1.35*0.9*1.5*0.33</f>
        <v>17.353925</v>
      </c>
      <c r="L116" s="81"/>
      <c r="M116" s="81"/>
      <c r="N116" s="33"/>
    </row>
    <row r="117" spans="1:14" s="34" customFormat="1" ht="15.75" customHeight="1" x14ac:dyDescent="0.35">
      <c r="A117" s="103" t="str">
        <f ca="1">(SUMPRODUCT(MID(0&amp;(LEFT(A116,SUM(LEN(A116)-LEN(SUBSTITUTE(A116,{"0","1","2"},""))))), LARGE(INDEX(ISNUMBER(--MID((LEFT(A116,SUM(LEN(A116)-LEN(SUBSTITUTE(A116,{"0","1","2"},""))))), ROW(INDIRECT("1:"&amp;LEN((LEFT(A116,SUM(LEN(A116)-LEN(SUBSTITUTE(A116,{"0","1","2"},"")))))))), 1)) * ROW(INDIRECT("1:"&amp;LEN((LEFT(A116,SUM(LEN(A116)-LEN(SUBSTITUTE(A116,{"0","1","2"},"")))))))), 0), ROW(INDIRECT("1:"&amp;LEN((LEFT(A116,SUM(LEN(A116)-LEN(SUBSTITUTE(A116,{"0","1","2"},"")))))))))+1, 1) * 10^ROW(INDIRECT("1:"&amp;LEN((LEFT(A116,SUM(LEN(A116)-LEN(SUBSTITUTE(A116,{"0","1","2"},""))))))))/10))*1+1&amp;""&amp;" &amp; "&amp;""&amp;(SUMPRODUCT(MID(0&amp;(--TRIM(RIGHT(SUBSTITUTE(LEFT(A116,_xlfn.AGGREGATE(16,6,FIND({0,1,2,3,4,5,6,7,8,9},A116,ROW(INDIRECT("1:"&amp;LEN(A116)))),1))," ",REPT(" ",LEN(A116))),LEN(A116)))), LARGE(INDEX(ISNUMBER(--MID((--TRIM(RIGHT(SUBSTITUTE(LEFT(A116,_xlfn.AGGREGATE(16,6,FIND({0,1,2,3,4,5,6,7,8,9},A116,ROW(INDIRECT("1:"&amp;LEN(A116)))),1))," ",REPT(" ",LEN(A116))),LEN(A116)))), ROW(INDIRECT("1:"&amp;LEN((--TRIM(RIGHT(SUBSTITUTE(LEFT(A116,_xlfn.AGGREGATE(16,6,FIND({0,1,2,3,4,5,6,7,8,9},A116,ROW(INDIRECT("1:"&amp;LEN(A116)))),1))," ",REPT(" ",LEN(A116))),LEN(A116))))))), 1)) * ROW(INDIRECT("1:"&amp;LEN((--TRIM(RIGHT(SUBSTITUTE(LEFT(A116,_xlfn.AGGREGATE(16,6,FIND({0,1,2,3,4,5,6,7,8,9},A116,ROW(INDIRECT("1:"&amp;LEN(A116)))),1))," ",REPT(" ",LEN(A116))),LEN(A116))))))), 0), ROW(INDIRECT("1:"&amp;LEN((--TRIM(RIGHT(SUBSTITUTE(LEFT(A116,_xlfn.AGGREGATE(16,6,FIND({0,1,2,3,4,5,6,7,8,9},A116,ROW(INDIRECT("1:"&amp;LEN(A116)))),1))," ",REPT(" ",LEN(A116))),LEN(A116))))))))+1, 1) * 10^ROW(INDIRECT("1:"&amp;LEN((--TRIM(RIGHT(SUBSTITUTE(LEFT(A116,_xlfn.AGGREGATE(16,6,FIND({0,1,2,3,4,5,6,7,8,9},A116,ROW(INDIRECT("1:"&amp;LEN(A116)))),1))," ",REPT(" ",LEN(A116))),LEN(A116)))))))/10))*1+1</f>
        <v>102 &amp; 202</v>
      </c>
      <c r="B117" s="103"/>
      <c r="C117" s="66" t="s">
        <v>257</v>
      </c>
      <c r="D117" s="61">
        <f>(17.09)*10.764</f>
        <v>183.95675999999997</v>
      </c>
      <c r="E117" s="66">
        <v>0</v>
      </c>
      <c r="F117" s="66">
        <f t="shared" ref="F117:F119" si="4">(D117+E117)*(($F$106)+1)</f>
        <v>275.93513999999993</v>
      </c>
      <c r="G117" s="103"/>
      <c r="H117" s="103"/>
      <c r="I117" s="33"/>
      <c r="J117" s="34">
        <f>2*5.25+1.1*1.5+1.2*1.8+1.19*1.2</f>
        <v>15.738</v>
      </c>
      <c r="L117" s="81"/>
      <c r="M117" s="81"/>
      <c r="N117" s="33"/>
    </row>
    <row r="118" spans="1:14" s="34" customFormat="1" ht="15.75" customHeight="1" x14ac:dyDescent="0.35">
      <c r="A118" s="103" t="str">
        <f ca="1">(SUMPRODUCT(MID(0&amp;(LEFT(A117,SUM(LEN(A117)-LEN(SUBSTITUTE(A117,{"0","1","2"},""))))), LARGE(INDEX(ISNUMBER(--MID((LEFT(A117,SUM(LEN(A117)-LEN(SUBSTITUTE(A117,{"0","1","2"},""))))), ROW(INDIRECT("1:"&amp;LEN((LEFT(A117,SUM(LEN(A117)-LEN(SUBSTITUTE(A117,{"0","1","2"},"")))))))), 1)) * ROW(INDIRECT("1:"&amp;LEN((LEFT(A117,SUM(LEN(A117)-LEN(SUBSTITUTE(A117,{"0","1","2"},"")))))))), 0), ROW(INDIRECT("1:"&amp;LEN((LEFT(A117,SUM(LEN(A117)-LEN(SUBSTITUTE(A117,{"0","1","2"},"")))))))))+1, 1) * 10^ROW(INDIRECT("1:"&amp;LEN((LEFT(A117,SUM(LEN(A117)-LEN(SUBSTITUTE(A117,{"0","1","2"},""))))))))/10))*1+1&amp;""&amp;" &amp; "&amp;""&amp;(SUMPRODUCT(MID(0&amp;(--TRIM(RIGHT(SUBSTITUTE(LEFT(A117,_xlfn.AGGREGATE(16,6,FIND({0,1,2,3,4,5,6,7,8,9},A117,ROW(INDIRECT("1:"&amp;LEN(A117)))),1))," ",REPT(" ",LEN(A117))),LEN(A117)))), LARGE(INDEX(ISNUMBER(--MID((--TRIM(RIGHT(SUBSTITUTE(LEFT(A117,_xlfn.AGGREGATE(16,6,FIND({0,1,2,3,4,5,6,7,8,9},A117,ROW(INDIRECT("1:"&amp;LEN(A117)))),1))," ",REPT(" ",LEN(A117))),LEN(A117)))), ROW(INDIRECT("1:"&amp;LEN((--TRIM(RIGHT(SUBSTITUTE(LEFT(A117,_xlfn.AGGREGATE(16,6,FIND({0,1,2,3,4,5,6,7,8,9},A117,ROW(INDIRECT("1:"&amp;LEN(A117)))),1))," ",REPT(" ",LEN(A117))),LEN(A117))))))), 1)) * ROW(INDIRECT("1:"&amp;LEN((--TRIM(RIGHT(SUBSTITUTE(LEFT(A117,_xlfn.AGGREGATE(16,6,FIND({0,1,2,3,4,5,6,7,8,9},A117,ROW(INDIRECT("1:"&amp;LEN(A117)))),1))," ",REPT(" ",LEN(A117))),LEN(A117))))))), 0), ROW(INDIRECT("1:"&amp;LEN((--TRIM(RIGHT(SUBSTITUTE(LEFT(A117,_xlfn.AGGREGATE(16,6,FIND({0,1,2,3,4,5,6,7,8,9},A117,ROW(INDIRECT("1:"&amp;LEN(A117)))),1))," ",REPT(" ",LEN(A117))),LEN(A117))))))))+1, 1) * 10^ROW(INDIRECT("1:"&amp;LEN((--TRIM(RIGHT(SUBSTITUTE(LEFT(A117,_xlfn.AGGREGATE(16,6,FIND({0,1,2,3,4,5,6,7,8,9},A117,ROW(INDIRECT("1:"&amp;LEN(A117)))),1))," ",REPT(" ",LEN(A117))),LEN(A117)))))))/10))*1+1</f>
        <v>103 &amp; 203</v>
      </c>
      <c r="B118" s="103"/>
      <c r="C118" s="66" t="s">
        <v>257</v>
      </c>
      <c r="D118" s="66">
        <f>(20.14)*10.764</f>
        <v>216.78695999999999</v>
      </c>
      <c r="E118" s="66">
        <v>0</v>
      </c>
      <c r="F118" s="66">
        <f t="shared" si="4"/>
        <v>325.18043999999998</v>
      </c>
      <c r="G118" s="103"/>
      <c r="H118" s="103"/>
      <c r="I118" s="33"/>
      <c r="L118" s="81"/>
      <c r="M118" s="81"/>
      <c r="N118" s="33"/>
    </row>
    <row r="119" spans="1:14" s="34" customFormat="1" ht="15.75" customHeight="1" x14ac:dyDescent="0.35">
      <c r="A119" s="103" t="str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10^ROW(INDIRECT("1:"&amp;LEN((LEFT(A118,SUM(LEN(A118)-LEN(SUBSTITUTE(A118,{"0","1","2"},""))))))))/10))*1+1&amp;""&amp;" &amp; "&amp;""&amp;(SUMPRODUCT(MID(0&amp;(--TRIM(RIGHT(SUBSTITUTE(LEFT(A118,_xlfn.AGGREGATE(16,6,FIND({0,1,2,3,4,5,6,7,8,9},A118,ROW(INDIRECT("1:"&amp;LEN(A118)))),1)),"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",LEN(A118))),LEN(A118)))))))/10))*1+1</f>
        <v>104 &amp; 204</v>
      </c>
      <c r="B119" s="103"/>
      <c r="C119" s="66" t="s">
        <v>257</v>
      </c>
      <c r="D119" s="66">
        <f>(27.84)*10.764</f>
        <v>299.66976</v>
      </c>
      <c r="E119" s="66">
        <v>0</v>
      </c>
      <c r="F119" s="66">
        <f t="shared" si="4"/>
        <v>449.50463999999999</v>
      </c>
      <c r="G119" s="103"/>
      <c r="H119" s="103"/>
      <c r="I119" s="33">
        <f>5.4*3.5+1.2*1.7+1.4*1.35+1.55*1.2+1.5*1.2</f>
        <v>26.490000000000002</v>
      </c>
      <c r="J119" s="34">
        <f>5.4*3.4+1.2*1.7+1.4*1.35+1.55*1.2+1.5*1.2</f>
        <v>25.95</v>
      </c>
      <c r="L119" s="81"/>
      <c r="M119" s="81"/>
      <c r="N119" s="33"/>
    </row>
    <row r="120" spans="1:14" s="50" customFormat="1" ht="15.75" customHeight="1" x14ac:dyDescent="0.35">
      <c r="A120" s="103" t="str">
        <f ca="1">(SUMPRODUCT(MID(0&amp;(LEFT(A119,SUM(LEN(A119)-LEN(SUBSTITUTE(A119,{"0","1","2"},""))))), LARGE(INDEX(ISNUMBER(--MID((LEFT(A119,SUM(LEN(A119)-LEN(SUBSTITUTE(A119,{"0","1","2"},""))))), ROW(INDIRECT("1:"&amp;LEN((LEFT(A119,SUM(LEN(A119)-LEN(SUBSTITUTE(A119,{"0","1","2"},"")))))))), 1)) * ROW(INDIRECT("1:"&amp;LEN((LEFT(A119,SUM(LEN(A119)-LEN(SUBSTITUTE(A119,{"0","1","2"},"")))))))), 0), ROW(INDIRECT("1:"&amp;LEN((LEFT(A119,SUM(LEN(A119)-LEN(SUBSTITUTE(A119,{"0","1","2"},"")))))))))+1, 1) * 10^ROW(INDIRECT("1:"&amp;LEN((LEFT(A119,SUM(LEN(A119)-LEN(SUBSTITUTE(A119,{"0","1","2"},""))))))))/10))*1+1&amp;""&amp;" &amp; "&amp;""&amp;(SUMPRODUCT(MID(0&amp;(--TRIM(RIGHT(SUBSTITUTE(LEFT(A119,_xlfn.AGGREGATE(16,6,FIND({0,1,2,3,4,5,6,7,8,9},A119,ROW(INDIRECT("1:"&amp;LEN(A119)))),1))," ",REPT(" ",LEN(A119))),LEN(A119)))), LARGE(INDEX(ISNUMBER(--MID((--TRIM(RIGHT(SUBSTITUTE(LEFT(A119,_xlfn.AGGREGATE(16,6,FIND({0,1,2,3,4,5,6,7,8,9},A119,ROW(INDIRECT("1:"&amp;LEN(A119)))),1))," ",REPT(" ",LEN(A119))),LEN(A119)))), ROW(INDIRECT("1:"&amp;LEN((--TRIM(RIGHT(SUBSTITUTE(LEFT(A119,_xlfn.AGGREGATE(16,6,FIND({0,1,2,3,4,5,6,7,8,9},A119,ROW(INDIRECT("1:"&amp;LEN(A119)))),1))," ",REPT(" ",LEN(A119))),LEN(A119))))))), 1)) * ROW(INDIRECT("1:"&amp;LEN((--TRIM(RIGHT(SUBSTITUTE(LEFT(A119,_xlfn.AGGREGATE(16,6,FIND({0,1,2,3,4,5,6,7,8,9},A119,ROW(INDIRECT("1:"&amp;LEN(A119)))),1))," ",REPT(" ",LEN(A119))),LEN(A119))))))), 0), ROW(INDIRECT("1:"&amp;LEN((--TRIM(RIGHT(SUBSTITUTE(LEFT(A119,_xlfn.AGGREGATE(16,6,FIND({0,1,2,3,4,5,6,7,8,9},A119,ROW(INDIRECT("1:"&amp;LEN(A119)))),1))," ",REPT(" ",LEN(A119))),LEN(A119))))))))+1, 1) * 10^ROW(INDIRECT("1:"&amp;LEN((--TRIM(RIGHT(SUBSTITUTE(LEFT(A119,_xlfn.AGGREGATE(16,6,FIND({0,1,2,3,4,5,6,7,8,9},A119,ROW(INDIRECT("1:"&amp;LEN(A119)))),1))," ",REPT(" ",LEN(A119))),LEN(A119)))))))/10))*1+1</f>
        <v>105 &amp; 205</v>
      </c>
      <c r="B120" s="103"/>
      <c r="C120" s="66" t="s">
        <v>257</v>
      </c>
      <c r="D120" s="66">
        <f>(45.5)*10.764</f>
        <v>489.76199999999994</v>
      </c>
      <c r="E120" s="66">
        <v>0</v>
      </c>
      <c r="F120" s="66">
        <f t="shared" ref="F120:F122" si="5">(D120+E120)*(($F$106)+1)</f>
        <v>734.64299999999992</v>
      </c>
      <c r="G120" s="103"/>
      <c r="H120" s="103"/>
      <c r="I120" s="33"/>
      <c r="L120" s="81"/>
      <c r="M120" s="81"/>
      <c r="N120" s="33"/>
    </row>
    <row r="121" spans="1:14" s="50" customFormat="1" ht="15.75" customHeight="1" x14ac:dyDescent="0.35">
      <c r="A121" s="103" t="str">
        <f ca="1">(SUMPRODUCT(MID(0&amp;(LEFT(A120,SUM(LEN(A120)-LEN(SUBSTITUTE(A120,{"0","1","2"},""))))), LARGE(INDEX(ISNUMBER(--MID((LEFT(A120,SUM(LEN(A120)-LEN(SUBSTITUTE(A120,{"0","1","2"},""))))), ROW(INDIRECT("1:"&amp;LEN((LEFT(A120,SUM(LEN(A120)-LEN(SUBSTITUTE(A120,{"0","1","2"},"")))))))), 1)) * ROW(INDIRECT("1:"&amp;LEN((LEFT(A120,SUM(LEN(A120)-LEN(SUBSTITUTE(A120,{"0","1","2"},"")))))))), 0), ROW(INDIRECT("1:"&amp;LEN((LEFT(A120,SUM(LEN(A120)-LEN(SUBSTITUTE(A120,{"0","1","2"},"")))))))))+1, 1) * 10^ROW(INDIRECT("1:"&amp;LEN((LEFT(A120,SUM(LEN(A120)-LEN(SUBSTITUTE(A120,{"0","1","2"},""))))))))/10))*1+1&amp;""&amp;" &amp; "&amp;""&amp;(SUMPRODUCT(MID(0&amp;(--TRIM(RIGHT(SUBSTITUTE(LEFT(A120,_xlfn.AGGREGATE(16,6,FIND({0,1,2,3,4,5,6,7,8,9},A120,ROW(INDIRECT("1:"&amp;LEN(A120)))),1))," ",REPT(" ",LEN(A120))),LEN(A120)))), LARGE(INDEX(ISNUMBER(--MID((--TRIM(RIGHT(SUBSTITUTE(LEFT(A120,_xlfn.AGGREGATE(16,6,FIND({0,1,2,3,4,5,6,7,8,9},A120,ROW(INDIRECT("1:"&amp;LEN(A120)))),1))," ",REPT(" ",LEN(A120))),LEN(A120)))), ROW(INDIRECT("1:"&amp;LEN((--TRIM(RIGHT(SUBSTITUTE(LEFT(A120,_xlfn.AGGREGATE(16,6,FIND({0,1,2,3,4,5,6,7,8,9},A120,ROW(INDIRECT("1:"&amp;LEN(A120)))),1))," ",REPT(" ",LEN(A120))),LEN(A120))))))), 1)) * ROW(INDIRECT("1:"&amp;LEN((--TRIM(RIGHT(SUBSTITUTE(LEFT(A120,_xlfn.AGGREGATE(16,6,FIND({0,1,2,3,4,5,6,7,8,9},A120,ROW(INDIRECT("1:"&amp;LEN(A120)))),1))," ",REPT(" ",LEN(A120))),LEN(A120))))))), 0), ROW(INDIRECT("1:"&amp;LEN((--TRIM(RIGHT(SUBSTITUTE(LEFT(A120,_xlfn.AGGREGATE(16,6,FIND({0,1,2,3,4,5,6,7,8,9},A120,ROW(INDIRECT("1:"&amp;LEN(A120)))),1))," ",REPT(" ",LEN(A120))),LEN(A120))))))))+1, 1) * 10^ROW(INDIRECT("1:"&amp;LEN((--TRIM(RIGHT(SUBSTITUTE(LEFT(A120,_xlfn.AGGREGATE(16,6,FIND({0,1,2,3,4,5,6,7,8,9},A120,ROW(INDIRECT("1:"&amp;LEN(A120)))),1))," ",REPT(" ",LEN(A120))),LEN(A120)))))))/10))*1+1</f>
        <v>106 &amp; 206</v>
      </c>
      <c r="B121" s="103"/>
      <c r="C121" s="66" t="s">
        <v>257</v>
      </c>
      <c r="D121" s="66">
        <f>(31.93)*10.764</f>
        <v>343.69451999999995</v>
      </c>
      <c r="E121" s="66">
        <v>0</v>
      </c>
      <c r="F121" s="66">
        <f t="shared" si="5"/>
        <v>515.5417799999999</v>
      </c>
      <c r="G121" s="103"/>
      <c r="H121" s="103"/>
      <c r="I121" s="33">
        <f>1.2*1.35+2.75*1.35+6.85*3.2+1.55*1.2+1.5*1.2</f>
        <v>30.912500000000001</v>
      </c>
      <c r="L121" s="81"/>
      <c r="M121" s="81"/>
      <c r="N121" s="33"/>
    </row>
    <row r="122" spans="1:14" s="50" customFormat="1" ht="15.75" customHeight="1" x14ac:dyDescent="0.35">
      <c r="A122" s="103" t="str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10^ROW(INDIRECT("1:"&amp;LEN((LEFT(A121,SUM(LEN(A121)-LEN(SUBSTITUTE(A121,{"0","1","2"},""))))))))/10))*1+1&amp;""&amp;" &amp; "&amp;""&amp;(SUMPRODUCT(MID(0&amp;(--TRIM(RIGHT(SUBSTITUTE(LEFT(A121,_xlfn.AGGREGATE(16,6,FIND({0,1,2,3,4,5,6,7,8,9},A121,ROW(INDIRECT("1:"&amp;LEN(A121)))),1)),"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",LEN(A121))),LEN(A121)))))))/10))*1+1</f>
        <v>107 &amp; 207</v>
      </c>
      <c r="B122" s="103"/>
      <c r="C122" s="66" t="s">
        <v>257</v>
      </c>
      <c r="D122" s="66">
        <f>(27.84)*10.764</f>
        <v>299.66976</v>
      </c>
      <c r="E122" s="66">
        <v>0</v>
      </c>
      <c r="F122" s="66">
        <f t="shared" si="5"/>
        <v>449.50463999999999</v>
      </c>
      <c r="G122" s="103"/>
      <c r="H122" s="103"/>
      <c r="I122" s="33"/>
      <c r="L122" s="81"/>
      <c r="M122" s="81"/>
      <c r="N122" s="33"/>
    </row>
    <row r="123" spans="1:14" s="50" customFormat="1" x14ac:dyDescent="0.35">
      <c r="A123" s="114" t="s">
        <v>258</v>
      </c>
      <c r="B123" s="115"/>
      <c r="C123" s="115"/>
      <c r="D123" s="115"/>
      <c r="E123" s="115"/>
      <c r="F123" s="115"/>
      <c r="G123" s="115"/>
      <c r="H123" s="116"/>
      <c r="J123" s="33"/>
    </row>
    <row r="124" spans="1:14" s="50" customFormat="1" ht="15.75" customHeight="1" x14ac:dyDescent="0.35">
      <c r="A124" s="73">
        <v>301</v>
      </c>
      <c r="B124" s="74"/>
      <c r="C124" s="49" t="s">
        <v>257</v>
      </c>
      <c r="D124" s="51">
        <f>(19.46)*10.764</f>
        <v>209.46744000000001</v>
      </c>
      <c r="E124" s="49">
        <v>0</v>
      </c>
      <c r="F124" s="49">
        <f>(D124+E124)*(($F$106)+1)</f>
        <v>314.20116000000002</v>
      </c>
      <c r="G124" s="121" t="str">
        <f>A123</f>
        <v>3rd Floor For Commercial &amp; Society Office</v>
      </c>
      <c r="H124" s="122"/>
      <c r="I124" s="33"/>
      <c r="L124" s="81"/>
      <c r="M124" s="81"/>
      <c r="N124" s="33"/>
    </row>
    <row r="125" spans="1:14" s="50" customFormat="1" ht="15.75" customHeight="1" x14ac:dyDescent="0.35">
      <c r="A125" s="73">
        <f>A124+1</f>
        <v>302</v>
      </c>
      <c r="B125" s="74"/>
      <c r="C125" s="49" t="s">
        <v>257</v>
      </c>
      <c r="D125" s="51">
        <f>(17.09)*10.764</f>
        <v>183.95675999999997</v>
      </c>
      <c r="E125" s="49">
        <v>0</v>
      </c>
      <c r="F125" s="49">
        <f t="shared" ref="F125:F130" si="6">(D125+E125)*(($F$106)+1)</f>
        <v>275.93513999999993</v>
      </c>
      <c r="G125" s="123"/>
      <c r="H125" s="124"/>
      <c r="I125" s="33"/>
      <c r="L125" s="81"/>
      <c r="M125" s="81"/>
      <c r="N125" s="33"/>
    </row>
    <row r="126" spans="1:14" s="50" customFormat="1" ht="15.75" customHeight="1" x14ac:dyDescent="0.35">
      <c r="A126" s="73">
        <f t="shared" ref="A126:A130" si="7">A125+1</f>
        <v>303</v>
      </c>
      <c r="B126" s="74"/>
      <c r="C126" s="73" t="s">
        <v>259</v>
      </c>
      <c r="D126" s="133"/>
      <c r="E126" s="133"/>
      <c r="F126" s="74"/>
      <c r="G126" s="123"/>
      <c r="H126" s="124"/>
      <c r="I126" s="33"/>
      <c r="L126" s="81"/>
      <c r="M126" s="81"/>
      <c r="N126" s="33"/>
    </row>
    <row r="127" spans="1:14" s="50" customFormat="1" ht="15.75" customHeight="1" x14ac:dyDescent="0.35">
      <c r="A127" s="73">
        <f t="shared" si="7"/>
        <v>304</v>
      </c>
      <c r="B127" s="74"/>
      <c r="C127" s="49" t="s">
        <v>257</v>
      </c>
      <c r="D127" s="51">
        <f>(27.84)*10.764</f>
        <v>299.66976</v>
      </c>
      <c r="E127" s="49">
        <v>0</v>
      </c>
      <c r="F127" s="49">
        <f t="shared" si="6"/>
        <v>449.50463999999999</v>
      </c>
      <c r="G127" s="123"/>
      <c r="H127" s="124"/>
      <c r="I127" s="33"/>
      <c r="L127" s="81"/>
      <c r="M127" s="81"/>
      <c r="N127" s="33"/>
    </row>
    <row r="128" spans="1:14" s="50" customFormat="1" ht="15.75" customHeight="1" x14ac:dyDescent="0.35">
      <c r="A128" s="73">
        <f t="shared" si="7"/>
        <v>305</v>
      </c>
      <c r="B128" s="74"/>
      <c r="C128" s="49" t="s">
        <v>257</v>
      </c>
      <c r="D128" s="51">
        <f>(45.5)*10.764</f>
        <v>489.76199999999994</v>
      </c>
      <c r="E128" s="49">
        <v>0</v>
      </c>
      <c r="F128" s="49">
        <f t="shared" si="6"/>
        <v>734.64299999999992</v>
      </c>
      <c r="G128" s="123"/>
      <c r="H128" s="124"/>
      <c r="I128" s="33"/>
      <c r="L128" s="81"/>
      <c r="M128" s="81"/>
      <c r="N128" s="33"/>
    </row>
    <row r="129" spans="1:14" s="50" customFormat="1" ht="15.75" customHeight="1" x14ac:dyDescent="0.35">
      <c r="A129" s="73">
        <f t="shared" si="7"/>
        <v>306</v>
      </c>
      <c r="B129" s="74"/>
      <c r="C129" s="49" t="s">
        <v>257</v>
      </c>
      <c r="D129" s="51">
        <f>(31.93)*10.764</f>
        <v>343.69451999999995</v>
      </c>
      <c r="E129" s="49">
        <v>0</v>
      </c>
      <c r="F129" s="49">
        <f t="shared" si="6"/>
        <v>515.5417799999999</v>
      </c>
      <c r="G129" s="123"/>
      <c r="H129" s="124"/>
      <c r="I129" s="33"/>
      <c r="L129" s="81"/>
      <c r="M129" s="81"/>
      <c r="N129" s="33"/>
    </row>
    <row r="130" spans="1:14" s="50" customFormat="1" ht="15.75" customHeight="1" x14ac:dyDescent="0.35">
      <c r="A130" s="73">
        <f t="shared" si="7"/>
        <v>307</v>
      </c>
      <c r="B130" s="74"/>
      <c r="C130" s="49" t="s">
        <v>257</v>
      </c>
      <c r="D130" s="51">
        <f>(27.84)*10.764</f>
        <v>299.66976</v>
      </c>
      <c r="E130" s="49">
        <v>0</v>
      </c>
      <c r="F130" s="49">
        <f t="shared" si="6"/>
        <v>449.50463999999999</v>
      </c>
      <c r="G130" s="125"/>
      <c r="H130" s="126"/>
      <c r="I130" s="33">
        <f>2*7+7</f>
        <v>21</v>
      </c>
      <c r="L130" s="81"/>
      <c r="M130" s="81"/>
      <c r="N130" s="33"/>
    </row>
    <row r="131" spans="1:14" s="34" customFormat="1" x14ac:dyDescent="0.35">
      <c r="A131" s="73"/>
      <c r="B131" s="133"/>
      <c r="C131" s="133"/>
      <c r="D131" s="133"/>
      <c r="E131" s="133"/>
      <c r="F131" s="133"/>
      <c r="G131" s="133"/>
      <c r="H131" s="74"/>
      <c r="I131" s="33"/>
      <c r="N131" s="33"/>
    </row>
    <row r="132" spans="1:14" ht="47.25" customHeight="1" x14ac:dyDescent="0.35">
      <c r="A132" s="108" t="s">
        <v>121</v>
      </c>
      <c r="B132" s="104" t="s">
        <v>179</v>
      </c>
      <c r="C132" s="104" t="s">
        <v>57</v>
      </c>
      <c r="D132" s="104" t="s">
        <v>58</v>
      </c>
      <c r="E132" s="106" t="s">
        <v>59</v>
      </c>
      <c r="F132" s="58" t="s">
        <v>150</v>
      </c>
      <c r="G132" s="108" t="s">
        <v>60</v>
      </c>
      <c r="H132" s="109"/>
      <c r="I132" s="56"/>
    </row>
    <row r="133" spans="1:14" s="34" customFormat="1" x14ac:dyDescent="0.35">
      <c r="A133" s="110"/>
      <c r="B133" s="105"/>
      <c r="C133" s="105"/>
      <c r="D133" s="105"/>
      <c r="E133" s="107"/>
      <c r="F133" s="59">
        <v>0.45</v>
      </c>
      <c r="G133" s="110"/>
      <c r="H133" s="111"/>
      <c r="I133" s="33"/>
    </row>
    <row r="134" spans="1:14" s="60" customFormat="1" x14ac:dyDescent="0.35">
      <c r="A134" s="114" t="s">
        <v>277</v>
      </c>
      <c r="B134" s="115"/>
      <c r="C134" s="115"/>
      <c r="D134" s="115"/>
      <c r="E134" s="115"/>
      <c r="F134" s="115"/>
      <c r="G134" s="115"/>
      <c r="H134" s="116"/>
      <c r="J134" s="33"/>
      <c r="K134" s="173" t="s">
        <v>276</v>
      </c>
      <c r="L134" s="173"/>
    </row>
    <row r="135" spans="1:14" s="34" customFormat="1" x14ac:dyDescent="0.35">
      <c r="A135" s="114" t="s">
        <v>260</v>
      </c>
      <c r="B135" s="115"/>
      <c r="C135" s="115"/>
      <c r="D135" s="115"/>
      <c r="E135" s="115"/>
      <c r="F135" s="115"/>
      <c r="G135" s="115"/>
      <c r="H135" s="116"/>
      <c r="J135" s="33"/>
      <c r="K135" s="173" t="s">
        <v>276</v>
      </c>
      <c r="L135" s="173"/>
      <c r="N135" s="34">
        <v>4700</v>
      </c>
    </row>
    <row r="136" spans="1:14" s="34" customFormat="1" ht="15.75" customHeight="1" x14ac:dyDescent="0.35">
      <c r="A136" s="73" t="s">
        <v>261</v>
      </c>
      <c r="B136" s="74"/>
      <c r="C136" s="39" t="s">
        <v>262</v>
      </c>
      <c r="D136" s="39">
        <f>(33.6+7.65)*10.764</f>
        <v>444.01499999999999</v>
      </c>
      <c r="E136" s="39">
        <v>0</v>
      </c>
      <c r="F136" s="39">
        <f>D136*(($F$133)+1)+(IF(E136&lt;101,E136,IF(E136&lt;201,E136/2,IF(E136&lt;=301,E136/3,E136/4))))</f>
        <v>643.82174999999995</v>
      </c>
      <c r="G136" s="121" t="str">
        <f>A135</f>
        <v>4th to 6th Floor For Residential</v>
      </c>
      <c r="H136" s="122"/>
      <c r="I136" s="54">
        <f>2.7*4.45+2.15*2.47+2.74*2.2+1.2*2.14+1.2*1.95+0.9*(1.1+1.9)</f>
        <v>30.961500000000004</v>
      </c>
      <c r="J136" s="54">
        <f>2.75*1+2.15*1+2.75*1</f>
        <v>7.65</v>
      </c>
      <c r="K136" s="57">
        <v>735</v>
      </c>
      <c r="L136" s="55">
        <f>K136/D136</f>
        <v>1.655349481436438</v>
      </c>
      <c r="N136" s="33">
        <f>N$135*F136</f>
        <v>3025962.2249999996</v>
      </c>
    </row>
    <row r="137" spans="1:14" s="34" customFormat="1" ht="15.75" customHeight="1" x14ac:dyDescent="0.35">
      <c r="A137" s="73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10^ROW(INDIRECT("1:"&amp;LEN((LEFT(A136,SUM(LEN(A136)-LEN(SUBSTITUTE(A136,{"0","1","2"},""))))))))/10))*1+1&amp;""&amp;" to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",LEN(A136))),LEN(A136)))))))/10))*1+1</f>
        <v>402 to 602</v>
      </c>
      <c r="B137" s="74"/>
      <c r="C137" s="39" t="s">
        <v>263</v>
      </c>
      <c r="D137" s="39">
        <f>(78.66+15.97)*10.764</f>
        <v>1018.5973199999999</v>
      </c>
      <c r="E137" s="39">
        <v>0</v>
      </c>
      <c r="F137" s="39">
        <f>D137*(($F$133)+1)+(IF(E137&lt;101,E137,IF(E137&lt;201,E137/2,IF(E137&lt;=301,E137/3,E137/4))))</f>
        <v>1476.9661139999998</v>
      </c>
      <c r="G137" s="123"/>
      <c r="H137" s="124"/>
      <c r="I137" s="54">
        <f>6.6*2.6+0.6*5.4+2.6*2.3+2.65*2.1+3.95*3.1+2.74*3.2+3.6*3.15+1*1.8+2.09*1.2+2.15*1.2+2.1*1.2+1.6*1.2+0.9*1.3</f>
        <v>76.795999999999992</v>
      </c>
      <c r="J137" s="54">
        <f>1.35*4.8+2.15*3.35+2*1.6</f>
        <v>16.8825</v>
      </c>
      <c r="K137" s="57">
        <v>1550</v>
      </c>
      <c r="L137" s="55">
        <f t="shared" ref="L137:L138" si="8">K137/D137</f>
        <v>1.5217004497910913</v>
      </c>
      <c r="M137" s="55">
        <f>6.65*2.3+5.3*0.5+2.6*2.4+2.65*2.1+3.95*3.19+2.74*3.2+4.58*1.7+3.6*1.2+15.97</f>
        <v>79.194500000000005</v>
      </c>
      <c r="N137" s="33">
        <f t="shared" ref="N137:N142" si="9">N$135*F137</f>
        <v>6941740.735799999</v>
      </c>
    </row>
    <row r="138" spans="1:14" s="34" customFormat="1" ht="15.75" customHeight="1" x14ac:dyDescent="0.35">
      <c r="A138" s="73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to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403 to 603</v>
      </c>
      <c r="B138" s="74"/>
      <c r="C138" s="39" t="s">
        <v>264</v>
      </c>
      <c r="D138" s="39">
        <f>(61.71+5.76)*10.764</f>
        <v>726.24707999999998</v>
      </c>
      <c r="E138" s="39">
        <v>0</v>
      </c>
      <c r="F138" s="39">
        <f>D138*(($F$133)+1)+(IF(E138&lt;101,E138,IF(E138&lt;201,E138/2,IF(E138&lt;=301,E138/3,E138/4))))</f>
        <v>1053.058266</v>
      </c>
      <c r="G138" s="125"/>
      <c r="H138" s="126"/>
      <c r="I138" s="54">
        <f>6.6*2.6+0.6*5.4+2.6*2.3+2.65*2.1+3.95*3.1+2.74*3.2+2.15*1.2+2.1*1.2+1.6*1.2+0.9*1.3</f>
        <v>61.148000000000003</v>
      </c>
      <c r="J138" s="54">
        <f>1.35*4.8</f>
        <v>6.48</v>
      </c>
      <c r="K138" s="57">
        <v>1170</v>
      </c>
      <c r="L138" s="55">
        <f t="shared" si="8"/>
        <v>1.6110219678955542</v>
      </c>
      <c r="M138" s="55">
        <f>6.65*2.1+2.64*0.4+2.2*2.1+2.64*2.1+2.75*3.2+3.95*3.17+2.15*1.2+2.1*1.2+2.3*1.2</f>
        <v>54.366500000000002</v>
      </c>
      <c r="N138" s="33">
        <f t="shared" si="9"/>
        <v>4949373.8502000002</v>
      </c>
    </row>
    <row r="139" spans="1:14" s="34" customFormat="1" x14ac:dyDescent="0.35">
      <c r="A139" s="132" t="s">
        <v>270</v>
      </c>
      <c r="B139" s="132"/>
      <c r="C139" s="132"/>
      <c r="D139" s="132"/>
      <c r="E139" s="132"/>
      <c r="F139" s="132"/>
      <c r="G139" s="132"/>
      <c r="H139" s="132"/>
      <c r="I139" s="33"/>
      <c r="K139" s="57"/>
      <c r="L139" s="55"/>
      <c r="M139" s="55">
        <f>660+62</f>
        <v>722</v>
      </c>
      <c r="N139" s="33">
        <f t="shared" si="9"/>
        <v>0</v>
      </c>
    </row>
    <row r="140" spans="1:14" s="34" customFormat="1" ht="15.75" customHeight="1" x14ac:dyDescent="0.35">
      <c r="A140" s="103">
        <f>LEFT(A139,SUM(LEN(A139)-LEN(SUBSTITUTE(A139,{"0","1","2","3","4","5","6","7","8","9"},""))))*100+1</f>
        <v>701</v>
      </c>
      <c r="B140" s="103"/>
      <c r="C140" s="51" t="s">
        <v>262</v>
      </c>
      <c r="D140" s="51">
        <f>(33.6+7.65)*10.764</f>
        <v>444.01499999999999</v>
      </c>
      <c r="E140" s="39">
        <v>0</v>
      </c>
      <c r="F140" s="39">
        <f t="shared" ref="F140" si="10">D140*(($F$133)+1)+(IF(E140&lt;101,E140,IF(E140&lt;201,E140/2,IF(E140&lt;=301,E140/3,E140/4))))</f>
        <v>643.82174999999995</v>
      </c>
      <c r="G140" s="121" t="str">
        <f>A139</f>
        <v>7th Floor For Residential &amp; Drivers Room</v>
      </c>
      <c r="H140" s="122"/>
      <c r="I140" s="33"/>
      <c r="K140" s="57">
        <v>735</v>
      </c>
      <c r="L140" s="55">
        <f>K140/D140</f>
        <v>1.655349481436438</v>
      </c>
      <c r="N140" s="33">
        <f t="shared" si="9"/>
        <v>3025962.2249999996</v>
      </c>
    </row>
    <row r="141" spans="1:14" s="34" customFormat="1" ht="15.75" customHeight="1" x14ac:dyDescent="0.35">
      <c r="A141" s="103">
        <f>A140+1</f>
        <v>702</v>
      </c>
      <c r="B141" s="103"/>
      <c r="C141" s="51" t="s">
        <v>264</v>
      </c>
      <c r="D141" s="51">
        <f>(61.55+12.64)*10.764</f>
        <v>798.58115999999995</v>
      </c>
      <c r="E141" s="39">
        <v>0</v>
      </c>
      <c r="F141" s="39">
        <f>D141*(($F$133)+1)+(IF(E141&lt;101,E141,IF(E141&lt;201,E141/2,IF(E141&lt;=301,E141/3,E141/4))))</f>
        <v>1157.9426819999999</v>
      </c>
      <c r="G141" s="123"/>
      <c r="H141" s="124"/>
      <c r="I141" s="54">
        <f>6.6*2.6+0.6*5.4+2.6*2.3+2.65*2.1+3.95*3.1+2.74*3.2+2.15*1.2+2.1*1.2+1.6*1.2+0.9*1.3</f>
        <v>61.148000000000003</v>
      </c>
      <c r="J141" s="54">
        <f>1.35*4.8+2.15*3.35</f>
        <v>13.682500000000001</v>
      </c>
      <c r="K141" s="57">
        <v>1290</v>
      </c>
      <c r="L141" s="55">
        <f>K141/D141</f>
        <v>1.6153649304724396</v>
      </c>
      <c r="N141" s="33">
        <f t="shared" si="9"/>
        <v>5442330.6053999998</v>
      </c>
    </row>
    <row r="142" spans="1:14" s="34" customFormat="1" ht="15.75" customHeight="1" x14ac:dyDescent="0.35">
      <c r="A142" s="103">
        <f>A141+1</f>
        <v>703</v>
      </c>
      <c r="B142" s="103"/>
      <c r="C142" s="51" t="s">
        <v>264</v>
      </c>
      <c r="D142" s="51">
        <f>(61.71+5.76)*10.764</f>
        <v>726.24707999999998</v>
      </c>
      <c r="E142" s="39">
        <v>0</v>
      </c>
      <c r="F142" s="39">
        <f>D142*(($F$133)+1)+(IF(E142&lt;101,E142,IF(E142&lt;201,E142/2,IF(E142&lt;=301,E142/3,E142/4))))</f>
        <v>1053.058266</v>
      </c>
      <c r="G142" s="125"/>
      <c r="H142" s="126"/>
      <c r="I142" s="33"/>
      <c r="K142" s="57">
        <v>1170</v>
      </c>
      <c r="L142" s="55">
        <f t="shared" ref="L142" si="11">K142/D142</f>
        <v>1.6110219678955542</v>
      </c>
      <c r="N142" s="33">
        <f t="shared" si="9"/>
        <v>4949373.8502000002</v>
      </c>
    </row>
    <row r="143" spans="1:14" s="32" customFormat="1" x14ac:dyDescent="0.35">
      <c r="A143" s="142" t="s">
        <v>68</v>
      </c>
      <c r="B143" s="142"/>
      <c r="C143" s="142"/>
      <c r="D143" s="142"/>
      <c r="E143" s="142"/>
      <c r="F143" s="142"/>
      <c r="G143" s="142"/>
      <c r="H143" s="142"/>
    </row>
    <row r="144" spans="1:14" s="32" customFormat="1" ht="33" customHeight="1" x14ac:dyDescent="0.35">
      <c r="A144" s="42" t="s">
        <v>154</v>
      </c>
      <c r="B144" s="138" t="s">
        <v>282</v>
      </c>
      <c r="C144" s="139"/>
      <c r="D144" s="139"/>
      <c r="E144" s="139"/>
      <c r="F144" s="139"/>
      <c r="G144" s="139"/>
      <c r="H144" s="140"/>
    </row>
    <row r="145" spans="1:8" s="32" customFormat="1" x14ac:dyDescent="0.35">
      <c r="A145" s="42" t="s">
        <v>154</v>
      </c>
      <c r="B145" s="138" t="str">
        <f>(IF(F132="Saleable area Loading :","We have considered Saleable area of Flats as per our Calculation.","We considered Saleable area of Flat as per Builder area Sheet."))</f>
        <v>We have considered Saleable area of Flats as per our Calculation.</v>
      </c>
      <c r="C145" s="139"/>
      <c r="D145" s="139"/>
      <c r="E145" s="139"/>
      <c r="F145" s="139"/>
      <c r="G145" s="139"/>
      <c r="H145" s="140"/>
    </row>
    <row r="146" spans="1:8" s="32" customFormat="1" x14ac:dyDescent="0.35">
      <c r="A146" s="42" t="s">
        <v>154</v>
      </c>
      <c r="B146" s="138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6" s="139"/>
      <c r="D146" s="139"/>
      <c r="E146" s="139"/>
      <c r="F146" s="139"/>
      <c r="G146" s="139"/>
      <c r="H146" s="140"/>
    </row>
    <row r="147" spans="1:8" s="32" customFormat="1" x14ac:dyDescent="0.35">
      <c r="A147" s="42" t="s">
        <v>154</v>
      </c>
      <c r="B147" s="135" t="s">
        <v>124</v>
      </c>
      <c r="C147" s="136"/>
      <c r="D147" s="136"/>
      <c r="E147" s="136"/>
      <c r="F147" s="136"/>
      <c r="G147" s="136"/>
      <c r="H147" s="137"/>
    </row>
    <row r="148" spans="1:8" s="32" customFormat="1" x14ac:dyDescent="0.35">
      <c r="A148" s="42" t="s">
        <v>154</v>
      </c>
      <c r="B148" s="135" t="s">
        <v>265</v>
      </c>
      <c r="C148" s="136"/>
      <c r="D148" s="136"/>
      <c r="E148" s="136"/>
      <c r="F148" s="136"/>
      <c r="G148" s="136"/>
      <c r="H148" s="137"/>
    </row>
    <row r="149" spans="1:8" s="32" customFormat="1" x14ac:dyDescent="0.35">
      <c r="A149" s="42" t="s">
        <v>154</v>
      </c>
      <c r="B149" s="135" t="s">
        <v>153</v>
      </c>
      <c r="C149" s="136"/>
      <c r="D149" s="136"/>
      <c r="E149" s="136"/>
      <c r="F149" s="136"/>
      <c r="G149" s="136"/>
      <c r="H149" s="137"/>
    </row>
    <row r="150" spans="1:8" s="32" customFormat="1" x14ac:dyDescent="0.35">
      <c r="A150" s="42" t="s">
        <v>154</v>
      </c>
      <c r="B150" s="135" t="s">
        <v>125</v>
      </c>
      <c r="C150" s="136"/>
      <c r="D150" s="136"/>
      <c r="E150" s="136"/>
      <c r="F150" s="136"/>
      <c r="G150" s="136"/>
      <c r="H150" s="137"/>
    </row>
    <row r="151" spans="1:8" s="32" customFormat="1" ht="34.5" hidden="1" customHeight="1" x14ac:dyDescent="0.35">
      <c r="A151" s="42" t="s">
        <v>154</v>
      </c>
      <c r="B151" s="135" t="s">
        <v>155</v>
      </c>
      <c r="C151" s="136"/>
      <c r="D151" s="136"/>
      <c r="E151" s="136"/>
      <c r="F151" s="136"/>
      <c r="G151" s="136"/>
      <c r="H151" s="137"/>
    </row>
    <row r="152" spans="1:8" s="32" customFormat="1" x14ac:dyDescent="0.35">
      <c r="A152" s="42" t="s">
        <v>154</v>
      </c>
      <c r="B152" s="135" t="s">
        <v>126</v>
      </c>
      <c r="C152" s="136"/>
      <c r="D152" s="136"/>
      <c r="E152" s="136"/>
      <c r="F152" s="136"/>
      <c r="G152" s="136"/>
      <c r="H152" s="137"/>
    </row>
    <row r="153" spans="1:8" x14ac:dyDescent="0.35">
      <c r="A153" s="90" t="s">
        <v>61</v>
      </c>
      <c r="B153" s="90"/>
      <c r="C153" s="90"/>
      <c r="D153" s="90"/>
      <c r="E153" s="90"/>
      <c r="F153" s="90"/>
      <c r="G153" s="90"/>
      <c r="H153" s="90"/>
    </row>
    <row r="154" spans="1:8" x14ac:dyDescent="0.35">
      <c r="A154" s="72" t="s">
        <v>62</v>
      </c>
      <c r="B154" s="72"/>
      <c r="C154" s="72"/>
      <c r="D154" s="72"/>
      <c r="E154" s="72"/>
      <c r="F154" s="72"/>
      <c r="G154" s="72"/>
      <c r="H154" s="72"/>
    </row>
    <row r="155" spans="1:8" ht="15.75" customHeight="1" x14ac:dyDescent="0.35">
      <c r="A155" s="102" t="s">
        <v>63</v>
      </c>
      <c r="B155" s="102"/>
      <c r="C155" s="102"/>
      <c r="D155" s="102"/>
      <c r="E155" s="102"/>
      <c r="F155" s="102"/>
      <c r="G155" s="102"/>
      <c r="H155" s="102"/>
    </row>
    <row r="156" spans="1:8" x14ac:dyDescent="0.35">
      <c r="A156" s="72" t="s">
        <v>64</v>
      </c>
      <c r="B156" s="72"/>
      <c r="C156" s="72"/>
      <c r="D156" s="72"/>
      <c r="E156" s="72"/>
      <c r="F156" s="72"/>
      <c r="G156" s="72"/>
      <c r="H156" s="72"/>
    </row>
    <row r="157" spans="1:8" x14ac:dyDescent="0.35">
      <c r="A157" s="72" t="s">
        <v>65</v>
      </c>
      <c r="B157" s="72"/>
      <c r="C157" s="72"/>
      <c r="D157" s="72"/>
      <c r="E157" s="72"/>
      <c r="F157" s="72"/>
      <c r="G157" s="72"/>
      <c r="H157" s="72"/>
    </row>
    <row r="158" spans="1:8" x14ac:dyDescent="0.35">
      <c r="A158" s="72" t="s">
        <v>127</v>
      </c>
      <c r="B158" s="72"/>
      <c r="C158" s="72"/>
      <c r="D158" s="72"/>
      <c r="E158" s="72"/>
      <c r="F158" s="72"/>
      <c r="G158" s="72"/>
      <c r="H158" s="72"/>
    </row>
    <row r="159" spans="1:8" ht="34" customHeight="1" x14ac:dyDescent="0.35">
      <c r="A159" s="91" t="s">
        <v>128</v>
      </c>
      <c r="B159" s="91"/>
      <c r="C159" s="91"/>
      <c r="D159" s="91"/>
      <c r="E159" s="91"/>
      <c r="F159" s="91"/>
      <c r="G159" s="91"/>
      <c r="H159" s="91"/>
    </row>
    <row r="160" spans="1:8" x14ac:dyDescent="0.35">
      <c r="A160" s="129" t="s">
        <v>77</v>
      </c>
      <c r="B160" s="129"/>
      <c r="C160" s="129" t="s">
        <v>284</v>
      </c>
      <c r="D160" s="129"/>
      <c r="E160" s="129" t="s">
        <v>107</v>
      </c>
      <c r="F160" s="129"/>
      <c r="G160" s="129" t="s">
        <v>283</v>
      </c>
      <c r="H160" s="129"/>
    </row>
    <row r="161" spans="1:8" x14ac:dyDescent="0.35">
      <c r="A161" s="128" t="s">
        <v>79</v>
      </c>
      <c r="B161" s="128"/>
      <c r="C161" s="128"/>
      <c r="D161" s="128"/>
      <c r="E161" s="128"/>
      <c r="F161" s="128"/>
      <c r="G161" s="128"/>
      <c r="H161" s="128"/>
    </row>
    <row r="162" spans="1:8" x14ac:dyDescent="0.35">
      <c r="A162" s="128"/>
      <c r="B162" s="128"/>
      <c r="C162" s="128"/>
      <c r="D162" s="128"/>
      <c r="E162" s="128"/>
      <c r="F162" s="128"/>
      <c r="G162" s="128"/>
      <c r="H162" s="128"/>
    </row>
    <row r="163" spans="1:8" x14ac:dyDescent="0.35">
      <c r="A163" s="128"/>
      <c r="B163" s="128"/>
      <c r="C163" s="128"/>
      <c r="D163" s="128"/>
      <c r="E163" s="128"/>
      <c r="F163" s="128"/>
      <c r="G163" s="128"/>
      <c r="H163" s="128"/>
    </row>
    <row r="164" spans="1:8" x14ac:dyDescent="0.35">
      <c r="A164" s="128"/>
      <c r="B164" s="128"/>
      <c r="C164" s="128"/>
      <c r="D164" s="128"/>
      <c r="E164" s="128"/>
      <c r="F164" s="128"/>
      <c r="G164" s="128"/>
      <c r="H164" s="128"/>
    </row>
    <row r="165" spans="1:8" x14ac:dyDescent="0.35">
      <c r="A165" s="35" t="s">
        <v>66</v>
      </c>
      <c r="B165" s="36"/>
      <c r="C165" s="36"/>
      <c r="D165" s="35" t="str">
        <f>E8</f>
        <v>V Square Arcade</v>
      </c>
      <c r="F165" s="36"/>
      <c r="G165" s="36"/>
      <c r="H165" s="36"/>
    </row>
    <row r="166" spans="1:8" x14ac:dyDescent="0.35">
      <c r="A166" s="36"/>
      <c r="B166" s="36"/>
      <c r="C166" s="36"/>
      <c r="D166" s="36"/>
      <c r="E166" s="36"/>
      <c r="F166" s="36"/>
      <c r="G166" s="36"/>
      <c r="H166" s="36"/>
    </row>
    <row r="167" spans="1:8" x14ac:dyDescent="0.35">
      <c r="A167" s="36"/>
      <c r="B167" s="36"/>
      <c r="C167" s="36"/>
      <c r="D167" s="36"/>
      <c r="E167" s="36"/>
      <c r="F167" s="36"/>
      <c r="G167" s="36"/>
      <c r="H167" s="36"/>
    </row>
    <row r="168" spans="1:8" ht="15" customHeight="1" x14ac:dyDescent="0.35"/>
    <row r="208" spans="1:1" x14ac:dyDescent="0.35">
      <c r="A208" s="38" t="s">
        <v>165</v>
      </c>
    </row>
    <row r="251" spans="1:1" x14ac:dyDescent="0.35">
      <c r="A251" s="38" t="s">
        <v>67</v>
      </c>
    </row>
  </sheetData>
  <mergeCells count="317">
    <mergeCell ref="J9:M9"/>
    <mergeCell ref="I10:L10"/>
    <mergeCell ref="A136:B136"/>
    <mergeCell ref="A138:B138"/>
    <mergeCell ref="K134:L134"/>
    <mergeCell ref="A107:H107"/>
    <mergeCell ref="K135:L135"/>
    <mergeCell ref="A61:C61"/>
    <mergeCell ref="G124:H130"/>
    <mergeCell ref="L124:M124"/>
    <mergeCell ref="A125:B125"/>
    <mergeCell ref="L125:M125"/>
    <mergeCell ref="A126:B126"/>
    <mergeCell ref="L126:M126"/>
    <mergeCell ref="A127:B127"/>
    <mergeCell ref="L127:M127"/>
    <mergeCell ref="A128:B128"/>
    <mergeCell ref="L128:M128"/>
    <mergeCell ref="A129:B129"/>
    <mergeCell ref="L129:M129"/>
    <mergeCell ref="A130:B130"/>
    <mergeCell ref="L130:M130"/>
    <mergeCell ref="C126:F126"/>
    <mergeCell ref="L120:M120"/>
    <mergeCell ref="L121:M121"/>
    <mergeCell ref="C48:H48"/>
    <mergeCell ref="B149:H149"/>
    <mergeCell ref="F82:H82"/>
    <mergeCell ref="A82:E82"/>
    <mergeCell ref="D105:D106"/>
    <mergeCell ref="A84:E84"/>
    <mergeCell ref="A83:E83"/>
    <mergeCell ref="A80:E80"/>
    <mergeCell ref="F84:H84"/>
    <mergeCell ref="A91:E91"/>
    <mergeCell ref="C97:D97"/>
    <mergeCell ref="E97:F97"/>
    <mergeCell ref="G97:H97"/>
    <mergeCell ref="A98:B98"/>
    <mergeCell ref="A63:C63"/>
    <mergeCell ref="A76:B76"/>
    <mergeCell ref="A69:B69"/>
    <mergeCell ref="A72:B72"/>
    <mergeCell ref="C132:C133"/>
    <mergeCell ref="C105:C106"/>
    <mergeCell ref="C96:D96"/>
    <mergeCell ref="E96:F96"/>
    <mergeCell ref="L122:M122"/>
    <mergeCell ref="L119:M119"/>
    <mergeCell ref="L118:M118"/>
    <mergeCell ref="L117:M117"/>
    <mergeCell ref="L116:M116"/>
    <mergeCell ref="A77:B77"/>
    <mergeCell ref="C101:D101"/>
    <mergeCell ref="E101:F101"/>
    <mergeCell ref="G101:H101"/>
    <mergeCell ref="F87:H87"/>
    <mergeCell ref="A81:E81"/>
    <mergeCell ref="A108:H108"/>
    <mergeCell ref="E105:E106"/>
    <mergeCell ref="G105:H106"/>
    <mergeCell ref="E70:F79"/>
    <mergeCell ref="G70:H79"/>
    <mergeCell ref="A78:B78"/>
    <mergeCell ref="A79:B79"/>
    <mergeCell ref="L113:M113"/>
    <mergeCell ref="L114:M114"/>
    <mergeCell ref="F80:H80"/>
    <mergeCell ref="A85:E85"/>
    <mergeCell ref="F85:H85"/>
    <mergeCell ref="A86:E86"/>
    <mergeCell ref="F86:H86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A38:B38"/>
    <mergeCell ref="C38:H38"/>
    <mergeCell ref="A45:D45"/>
    <mergeCell ref="C52:H52"/>
    <mergeCell ref="A39:B39"/>
    <mergeCell ref="C39:H39"/>
    <mergeCell ref="A48:B48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16:B16"/>
    <mergeCell ref="A13:D13"/>
    <mergeCell ref="E13:H13"/>
    <mergeCell ref="A14:D1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22:D23"/>
    <mergeCell ref="E22:H23"/>
    <mergeCell ref="E14:H14"/>
    <mergeCell ref="A46:D46"/>
    <mergeCell ref="A47:H47"/>
    <mergeCell ref="D57:H57"/>
    <mergeCell ref="A57:C57"/>
    <mergeCell ref="G50:H50"/>
    <mergeCell ref="G53:H53"/>
    <mergeCell ref="F34:H34"/>
    <mergeCell ref="E42:H42"/>
    <mergeCell ref="A42:D42"/>
    <mergeCell ref="F33:H33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54:H154"/>
    <mergeCell ref="B152:H152"/>
    <mergeCell ref="B150:H150"/>
    <mergeCell ref="B146:H146"/>
    <mergeCell ref="B144:H144"/>
    <mergeCell ref="D65:H65"/>
    <mergeCell ref="A70:B70"/>
    <mergeCell ref="G69:H69"/>
    <mergeCell ref="A68:B68"/>
    <mergeCell ref="A66:B66"/>
    <mergeCell ref="C66:H66"/>
    <mergeCell ref="A74:B74"/>
    <mergeCell ref="B151:H151"/>
    <mergeCell ref="A143:H143"/>
    <mergeCell ref="A142:B142"/>
    <mergeCell ref="B145:H145"/>
    <mergeCell ref="A141:B141"/>
    <mergeCell ref="B132:B133"/>
    <mergeCell ref="A123:H123"/>
    <mergeCell ref="A124:B124"/>
    <mergeCell ref="A134:H134"/>
    <mergeCell ref="B147:H147"/>
    <mergeCell ref="B148:H148"/>
    <mergeCell ref="A121:B121"/>
    <mergeCell ref="A87:E87"/>
    <mergeCell ref="A89:E89"/>
    <mergeCell ref="A161:H164"/>
    <mergeCell ref="A160:B160"/>
    <mergeCell ref="E160:F160"/>
    <mergeCell ref="C160:D160"/>
    <mergeCell ref="G160:H160"/>
    <mergeCell ref="A94:H94"/>
    <mergeCell ref="A92:E92"/>
    <mergeCell ref="F92:H92"/>
    <mergeCell ref="A93:E93"/>
    <mergeCell ref="F93:H93"/>
    <mergeCell ref="A139:H139"/>
    <mergeCell ref="A101:B101"/>
    <mergeCell ref="A96:B96"/>
    <mergeCell ref="A156:H156"/>
    <mergeCell ref="A99:H99"/>
    <mergeCell ref="A159:H159"/>
    <mergeCell ref="A88:E88"/>
    <mergeCell ref="A131:H131"/>
    <mergeCell ref="A157:H157"/>
    <mergeCell ref="A153:H153"/>
    <mergeCell ref="E100:F100"/>
    <mergeCell ref="A103:H103"/>
    <mergeCell ref="A132:A133"/>
    <mergeCell ref="B105:B106"/>
    <mergeCell ref="A105:A106"/>
    <mergeCell ref="C98:D98"/>
    <mergeCell ref="E98:F98"/>
    <mergeCell ref="G98:H98"/>
    <mergeCell ref="A115:H115"/>
    <mergeCell ref="A120:B120"/>
    <mergeCell ref="G116:H122"/>
    <mergeCell ref="A122:B122"/>
    <mergeCell ref="A119:B119"/>
    <mergeCell ref="A118:B118"/>
    <mergeCell ref="G100:H100"/>
    <mergeCell ref="A158:H158"/>
    <mergeCell ref="A155:H155"/>
    <mergeCell ref="A140:B140"/>
    <mergeCell ref="A100:B100"/>
    <mergeCell ref="D132:D133"/>
    <mergeCell ref="E132:E133"/>
    <mergeCell ref="G132:H133"/>
    <mergeCell ref="F81:H81"/>
    <mergeCell ref="G96:H96"/>
    <mergeCell ref="F88:H88"/>
    <mergeCell ref="C95:D95"/>
    <mergeCell ref="A135:H135"/>
    <mergeCell ref="A116:B116"/>
    <mergeCell ref="A102:B102"/>
    <mergeCell ref="C102:D102"/>
    <mergeCell ref="E102:F102"/>
    <mergeCell ref="G102:H102"/>
    <mergeCell ref="A114:B114"/>
    <mergeCell ref="G109:H114"/>
    <mergeCell ref="G136:H138"/>
    <mergeCell ref="G140:H142"/>
    <mergeCell ref="A137:B137"/>
    <mergeCell ref="A113:B113"/>
    <mergeCell ref="F83:H83"/>
    <mergeCell ref="A58:C58"/>
    <mergeCell ref="D58:H58"/>
    <mergeCell ref="C50:E50"/>
    <mergeCell ref="D61:H61"/>
    <mergeCell ref="C68:H68"/>
    <mergeCell ref="A71:B71"/>
    <mergeCell ref="A73:B73"/>
    <mergeCell ref="E69:F69"/>
    <mergeCell ref="A62:C62"/>
    <mergeCell ref="D62:H62"/>
    <mergeCell ref="A65:C65"/>
    <mergeCell ref="D64:H64"/>
    <mergeCell ref="D63:H63"/>
    <mergeCell ref="A64:C64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A51:B51"/>
    <mergeCell ref="A52:B52"/>
    <mergeCell ref="C51:E51"/>
    <mergeCell ref="I14:P14"/>
    <mergeCell ref="F91:H91"/>
    <mergeCell ref="F89:H89"/>
    <mergeCell ref="A104:H104"/>
    <mergeCell ref="G95:H95"/>
    <mergeCell ref="A90:E90"/>
    <mergeCell ref="A117:B117"/>
    <mergeCell ref="A53:B53"/>
    <mergeCell ref="C53:E53"/>
    <mergeCell ref="D55:H55"/>
    <mergeCell ref="F90:H90"/>
    <mergeCell ref="E95:F95"/>
    <mergeCell ref="A95:B95"/>
    <mergeCell ref="A97:B97"/>
    <mergeCell ref="C100:D100"/>
    <mergeCell ref="A109:B109"/>
    <mergeCell ref="L109:M109"/>
    <mergeCell ref="A110:B110"/>
    <mergeCell ref="L110:M110"/>
    <mergeCell ref="A111:B111"/>
    <mergeCell ref="L111:M111"/>
    <mergeCell ref="A112:B112"/>
    <mergeCell ref="L112:M112"/>
    <mergeCell ref="A75:B75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05:E106">
      <formula1>"Attached Loft area,Attached Terrace area,Attached Mezzanine area"</formula1>
    </dataValidation>
    <dataValidation type="list" allowBlank="1" showInputMessage="1" showErrorMessage="1" sqref="F133 F106">
      <formula1>"45%,50%,55%,60%"</formula1>
    </dataValidation>
    <dataValidation type="list" allowBlank="1" showInputMessage="1" showErrorMessage="1" sqref="G160:H160">
      <formula1>"Gaurav Panchal,Kunal Kadam,Pranita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05 F132">
      <formula1>"Saleable area Loading :,Builder Saleable area"</formula1>
    </dataValidation>
    <dataValidation type="list" allowBlank="1" showInputMessage="1" showErrorMessage="1" sqref="B105:B106">
      <formula1>"Shop No. (Sale Plan),Sale / Rehab,Sale / Mhada"</formula1>
    </dataValidation>
    <dataValidation type="list" allowBlank="1" showInputMessage="1" showErrorMessage="1" sqref="B132:B133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64" max="16383" man="1"/>
    <brk id="207" max="16383" man="1"/>
    <brk id="250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74" t="s">
        <v>108</v>
      </c>
      <c r="C3" s="174"/>
      <c r="D3" s="174"/>
      <c r="E3" s="174"/>
      <c r="F3" s="174"/>
      <c r="G3" s="174"/>
      <c r="H3" s="174"/>
    </row>
    <row r="4" spans="1:9" x14ac:dyDescent="0.35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7"/>
      <c r="C4" s="47" t="s">
        <v>12</v>
      </c>
      <c r="D4" s="48" t="s">
        <v>180</v>
      </c>
      <c r="E4" s="48" t="s">
        <v>190</v>
      </c>
      <c r="F4" s="48" t="s">
        <v>174</v>
      </c>
      <c r="G4" s="48" t="s">
        <v>195</v>
      </c>
      <c r="H4" s="48" t="s">
        <v>213</v>
      </c>
      <c r="J4" t="s">
        <v>195</v>
      </c>
      <c r="K4" t="s">
        <v>211</v>
      </c>
    </row>
    <row r="5" spans="2:11" x14ac:dyDescent="0.35">
      <c r="B5" s="47"/>
      <c r="C5" s="47"/>
      <c r="D5" s="48" t="s">
        <v>181</v>
      </c>
      <c r="E5" s="48" t="s">
        <v>188</v>
      </c>
      <c r="F5" s="48" t="s">
        <v>210</v>
      </c>
      <c r="G5" s="48" t="s">
        <v>196</v>
      </c>
      <c r="H5" s="48" t="s">
        <v>214</v>
      </c>
    </row>
    <row r="6" spans="2:11" x14ac:dyDescent="0.35">
      <c r="B6" s="47"/>
      <c r="C6" s="47"/>
      <c r="D6" s="48" t="s">
        <v>182</v>
      </c>
      <c r="E6" s="48" t="s">
        <v>189</v>
      </c>
      <c r="F6" s="48" t="s">
        <v>211</v>
      </c>
      <c r="G6" s="48" t="s">
        <v>197</v>
      </c>
      <c r="H6" s="48" t="s">
        <v>227</v>
      </c>
    </row>
    <row r="7" spans="2:11" x14ac:dyDescent="0.35">
      <c r="B7" s="47"/>
      <c r="C7" s="47"/>
      <c r="D7" s="48" t="s">
        <v>183</v>
      </c>
      <c r="E7" s="48" t="s">
        <v>191</v>
      </c>
      <c r="F7" s="48" t="s">
        <v>212</v>
      </c>
      <c r="G7" s="48" t="s">
        <v>198</v>
      </c>
      <c r="H7" s="48" t="s">
        <v>215</v>
      </c>
    </row>
    <row r="8" spans="2:11" x14ac:dyDescent="0.35">
      <c r="B8" s="47"/>
      <c r="C8" s="47"/>
      <c r="D8" s="48" t="s">
        <v>184</v>
      </c>
      <c r="E8" s="48" t="s">
        <v>192</v>
      </c>
      <c r="F8" s="48"/>
      <c r="G8" s="48" t="s">
        <v>199</v>
      </c>
      <c r="H8" s="48" t="s">
        <v>216</v>
      </c>
    </row>
    <row r="9" spans="2:11" x14ac:dyDescent="0.35">
      <c r="B9" s="47"/>
      <c r="C9" s="47"/>
      <c r="D9" s="48" t="s">
        <v>185</v>
      </c>
      <c r="E9" s="48" t="s">
        <v>190</v>
      </c>
      <c r="F9" s="48"/>
      <c r="G9" s="48" t="s">
        <v>200</v>
      </c>
      <c r="H9" s="48" t="s">
        <v>217</v>
      </c>
    </row>
    <row r="10" spans="2:11" x14ac:dyDescent="0.35">
      <c r="B10" s="47"/>
      <c r="C10" s="47"/>
      <c r="D10" s="48" t="s">
        <v>186</v>
      </c>
      <c r="E10" s="48" t="s">
        <v>193</v>
      </c>
      <c r="F10" s="48"/>
      <c r="G10" s="48" t="s">
        <v>201</v>
      </c>
      <c r="H10" s="48" t="s">
        <v>218</v>
      </c>
    </row>
    <row r="11" spans="2:11" x14ac:dyDescent="0.35">
      <c r="B11" s="47"/>
      <c r="C11" s="47"/>
      <c r="D11" s="48" t="s">
        <v>187</v>
      </c>
      <c r="E11" s="48" t="s">
        <v>194</v>
      </c>
      <c r="F11" s="48"/>
      <c r="G11" s="48" t="s">
        <v>202</v>
      </c>
      <c r="H11" s="48" t="s">
        <v>219</v>
      </c>
    </row>
    <row r="12" spans="2:11" x14ac:dyDescent="0.35">
      <c r="B12" s="47"/>
      <c r="C12" s="47"/>
      <c r="D12" s="48"/>
      <c r="E12" s="48"/>
      <c r="F12" s="48"/>
      <c r="G12" s="48" t="s">
        <v>203</v>
      </c>
      <c r="H12" s="48" t="s">
        <v>220</v>
      </c>
    </row>
    <row r="13" spans="2:11" x14ac:dyDescent="0.35">
      <c r="B13" s="47"/>
      <c r="C13" s="47"/>
      <c r="D13" s="48"/>
      <c r="E13" s="48"/>
      <c r="F13" s="48"/>
      <c r="G13" s="48" t="s">
        <v>204</v>
      </c>
      <c r="H13" s="48" t="s">
        <v>221</v>
      </c>
    </row>
    <row r="14" spans="2:11" x14ac:dyDescent="0.35">
      <c r="B14" s="47"/>
      <c r="C14" s="47"/>
      <c r="D14" s="48"/>
      <c r="E14" s="48"/>
      <c r="F14" s="48"/>
      <c r="G14" s="48" t="s">
        <v>205</v>
      </c>
      <c r="H14" s="48" t="s">
        <v>222</v>
      </c>
    </row>
    <row r="15" spans="2:11" x14ac:dyDescent="0.35">
      <c r="B15" s="47"/>
      <c r="C15" s="47"/>
      <c r="D15" s="48"/>
      <c r="E15" s="48"/>
      <c r="F15" s="48"/>
      <c r="G15" s="48" t="s">
        <v>206</v>
      </c>
      <c r="H15" s="48" t="s">
        <v>223</v>
      </c>
    </row>
    <row r="16" spans="2:11" x14ac:dyDescent="0.35">
      <c r="B16" s="47"/>
      <c r="C16" s="47"/>
      <c r="D16" s="48"/>
      <c r="E16" s="48"/>
      <c r="F16" s="48"/>
      <c r="G16" s="48" t="s">
        <v>207</v>
      </c>
      <c r="H16" s="48" t="s">
        <v>224</v>
      </c>
    </row>
    <row r="17" spans="2:8" x14ac:dyDescent="0.35">
      <c r="B17" s="47"/>
      <c r="C17" s="47"/>
      <c r="D17" s="48"/>
      <c r="E17" s="48"/>
      <c r="F17" s="48"/>
      <c r="G17" s="48" t="s">
        <v>208</v>
      </c>
      <c r="H17" s="48" t="s">
        <v>225</v>
      </c>
    </row>
    <row r="18" spans="2:8" x14ac:dyDescent="0.35">
      <c r="B18" s="47"/>
      <c r="C18" s="47"/>
      <c r="D18" s="48"/>
      <c r="E18" s="48"/>
      <c r="F18" s="48"/>
      <c r="G18" s="48" t="s">
        <v>209</v>
      </c>
      <c r="H18" s="48" t="s">
        <v>226</v>
      </c>
    </row>
    <row r="24" spans="2:8" x14ac:dyDescent="0.35">
      <c r="C24" t="s">
        <v>171</v>
      </c>
    </row>
    <row r="25" spans="2:8" x14ac:dyDescent="0.35">
      <c r="C25" t="s">
        <v>228</v>
      </c>
    </row>
    <row r="26" spans="2:8" x14ac:dyDescent="0.35">
      <c r="C26" t="s">
        <v>229</v>
      </c>
    </row>
    <row r="27" spans="2:8" x14ac:dyDescent="0.35">
      <c r="C27" t="s">
        <v>230</v>
      </c>
    </row>
    <row r="28" spans="2:8" x14ac:dyDescent="0.35">
      <c r="C28" t="s">
        <v>231</v>
      </c>
    </row>
    <row r="29" spans="2:8" x14ac:dyDescent="0.35">
      <c r="C29" t="s">
        <v>232</v>
      </c>
    </row>
    <row r="30" spans="2:8" x14ac:dyDescent="0.35">
      <c r="C30" t="s">
        <v>171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2025-07-12T12:43:20Z</cp:lastPrinted>
  <dcterms:created xsi:type="dcterms:W3CDTF">2019-07-16T09:29:46Z</dcterms:created>
  <dcterms:modified xsi:type="dcterms:W3CDTF">2025-07-12T12:44:01Z</dcterms:modified>
</cp:coreProperties>
</file>