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4" i="1" l="1"/>
  <c r="J149" i="1"/>
  <c r="J150" i="1"/>
  <c r="E3" i="1" l="1"/>
  <c r="J98" i="1" l="1"/>
  <c r="J97" i="1"/>
  <c r="J96" i="1"/>
  <c r="J95" i="1"/>
  <c r="J70" i="1"/>
  <c r="J69" i="1"/>
  <c r="J68" i="1"/>
  <c r="J67" i="1"/>
  <c r="J84" i="1"/>
  <c r="J83" i="1"/>
  <c r="J82" i="1"/>
  <c r="J81" i="1"/>
  <c r="H60" i="1"/>
  <c r="H88" i="1"/>
  <c r="H74" i="1"/>
  <c r="J93" i="1" l="1"/>
  <c r="J94" i="1" s="1"/>
  <c r="J99" i="1" s="1"/>
  <c r="J92" i="1"/>
  <c r="C91" i="1" s="1"/>
  <c r="D91" i="1" s="1"/>
  <c r="J90" i="1"/>
  <c r="D100" i="1"/>
  <c r="D99" i="1"/>
  <c r="D98" i="1"/>
  <c r="D97" i="1"/>
  <c r="D96" i="1"/>
  <c r="D95" i="1"/>
  <c r="D94" i="1"/>
  <c r="D93" i="1"/>
  <c r="J91" i="1"/>
  <c r="J65" i="1"/>
  <c r="J66" i="1" s="1"/>
  <c r="J71" i="1" s="1"/>
  <c r="J72" i="1" s="1"/>
  <c r="C64" i="1" s="1"/>
  <c r="D65" i="1"/>
  <c r="J63" i="1"/>
  <c r="D72" i="1"/>
  <c r="D71" i="1"/>
  <c r="D70" i="1"/>
  <c r="D69" i="1"/>
  <c r="D68" i="1"/>
  <c r="D67" i="1"/>
  <c r="D66" i="1"/>
  <c r="J64" i="1"/>
  <c r="C63" i="1" s="1"/>
  <c r="D63" i="1" s="1"/>
  <c r="J62" i="1"/>
  <c r="J79" i="1"/>
  <c r="J80" i="1" s="1"/>
  <c r="J85" i="1" s="1"/>
  <c r="J86" i="1" s="1"/>
  <c r="C78" i="1" s="1"/>
  <c r="D79" i="1"/>
  <c r="J77" i="1"/>
  <c r="D86" i="1"/>
  <c r="D85" i="1"/>
  <c r="D84" i="1"/>
  <c r="D83" i="1"/>
  <c r="D82" i="1"/>
  <c r="D81" i="1"/>
  <c r="D80" i="1"/>
  <c r="J78" i="1"/>
  <c r="C77" i="1" s="1"/>
  <c r="J76" i="1"/>
  <c r="J100" i="1" l="1"/>
  <c r="C92" i="1" s="1"/>
  <c r="G91" i="1" s="1"/>
  <c r="E63" i="1"/>
  <c r="I59" i="1" s="1"/>
  <c r="C61" i="1" s="1"/>
  <c r="D64" i="1"/>
  <c r="G63" i="1"/>
  <c r="E77" i="1"/>
  <c r="D78" i="1"/>
  <c r="G77" i="1"/>
  <c r="D77" i="1"/>
  <c r="D92" i="1" l="1"/>
  <c r="E91" i="1"/>
  <c r="I87" i="1" s="1"/>
  <c r="C89" i="1" s="1"/>
  <c r="I73" i="1"/>
  <c r="C75" i="1" s="1"/>
  <c r="D158" i="1" l="1"/>
  <c r="F158" i="1" s="1"/>
  <c r="D183" i="1"/>
  <c r="F183" i="1" s="1"/>
  <c r="D180" i="1"/>
  <c r="F180" i="1" s="1"/>
  <c r="D169" i="1"/>
  <c r="F169" i="1" s="1"/>
  <c r="D168" i="1"/>
  <c r="F168" i="1" s="1"/>
  <c r="D178" i="1"/>
  <c r="F178" i="1" s="1"/>
  <c r="D177" i="1"/>
  <c r="F177" i="1" s="1"/>
  <c r="D174" i="1"/>
  <c r="F174" i="1" s="1"/>
  <c r="D173" i="1"/>
  <c r="F173" i="1" s="1"/>
  <c r="D166" i="1"/>
  <c r="F166" i="1" s="1"/>
  <c r="D165" i="1"/>
  <c r="F165" i="1" s="1"/>
  <c r="I164" i="1"/>
  <c r="I163" i="1"/>
  <c r="D162" i="1"/>
  <c r="F162" i="1" s="1"/>
  <c r="D161" i="1"/>
  <c r="F161" i="1" s="1"/>
  <c r="J161" i="1" s="1"/>
  <c r="D148" i="1"/>
  <c r="F148" i="1" s="1"/>
  <c r="J148" i="1" s="1"/>
  <c r="D147" i="1"/>
  <c r="F147" i="1" s="1"/>
  <c r="J147" i="1" s="1"/>
  <c r="D146" i="1"/>
  <c r="F146" i="1" s="1"/>
  <c r="J146" i="1" s="1"/>
  <c r="D145" i="1"/>
  <c r="F145" i="1" s="1"/>
  <c r="J145" i="1" s="1"/>
  <c r="J158" i="1" l="1"/>
  <c r="G151" i="1"/>
  <c r="G135" i="1"/>
  <c r="D143" i="1"/>
  <c r="F143" i="1" s="1"/>
  <c r="J143" i="1" s="1"/>
  <c r="D142" i="1"/>
  <c r="D125" i="1" l="1"/>
  <c r="F142" i="1"/>
  <c r="I148" i="1"/>
  <c r="I147" i="1"/>
  <c r="J142" i="1" l="1"/>
  <c r="F125" i="1"/>
  <c r="G180" i="1"/>
  <c r="D182" i="1"/>
  <c r="F182" i="1" s="1"/>
  <c r="D181" i="1"/>
  <c r="F181" i="1" s="1"/>
  <c r="G173" i="1"/>
  <c r="D176" i="1"/>
  <c r="F176" i="1" s="1"/>
  <c r="D175" i="1"/>
  <c r="F175" i="1" s="1"/>
  <c r="G168" i="1"/>
  <c r="D164" i="1"/>
  <c r="F164" i="1" s="1"/>
  <c r="D163" i="1"/>
  <c r="F163" i="1" s="1"/>
  <c r="J163" i="1" s="1"/>
  <c r="G161" i="1"/>
  <c r="D159" i="1"/>
  <c r="F159" i="1" s="1"/>
  <c r="I159" i="1"/>
  <c r="I156" i="1"/>
  <c r="D157" i="1"/>
  <c r="F157" i="1" s="1"/>
  <c r="J157" i="1" s="1"/>
  <c r="D156" i="1"/>
  <c r="F156" i="1" s="1"/>
  <c r="J156" i="1" s="1"/>
  <c r="D155" i="1"/>
  <c r="F155" i="1" s="1"/>
  <c r="J155" i="1" s="1"/>
  <c r="D154" i="1"/>
  <c r="F154" i="1" s="1"/>
  <c r="J154" i="1" s="1"/>
  <c r="D153" i="1"/>
  <c r="F153" i="1" s="1"/>
  <c r="J153" i="1" s="1"/>
  <c r="I151" i="1"/>
  <c r="D152" i="1"/>
  <c r="F152" i="1" s="1"/>
  <c r="J152" i="1" s="1"/>
  <c r="D151" i="1"/>
  <c r="F151" i="1" s="1"/>
  <c r="J151" i="1" s="1"/>
  <c r="I146" i="1"/>
  <c r="I145" i="1"/>
  <c r="D141" i="1"/>
  <c r="F141" i="1" s="1"/>
  <c r="J141" i="1" s="1"/>
  <c r="D140" i="1"/>
  <c r="F140" i="1" s="1"/>
  <c r="J140" i="1" s="1"/>
  <c r="D139" i="1"/>
  <c r="F139" i="1" s="1"/>
  <c r="J139" i="1" s="1"/>
  <c r="D138" i="1"/>
  <c r="F138" i="1" s="1"/>
  <c r="J138" i="1" s="1"/>
  <c r="D137" i="1"/>
  <c r="F137" i="1" s="1"/>
  <c r="J137" i="1" s="1"/>
  <c r="D136" i="1"/>
  <c r="F136" i="1" s="1"/>
  <c r="J136" i="1" s="1"/>
  <c r="D135" i="1"/>
  <c r="F135" i="1" s="1"/>
  <c r="J135" i="1" s="1"/>
  <c r="F127" i="1" l="1"/>
  <c r="F126" i="1"/>
  <c r="F128" i="1"/>
  <c r="D127" i="1"/>
  <c r="D126" i="1"/>
  <c r="F121" i="1"/>
  <c r="F120" i="1"/>
  <c r="D121" i="1"/>
  <c r="C127" i="1"/>
  <c r="C121" i="1"/>
  <c r="D120" i="1"/>
  <c r="C120" i="1"/>
  <c r="F6" i="5"/>
  <c r="G6" i="5" s="1"/>
  <c r="F7" i="5"/>
  <c r="G7" i="5" s="1"/>
  <c r="F8" i="5"/>
  <c r="G8" i="5" s="1"/>
  <c r="F9" i="5"/>
  <c r="G9" i="5" s="1"/>
  <c r="F10" i="5"/>
  <c r="G10" i="5" s="1"/>
  <c r="F11" i="5"/>
  <c r="G11" i="5" s="1"/>
  <c r="F5" i="5"/>
  <c r="G5" i="5" s="1"/>
  <c r="D128" i="1" l="1"/>
  <c r="F122" i="1"/>
  <c r="D122" i="1"/>
  <c r="C128" i="1"/>
  <c r="C122" i="1"/>
  <c r="G12" i="5"/>
  <c r="C13" i="1" l="1"/>
  <c r="E7" i="1" l="1"/>
  <c r="E40" i="1" l="1"/>
  <c r="D198" i="1" l="1"/>
  <c r="F117" i="1"/>
  <c r="G46" i="1"/>
  <c r="G47" i="1" s="1"/>
  <c r="C46" i="1"/>
  <c r="C47" i="1" s="1"/>
  <c r="E41" i="1"/>
  <c r="D51"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<sst xmlns="http://schemas.openxmlformats.org/spreadsheetml/2006/main" count="432" uniqueCount="250">
  <si>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</si>
  <si>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</si>
  <si>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</si>
  <si>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</si>
  <si>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</si>
  <si>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</si>
  <si>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</si>
  <si>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</si>
  <si>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</si>
  <si>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</si>
  <si>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</si>
  <si>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</si>
  <si>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</si>
  <si>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</si>
  <si>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</si>
  <si>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</si>
  <si>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</si>
  <si>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</si>
  <si>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</si>
  <si>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</si>
  <si>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</si>
  <si>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</si>
  <si>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</si>
  <si>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</si>
  <si>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</si>
  <si>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</si>
  <si>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</si>
  <si>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</si>
  <si>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</si>
  <si>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</si>
  <si>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</si>
  <si>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</si>
  <si>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</si>
  <si>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</si>
  <si>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</si>
  <si>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</si>
  <si>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</si>
  <si>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</si>
  <si>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</si>
  <si>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</si>
  <si>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</si>
  <si>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</si>
  <si>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</si>
  <si>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</si>
  <si>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</si>
  <si>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</si>
  <si>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</si>
  <si>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</si>
  <si>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</si>
  <si>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</si>
  <si>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</si>
  <si>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</si>
  <si>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</si>
  <si>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</si>
  <si>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</si>
  <si>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</si>
  <si>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</si>
  <si>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</si>
  <si>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</si>
  <si>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</si>
  <si>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</si>
  <si>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</si>
  <si>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</si>
  <si>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</si>
  <si>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</si>
  <si>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</si>
  <si>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</si>
  <si>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</si>
  <si>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</si>
  <si>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</si>
  <si>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</si>
  <si>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</si>
  <si>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</si>
  <si>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</si>
  <si>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</si>
  <si>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</si>
  <si>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</si>
  <si>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</si>
  <si>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</si>
  <si>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</si>
  <si>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</si>
  <si>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</si>
  <si>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</si>
  <si>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</si>
  <si>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</si>
  <si>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</si>
  <si>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</si>
  <si>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</si>
  <si>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</si>
  <si>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</si>
  <si>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</si>
  <si>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</si>
  <si>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</si>
  <si>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</si>
  <si>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</si>
  <si>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</si>
  <si>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</si>
  <si>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</si>
  <si>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</si>
  <si>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</si>
  <si>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</si>
  <si>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</si>
  <si>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</si>
  <si>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</si>
  <si>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</si>
  <si>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</si>
  <si>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</si>
  <si>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</si>
  <si>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</si>
  <si>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</si>
  <si>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</si>
  <si>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</si>
  <si>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</si>
  <si>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</si>
  <si>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</si>
  <si>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</si>
  <si>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</si>
  <si>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</si>
  <si>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</si>
  <si>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</si>
  <si>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</si>
  <si>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</si>
  <si>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</si>
  <si>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</si>
  <si>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</si>
  <si>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</si>
  <si>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</si>
  <si>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</si>
  <si>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</si>
  <si>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</si>
  <si>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</si>
  <si>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</si>
  <si>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</si>
  <si>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</si>
  <si>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</si>
  <si>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</si>
  <si>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</si>
  <si>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</si>
  <si>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</si>
  <si>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</si>
  <si>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</si>
  <si>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</si>
  <si>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</si>
  <si>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</si>
  <si>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</si>
  <si>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</si>
  <si>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</si>
  <si>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</si>
  <si>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</si>
  <si>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</si>
  <si>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</si>
  <si>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</si>
  <si>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</si>
  <si>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</si>
  <si>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</si>
  <si>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</si>
  <si>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</si>
  <si>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</si>
  <si>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</si>
  <si>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</si>
  <si>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</si>
  <si>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</si>
  <si>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</si>
  <si>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</si>
  <si>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</si>
  <si>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Goregaon</t>
  </si>
  <si>
    <t xml:space="preserve">M/s. Vastu Realities Builders &amp; Developers </t>
  </si>
  <si>
    <t>Contact Details ( Name &amp; Contect No.)</t>
  </si>
  <si>
    <t>Umroli</t>
  </si>
  <si>
    <t>Palghar</t>
  </si>
  <si>
    <t>03 Building</t>
  </si>
  <si>
    <t>05/08/2015.</t>
  </si>
  <si>
    <t>Wheather the construction is as per approved Building plan : Under Construction</t>
  </si>
  <si>
    <t>Wing A</t>
  </si>
  <si>
    <t>Shop</t>
  </si>
  <si>
    <t>1st &amp; 2nd Floor</t>
  </si>
  <si>
    <t>1st &amp; 2nd Floor for Residential</t>
  </si>
  <si>
    <t>1BHK</t>
  </si>
  <si>
    <t>Wing B</t>
  </si>
  <si>
    <t xml:space="preserve">1st &amp; 2nd Floor </t>
  </si>
  <si>
    <t>2BHK</t>
  </si>
  <si>
    <t>1RK</t>
  </si>
  <si>
    <t>Wing C</t>
  </si>
  <si>
    <t>Ground Floor for Parking</t>
  </si>
  <si>
    <t>Raised 2nd Floor (3rd Floor)</t>
  </si>
  <si>
    <t>Padghe Road</t>
  </si>
  <si>
    <t>Diya Enclave CHS</t>
  </si>
  <si>
    <t>1.3Km from Umroli Railway Station</t>
  </si>
  <si>
    <t>Middle Class</t>
  </si>
  <si>
    <t>Developing</t>
  </si>
  <si>
    <t xml:space="preserve">Cement, Aggregate, Steel, etc </t>
  </si>
  <si>
    <t>Open Plot</t>
  </si>
  <si>
    <t>Slum</t>
  </si>
  <si>
    <t>Building No. 1(Wing A, B, C)</t>
  </si>
  <si>
    <t>Survey No.</t>
  </si>
  <si>
    <t>MAHSUL/KSH.1/BJ1/ANAP/SR/234/15</t>
  </si>
  <si>
    <t>Building. 1(Wing B &amp; C) = P99000022684
Building. 1(Wing A) = Not Registered</t>
  </si>
  <si>
    <t>Ground Floor for Commercial &amp; Residential</t>
  </si>
  <si>
    <t>Groound Floor for Commercial &amp; Residential</t>
  </si>
  <si>
    <t>101, 201</t>
  </si>
  <si>
    <t>102, 202</t>
  </si>
  <si>
    <t>103, 203</t>
  </si>
  <si>
    <t>104, 204</t>
  </si>
  <si>
    <t>105, 205</t>
  </si>
  <si>
    <t>106, 206</t>
  </si>
  <si>
    <t>Raised 2nd Floor (3rd Floor) (Part Terrace Area)</t>
  </si>
  <si>
    <t>Building No.1 (Wing A, B, C) = Gr + 4th Floor</t>
  </si>
  <si>
    <t xml:space="preserve">Flats - 42, Shops - 14 </t>
  </si>
  <si>
    <t>Valid Up to: Building No.1 (Wing A, B, C) = Gr + 2nd Floor + Raised 2nd Floor</t>
  </si>
  <si>
    <t>Building No.1 (Wing A, B, C) = Gr + 2nd Floor + Raised 2nd Floor</t>
  </si>
  <si>
    <t>100000/-</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</si>
  <si>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</si>
  <si>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</si>
  <si>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</si>
  <si>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</si>
  <si>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</si>
  <si>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</si>
  <si>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</si>
  <si>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</si>
  <si>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</si>
  <si>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</si>
  <si>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</si>
  <si>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</si>
  <si>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</si>
  <si>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</si>
  <si>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</si>
  <si>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</si>
  <si>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</si>
  <si>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</si>
  <si>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 Building No.1 (Wing A) = Gr + 4th Floor</t>
  </si>
  <si>
    <t xml:space="preserve"> Building No.1 (Wing B) = Gr + 4th Floor</t>
  </si>
  <si>
    <t>Building No.1 (Wing C) = Gr + 4th Floor</t>
  </si>
  <si>
    <t>Office No. 1031, Wing J, Akshar Business Park, Plot No. 03 Sector 25, Near APMC Market,
Vashi, Navi Mumbai, Maharashtra 400703 TEL: 022-46090378/79/8
E mail : vsjcapf@gmail.com. Web site : www.vsjadon.com</t>
  </si>
  <si>
    <t>Saleable area
Loading</t>
  </si>
  <si>
    <t>2800 too 3500</t>
  </si>
  <si>
    <t>Other Charges</t>
  </si>
  <si>
    <t>4500 to 6000</t>
  </si>
  <si>
    <t>trupti</t>
  </si>
  <si>
    <t>by sachin siron 22/05/2024</t>
  </si>
  <si>
    <t>Latitude,Longitude</t>
  </si>
  <si>
    <t>19.754490548,72.76685283</t>
  </si>
  <si>
    <t>Location Link</t>
  </si>
  <si>
    <t>https://maps.app.goo.gl/MxThNzenA91k9pds8</t>
  </si>
  <si>
    <t xml:space="preserve">As per </t>
  </si>
  <si>
    <t>plz check from your end</t>
  </si>
  <si>
    <t>As per RERA - 28/08/2026.</t>
  </si>
  <si>
    <t>Shree Puram 2</t>
  </si>
  <si>
    <t>Pooja</t>
  </si>
  <si>
    <t>Yadnyesh Patil</t>
  </si>
  <si>
    <r>
      <t xml:space="preserve">1. Wing A = Construction work same as last visit (09/08/2024).
    Wing B = Construction work same as last visit (13/01/2025).
    Wing C = Construction work has incresed as compare to last visited date 05/04/2025 but at the time of visit no labour or no active work found on site.
2. We considered  Saleable area for shops as per our calculation &amp; for Flat as per Builder area sheet.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t>
    </r>
    <r>
      <rPr>
        <b/>
        <sz val="12"/>
        <color theme="1"/>
        <rFont val="Times New Roman"/>
        <family val="1"/>
      </rPr>
      <t>8.</t>
    </r>
    <r>
      <rPr>
        <b/>
        <sz val="12"/>
        <color rgb="FFFF0000"/>
        <rFont val="Times New Roman"/>
        <family val="1"/>
      </rPr>
      <t xml:space="preserve"> The project has received 1st CC on 05/08/2015, But Construction work is still incomplete.
</t>
    </r>
    <r>
      <rPr>
        <b/>
        <sz val="12"/>
        <color theme="1"/>
        <rFont val="Times New Roman"/>
        <family val="1"/>
      </rPr>
      <t>9. As per site visit dtd. 09/03/2022, for Wing A, two slabs were constructed; for Wing B, three slabs were constructed; and for Wing C, plinth work was in process. 
And now, as per the current visit dtd. 10/05/2024, for wing A and B, only 3 slabs, bricks, and external plaster are done, and for wing C, two slabs are done. In the last two years, construction work has been done on very very slow speed.
10. Recommended Rates/Other Charges of the Property have been revised on 22/05/2024.
11. We have changed saleable area as per discussed with the bank officials on 22/05/2024.
12. As per site person, A wing belongs to other builder. Please check from your end.
13. On site we met Mr. Vijay : 8669517347.</t>
    </r>
    <r>
      <rPr>
        <b/>
        <sz val="12"/>
        <rFont val="Times New Roman"/>
        <family val="1"/>
      </rPr>
      <t xml:space="preserve">
7. On Site, we meet Mr.Vikas(Supervisor)(9026150981).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</si>
</sst>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name val="Calibri"/>
      <family val="2"/>
    </font>
    <font>
      <b/>
      <sz val="12"/>
      <color rgb="FFFF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9">
    <xf numFmtId="0" fontId="0" fillId="0" borderId="0"/>
    <xf numFmtId="0" fontId="3" fillId="0" borderId="0"/>
    <xf numFmtId="0" fontId="4" fillId="0" borderId="0"/>
    <xf numFmtId="0" fontId="2" fillId="0" borderId="0"/>
    <xf numFmtId="0" fontId="4" fillId="0" borderId="0"/>
    <xf numFmtId="0" fontId="1" fillId="0" borderId="0"/>
    <xf numFmtId="164" fontId="4" fillId="0" borderId="0" applyFont="0" applyFill="0" applyBorder="0" applyAlignment="0" applyProtection="0"/>
    <xf numFmtId="0" fontId="18" fillId="0" borderId="0"/>
    <xf numFmtId="0" fontId="21" fillId="0" borderId="0" applyNumberFormat="0" applyFill="0" applyBorder="0" applyAlignment="0" applyProtection="0"/>
  </cellStyleXfs>
  <cellXfs count="193">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applyAlignment="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7" fillId="0" borderId="0" xfId="1" applyFont="1" applyBorder="1" applyAlignment="1" applyProtection="1">
      <alignment vertical="top"/>
      <protection locked="0"/>
    </xf>
    <xf numFmtId="0" fontId="7" fillId="0" borderId="0" xfId="1" applyFont="1" applyBorder="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top" wrapText="1"/>
      <protection locked="0"/>
    </xf>
    <xf numFmtId="0" fontId="11" fillId="0" borderId="5" xfId="1" applyFont="1" applyFill="1" applyBorder="1" applyAlignment="1" applyProtection="1">
      <alignment horizontal="center" vertical="top"/>
      <protection locked="0"/>
    </xf>
    <xf numFmtId="0" fontId="6" fillId="0" borderId="12" xfId="1" applyFont="1" applyBorder="1" applyProtection="1">
      <protection hidden="1"/>
    </xf>
    <xf numFmtId="0" fontId="4" fillId="0" borderId="0" xfId="4" applyFont="1"/>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1" fillId="0" borderId="1" xfId="5" applyFont="1" applyBorder="1" applyAlignment="1">
      <alignment horizontal="center" vertical="center"/>
    </xf>
    <xf numFmtId="0" fontId="4" fillId="0" borderId="1" xfId="4" applyFont="1" applyBorder="1" applyAlignment="1">
      <alignment horizontal="center" vertical="center"/>
    </xf>
    <xf numFmtId="1" fontId="5" fillId="0" borderId="1" xfId="1" applyNumberFormat="1" applyFont="1" applyFill="1" applyBorder="1" applyAlignment="1" applyProtection="1">
      <alignment horizontal="center" vertical="center" wrapText="1"/>
      <protection locked="0"/>
    </xf>
    <xf numFmtId="0" fontId="11"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center"/>
      <protection locked="0"/>
    </xf>
    <xf numFmtId="0" fontId="11" fillId="0" borderId="6" xfId="1" applyFont="1" applyFill="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1" fillId="0" borderId="8" xfId="1" applyFont="1" applyBorder="1" applyAlignment="1" applyProtection="1">
      <alignment horizontal="center" wrapText="1"/>
      <protection locked="0"/>
    </xf>
    <xf numFmtId="1" fontId="5" fillId="0" borderId="1"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top" wrapText="1"/>
      <protection locked="0"/>
    </xf>
    <xf numFmtId="0" fontId="11" fillId="0" borderId="1" xfId="1" applyFont="1" applyFill="1" applyBorder="1" applyAlignment="1" applyProtection="1">
      <alignment horizontal="center" vertical="top"/>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0" fontId="6" fillId="0" borderId="11" xfId="1" applyFont="1" applyFill="1" applyBorder="1" applyProtection="1">
      <protection hidden="1"/>
    </xf>
    <xf numFmtId="0" fontId="11" fillId="0" borderId="0" xfId="1" applyFont="1" applyFill="1" applyBorder="1" applyProtection="1">
      <protection hidden="1"/>
    </xf>
    <xf numFmtId="0" fontId="11" fillId="0" borderId="13" xfId="1" applyFont="1" applyBorder="1" applyProtection="1">
      <protection hidden="1"/>
    </xf>
    <xf numFmtId="0" fontId="19" fillId="0" borderId="0" xfId="0" applyFont="1"/>
    <xf numFmtId="0" fontId="13" fillId="0" borderId="0" xfId="0" applyFont="1" applyFill="1" applyBorder="1" applyProtection="1">
      <protection hidden="1"/>
    </xf>
    <xf numFmtId="0" fontId="11" fillId="0" borderId="13" xfId="1" applyFont="1" applyBorder="1"/>
    <xf numFmtId="0" fontId="13" fillId="0" borderId="13" xfId="0" applyNumberFormat="1" applyFont="1" applyBorder="1" applyProtection="1">
      <protection hidden="1"/>
    </xf>
    <xf numFmtId="1" fontId="19" fillId="0" borderId="13" xfId="0" applyNumberFormat="1" applyFont="1" applyBorder="1"/>
    <xf numFmtId="2" fontId="19" fillId="0" borderId="0" xfId="0" applyNumberFormat="1" applyFont="1"/>
    <xf numFmtId="0" fontId="19" fillId="0" borderId="0" xfId="0" applyFont="1" applyBorder="1"/>
    <xf numFmtId="165" fontId="19" fillId="0" borderId="0" xfId="0" applyNumberFormat="1" applyFont="1"/>
    <xf numFmtId="2" fontId="13" fillId="0" borderId="0" xfId="0" applyNumberFormat="1" applyFont="1" applyBorder="1" applyProtection="1">
      <protection hidden="1"/>
    </xf>
    <xf numFmtId="1" fontId="19" fillId="0" borderId="13" xfId="0" applyNumberFormat="1" applyFont="1" applyBorder="1" applyAlignment="1">
      <alignment horizontal="right"/>
    </xf>
    <xf numFmtId="2" fontId="19" fillId="0" borderId="0" xfId="0" applyNumberFormat="1" applyFont="1" applyBorder="1"/>
    <xf numFmtId="0" fontId="13" fillId="0" borderId="14" xfId="0" applyFont="1" applyFill="1" applyBorder="1" applyProtection="1">
      <protection hidden="1"/>
    </xf>
    <xf numFmtId="1" fontId="19" fillId="0" borderId="15" xfId="0" applyNumberFormat="1" applyFont="1" applyBorder="1"/>
    <xf numFmtId="1" fontId="6" fillId="0" borderId="0" xfId="1" applyNumberFormat="1" applyFont="1" applyAlignment="1">
      <alignment horizontal="center" vertical="center"/>
    </xf>
    <xf numFmtId="9" fontId="7" fillId="0" borderId="1" xfId="1" applyNumberFormat="1"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4" fontId="6" fillId="0" borderId="0" xfId="1" applyNumberFormat="1" applyFont="1"/>
    <xf numFmtId="0" fontId="11" fillId="0" borderId="1" xfId="1" applyFont="1" applyFill="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top"/>
      <protection locked="0"/>
    </xf>
    <xf numFmtId="0" fontId="11" fillId="2" borderId="1" xfId="1" applyFont="1" applyFill="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2" fillId="0" borderId="9" xfId="1" applyFont="1" applyFill="1" applyBorder="1" applyAlignment="1" applyProtection="1">
      <alignment horizontal="left" vertical="top" wrapText="1"/>
      <protection locked="0"/>
    </xf>
    <xf numFmtId="0" fontId="12" fillId="0" borderId="10"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2" borderId="1" xfId="1" applyNumberFormat="1" applyFont="1" applyFill="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5" fillId="0" borderId="3" xfId="1" applyFont="1" applyFill="1" applyBorder="1" applyAlignment="1" applyProtection="1">
      <alignment horizontal="left" vertical="top"/>
      <protection locked="0"/>
    </xf>
    <xf numFmtId="0" fontId="11" fillId="0" borderId="3" xfId="1" applyFont="1" applyFill="1" applyBorder="1" applyAlignment="1" applyProtection="1">
      <alignment horizontal="left" vertical="top" wrapText="1"/>
      <protection locked="0"/>
    </xf>
    <xf numFmtId="0" fontId="7" fillId="0" borderId="23" xfId="1" applyFont="1" applyFill="1" applyBorder="1" applyAlignment="1" applyProtection="1">
      <alignment horizontal="left" vertical="top" wrapText="1"/>
      <protection locked="0"/>
    </xf>
    <xf numFmtId="0" fontId="7" fillId="0" borderId="24" xfId="1" applyFont="1" applyFill="1" applyBorder="1" applyAlignment="1" applyProtection="1">
      <alignment horizontal="left" vertical="top" wrapText="1"/>
      <protection locked="0"/>
    </xf>
    <xf numFmtId="1" fontId="5" fillId="0" borderId="1" xfId="1" applyNumberFormat="1" applyFont="1" applyFill="1" applyBorder="1" applyAlignment="1" applyProtection="1">
      <alignment horizontal="center" vertical="center" wrapText="1"/>
      <protection locked="0"/>
    </xf>
    <xf numFmtId="0" fontId="12" fillId="0" borderId="5"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6" xfId="1" applyFont="1" applyFill="1" applyBorder="1" applyAlignment="1" applyProtection="1">
      <alignment horizontal="left" vertical="top" wrapText="1"/>
      <protection locked="0"/>
    </xf>
    <xf numFmtId="0" fontId="12" fillId="0" borderId="28" xfId="1" applyFont="1" applyFill="1" applyBorder="1" applyAlignment="1" applyProtection="1">
      <alignment horizontal="left" vertical="top" wrapText="1"/>
      <protection locked="0"/>
    </xf>
    <xf numFmtId="0" fontId="11" fillId="0" borderId="5" xfId="1" applyFont="1" applyFill="1" applyBorder="1" applyAlignment="1" applyProtection="1">
      <alignment horizontal="center" vertical="top" wrapText="1"/>
      <protection locked="0"/>
    </xf>
    <xf numFmtId="0" fontId="11" fillId="0" borderId="1" xfId="1" applyFont="1" applyFill="1" applyBorder="1" applyAlignment="1" applyProtection="1">
      <alignment horizontal="center" vertical="top" wrapText="1"/>
      <protection locked="0"/>
    </xf>
    <xf numFmtId="0" fontId="11" fillId="0" borderId="9" xfId="1" applyFont="1" applyFill="1" applyBorder="1" applyAlignment="1" applyProtection="1">
      <alignment horizontal="center" vertical="top" wrapText="1"/>
      <protection locked="0"/>
    </xf>
    <xf numFmtId="0" fontId="11" fillId="0" borderId="10" xfId="1" applyFont="1" applyFill="1" applyBorder="1" applyAlignment="1" applyProtection="1">
      <alignment horizontal="center" vertical="top" wrapText="1"/>
      <protection locked="0"/>
    </xf>
    <xf numFmtId="0" fontId="11" fillId="0" borderId="28" xfId="1" applyFont="1" applyFill="1" applyBorder="1" applyAlignment="1" applyProtection="1">
      <alignment horizontal="center" vertical="top" wrapText="1"/>
      <protection locked="0"/>
    </xf>
    <xf numFmtId="1" fontId="6" fillId="0" borderId="9" xfId="0" applyNumberFormat="1" applyFont="1" applyBorder="1" applyAlignment="1" applyProtection="1">
      <alignment horizontal="center" vertical="top" wrapText="1"/>
      <protection locked="0"/>
    </xf>
    <xf numFmtId="1" fontId="6" fillId="0" borderId="16" xfId="0" applyNumberFormat="1" applyFont="1" applyBorder="1" applyAlignment="1" applyProtection="1">
      <alignment horizontal="center" vertical="top" wrapText="1"/>
      <protection locked="0"/>
    </xf>
    <xf numFmtId="1" fontId="6" fillId="0" borderId="10" xfId="0" applyNumberFormat="1" applyFont="1" applyBorder="1" applyAlignment="1" applyProtection="1">
      <alignment horizontal="center" vertical="top" wrapText="1"/>
      <protection locked="0"/>
    </xf>
    <xf numFmtId="0" fontId="11" fillId="0" borderId="4" xfId="1" applyFont="1" applyFill="1" applyBorder="1" applyAlignment="1" applyProtection="1">
      <alignment horizontal="left" vertical="top"/>
      <protection locked="0"/>
    </xf>
    <xf numFmtId="0" fontId="7" fillId="0" borderId="1" xfId="1" applyFont="1" applyFill="1" applyBorder="1" applyAlignment="1" applyProtection="1">
      <alignment horizontal="left" vertical="top"/>
      <protection locked="0"/>
    </xf>
    <xf numFmtId="0" fontId="6" fillId="2"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165" fontId="5" fillId="0" borderId="1" xfId="1" applyNumberFormat="1" applyFont="1" applyFill="1" applyBorder="1" applyAlignment="1" applyProtection="1">
      <alignment horizontal="left" vertical="top"/>
      <protection locked="0"/>
    </xf>
    <xf numFmtId="0" fontId="9" fillId="0" borderId="9" xfId="1" applyFont="1" applyBorder="1" applyAlignment="1" applyProtection="1">
      <alignment horizontal="left"/>
      <protection locked="0"/>
    </xf>
    <xf numFmtId="0" fontId="9" fillId="0" borderId="16" xfId="1" applyFont="1" applyBorder="1" applyAlignment="1" applyProtection="1">
      <alignment horizontal="left"/>
      <protection locked="0"/>
    </xf>
    <xf numFmtId="0" fontId="9" fillId="0" borderId="10" xfId="1" applyFont="1" applyBorder="1" applyAlignment="1" applyProtection="1">
      <alignment horizontal="left"/>
      <protection locked="0"/>
    </xf>
    <xf numFmtId="0" fontId="7" fillId="0" borderId="1" xfId="1" applyFont="1" applyFill="1" applyBorder="1" applyAlignment="1" applyProtection="1">
      <alignmen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1" fillId="0" borderId="1" xfId="1" applyFont="1" applyFill="1" applyBorder="1" applyAlignment="1" applyProtection="1">
      <alignment horizontal="left" vertical="center" wrapText="1"/>
      <protection locked="0"/>
    </xf>
    <xf numFmtId="0" fontId="11" fillId="0" borderId="1" xfId="1" applyFont="1" applyBorder="1" applyAlignment="1" applyProtection="1">
      <alignment horizontal="center"/>
      <protection locked="0"/>
    </xf>
    <xf numFmtId="2" fontId="5"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21" fillId="0" borderId="9" xfId="8" applyBorder="1" applyAlignment="1" applyProtection="1">
      <alignment horizontal="left"/>
      <protection locked="0"/>
    </xf>
    <xf numFmtId="0" fontId="6" fillId="0" borderId="16" xfId="1" applyFont="1" applyBorder="1" applyAlignment="1" applyProtection="1">
      <alignment horizontal="left"/>
      <protection locked="0"/>
    </xf>
    <xf numFmtId="0" fontId="6" fillId="0" borderId="10" xfId="1" applyFont="1" applyBorder="1" applyAlignment="1" applyProtection="1">
      <alignment horizontal="left"/>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2" borderId="1" xfId="1" applyFont="1" applyFill="1" applyBorder="1" applyAlignment="1" applyProtection="1">
      <alignment horizontal="left" vertical="top" wrapText="1"/>
      <protection locked="0"/>
    </xf>
    <xf numFmtId="0" fontId="11" fillId="0" borderId="1" xfId="1" applyFont="1" applyBorder="1" applyAlignment="1" applyProtection="1">
      <alignment horizontal="left"/>
      <protection locked="0"/>
    </xf>
    <xf numFmtId="2" fontId="5" fillId="0" borderId="1" xfId="1" applyNumberFormat="1" applyFont="1" applyFill="1" applyBorder="1" applyAlignment="1" applyProtection="1">
      <alignment horizontal="left" vertical="top"/>
      <protection locked="0"/>
    </xf>
    <xf numFmtId="0" fontId="11" fillId="2" borderId="9" xfId="1" applyFont="1" applyFill="1" applyBorder="1" applyAlignment="1" applyProtection="1">
      <alignment horizontal="left" vertical="top" wrapText="1"/>
      <protection locked="0"/>
    </xf>
    <xf numFmtId="0" fontId="11" fillId="2" borderId="16"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1" fontId="7" fillId="0" borderId="1" xfId="0" applyNumberFormat="1" applyFont="1" applyFill="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1" fontId="5" fillId="0" borderId="17" xfId="1" applyNumberFormat="1" applyFont="1" applyFill="1" applyBorder="1" applyAlignment="1" applyProtection="1">
      <alignment horizontal="center" vertical="center" wrapText="1"/>
      <protection locked="0"/>
    </xf>
    <xf numFmtId="1" fontId="5" fillId="0" borderId="18"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wrapText="1"/>
      <protection locked="0"/>
    </xf>
    <xf numFmtId="1" fontId="5" fillId="0" borderId="22" xfId="1" applyNumberFormat="1" applyFont="1" applyFill="1" applyBorder="1" applyAlignment="1" applyProtection="1">
      <alignment horizontal="center" vertical="center" wrapText="1"/>
      <protection locked="0"/>
    </xf>
    <xf numFmtId="1" fontId="5" fillId="0" borderId="19" xfId="1" applyNumberFormat="1" applyFont="1" applyFill="1" applyBorder="1" applyAlignment="1" applyProtection="1">
      <alignment horizontal="center" vertical="center" wrapText="1"/>
      <protection locked="0"/>
    </xf>
    <xf numFmtId="1" fontId="5" fillId="0" borderId="20" xfId="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top"/>
      <protection locked="0"/>
    </xf>
    <xf numFmtId="1" fontId="7" fillId="0" borderId="17" xfId="1" applyNumberFormat="1" applyFont="1" applyFill="1" applyBorder="1" applyAlignment="1" applyProtection="1">
      <alignment horizontal="center" vertical="top" wrapText="1"/>
      <protection locked="0"/>
    </xf>
    <xf numFmtId="1" fontId="7" fillId="0" borderId="18" xfId="1" applyNumberFormat="1" applyFont="1" applyFill="1" applyBorder="1" applyAlignment="1" applyProtection="1">
      <alignment horizontal="center" vertical="top" wrapText="1"/>
      <protection locked="0"/>
    </xf>
    <xf numFmtId="1" fontId="7" fillId="0" borderId="21" xfId="1" applyNumberFormat="1" applyFont="1" applyFill="1" applyBorder="1" applyAlignment="1" applyProtection="1">
      <alignment horizontal="center" vertical="top" wrapText="1"/>
      <protection locked="0"/>
    </xf>
    <xf numFmtId="1" fontId="7" fillId="0" borderId="22" xfId="1" applyNumberFormat="1" applyFont="1" applyFill="1" applyBorder="1" applyAlignment="1" applyProtection="1">
      <alignment horizontal="center" vertical="top" wrapText="1"/>
      <protection locked="0"/>
    </xf>
    <xf numFmtId="1" fontId="7" fillId="0" borderId="32" xfId="1" applyNumberFormat="1" applyFont="1" applyFill="1" applyBorder="1" applyAlignment="1" applyProtection="1">
      <alignment horizontal="center" vertical="top" wrapText="1"/>
      <protection locked="0"/>
    </xf>
    <xf numFmtId="1" fontId="7" fillId="0" borderId="2" xfId="1" applyNumberFormat="1" applyFont="1" applyFill="1" applyBorder="1" applyAlignment="1" applyProtection="1">
      <alignment horizontal="center" vertical="top" wrapText="1"/>
      <protection locked="0"/>
    </xf>
    <xf numFmtId="0" fontId="7" fillId="0" borderId="25" xfId="1" applyFont="1" applyFill="1" applyBorder="1" applyAlignment="1" applyProtection="1">
      <alignment horizontal="left" vertical="top" wrapText="1"/>
      <protection locked="0"/>
    </xf>
    <xf numFmtId="0" fontId="7" fillId="0" borderId="26" xfId="1" applyFont="1" applyFill="1" applyBorder="1" applyAlignment="1" applyProtection="1">
      <alignment horizontal="left" vertical="top" wrapText="1"/>
      <protection locked="0"/>
    </xf>
    <xf numFmtId="0" fontId="7" fillId="0" borderId="27" xfId="1" applyFont="1" applyFill="1" applyBorder="1" applyAlignment="1" applyProtection="1">
      <alignment horizontal="left" vertical="top" wrapText="1"/>
      <protection locked="0"/>
    </xf>
    <xf numFmtId="9" fontId="11" fillId="2" borderId="17" xfId="1" applyNumberFormat="1" applyFont="1" applyFill="1" applyBorder="1" applyAlignment="1" applyProtection="1">
      <alignment horizontal="center" vertical="center" wrapText="1"/>
      <protection hidden="1"/>
    </xf>
    <xf numFmtId="9" fontId="11" fillId="2" borderId="18" xfId="1" applyNumberFormat="1" applyFont="1" applyFill="1" applyBorder="1" applyAlignment="1" applyProtection="1">
      <alignment horizontal="center" vertical="center" wrapText="1"/>
      <protection hidden="1"/>
    </xf>
    <xf numFmtId="9" fontId="11" fillId="2" borderId="19" xfId="1" applyNumberFormat="1" applyFont="1" applyFill="1" applyBorder="1" applyAlignment="1" applyProtection="1">
      <alignment horizontal="center" vertical="center" wrapText="1"/>
      <protection hidden="1"/>
    </xf>
    <xf numFmtId="9" fontId="11" fillId="2" borderId="20" xfId="1" applyNumberFormat="1" applyFont="1" applyFill="1" applyBorder="1" applyAlignment="1" applyProtection="1">
      <alignment horizontal="center" vertical="center" wrapText="1"/>
      <protection hidden="1"/>
    </xf>
    <xf numFmtId="9" fontId="11" fillId="2" borderId="30" xfId="1" applyNumberFormat="1" applyFont="1" applyFill="1" applyBorder="1" applyAlignment="1" applyProtection="1">
      <alignment horizontal="center" vertical="center" wrapText="1"/>
      <protection hidden="1"/>
    </xf>
    <xf numFmtId="9" fontId="11" fillId="2" borderId="31" xfId="1" applyNumberFormat="1" applyFont="1" applyFill="1" applyBorder="1" applyAlignment="1" applyProtection="1">
      <alignment horizontal="center" vertical="center" wrapText="1"/>
      <protection hidden="1"/>
    </xf>
    <xf numFmtId="9" fontId="11" fillId="2" borderId="29" xfId="1" applyNumberFormat="1" applyFont="1" applyFill="1" applyBorder="1" applyAlignment="1" applyProtection="1">
      <alignment horizontal="center" vertical="center" wrapText="1"/>
      <protection hidden="1"/>
    </xf>
    <xf numFmtId="9" fontId="11" fillId="2" borderId="13" xfId="1" applyNumberFormat="1" applyFont="1" applyFill="1" applyBorder="1" applyAlignment="1" applyProtection="1">
      <alignment horizontal="center" vertical="center" wrapText="1"/>
      <protection hidden="1"/>
    </xf>
    <xf numFmtId="9" fontId="11" fillId="2" borderId="15" xfId="1" applyNumberFormat="1" applyFont="1" applyFill="1" applyBorder="1" applyAlignment="1" applyProtection="1">
      <alignment horizontal="center" vertical="center" wrapText="1"/>
      <protection hidden="1"/>
    </xf>
    <xf numFmtId="0" fontId="11" fillId="0" borderId="7" xfId="1" applyFont="1" applyFill="1" applyBorder="1" applyAlignment="1" applyProtection="1">
      <alignment horizontal="center" vertical="top" wrapText="1"/>
      <protection locked="0"/>
    </xf>
    <xf numFmtId="0" fontId="11" fillId="0" borderId="8" xfId="1" applyFont="1" applyFill="1" applyBorder="1" applyAlignment="1" applyProtection="1">
      <alignment horizontal="center" vertical="top" wrapText="1"/>
      <protection locked="0"/>
    </xf>
    <xf numFmtId="0" fontId="7" fillId="0" borderId="9" xfId="1" applyFont="1" applyFill="1" applyBorder="1" applyAlignment="1" applyProtection="1">
      <alignment horizontal="center" vertical="top"/>
      <protection locked="0"/>
    </xf>
    <xf numFmtId="0" fontId="7" fillId="0" borderId="16" xfId="1" applyFont="1" applyFill="1" applyBorder="1" applyAlignment="1" applyProtection="1">
      <alignment horizontal="center" vertical="top"/>
      <protection locked="0"/>
    </xf>
    <xf numFmtId="0" fontId="7" fillId="0" borderId="10" xfId="1" applyFont="1" applyFill="1" applyBorder="1" applyAlignment="1" applyProtection="1">
      <alignment horizontal="center" vertical="top"/>
      <protection locked="0"/>
    </xf>
    <xf numFmtId="1" fontId="5" fillId="0" borderId="1" xfId="0" applyNumberFormat="1" applyFont="1" applyFill="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center"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xf numFmtId="0" fontId="7" fillId="0" borderId="33" xfId="1" applyFont="1" applyFill="1" applyBorder="1" applyAlignment="1" applyProtection="1">
      <alignment horizontal="left" vertical="top" wrapText="1"/>
      <protection locked="0"/>
    </xf>
    <xf numFmtId="0" fontId="7" fillId="0" borderId="22" xfId="1" applyFont="1" applyFill="1" applyBorder="1" applyAlignment="1" applyProtection="1">
      <alignment horizontal="left" vertical="top" wrapText="1"/>
      <protection locked="0"/>
    </xf>
    <xf numFmtId="0" fontId="7" fillId="0" borderId="21" xfId="1" applyFont="1" applyFill="1" applyBorder="1" applyAlignment="1" applyProtection="1">
      <alignment horizontal="left" vertical="top" wrapText="1"/>
      <protection locked="0"/>
    </xf>
    <xf numFmtId="0" fontId="7" fillId="0" borderId="2" xfId="1" applyFont="1" applyFill="1" applyBorder="1" applyAlignment="1" applyProtection="1">
      <alignment horizontal="left" vertical="top" wrapText="1"/>
      <protection locked="0"/>
    </xf>
    <xf numFmtId="0" fontId="7" fillId="0" borderId="34" xfId="1" applyFont="1" applyFill="1" applyBorder="1" applyAlignment="1" applyProtection="1">
      <alignment horizontal="left" vertical="top" wrapText="1"/>
      <protection locked="0"/>
    </xf>
    <xf numFmtId="9" fontId="11" fillId="2" borderId="1" xfId="1" applyNumberFormat="1" applyFont="1" applyFill="1" applyBorder="1" applyAlignment="1" applyProtection="1">
      <alignment horizontal="center" vertical="center" wrapText="1"/>
      <protection hidden="1"/>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png"/><Relationship Id="rId5" Type="http://schemas.openxmlformats.org/officeDocument/2006/relationships/image" Target="../media/image4.jpeg"/><Relationship Id="rId15" Type="http://schemas.openxmlformats.org/officeDocument/2006/relationships/image" Target="../media/image14.png"/><Relationship Id="rId10" Type="http://schemas.openxmlformats.org/officeDocument/2006/relationships/image" Target="../media/image9.pn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260</xdr:row>
      <xdr:rowOff>26894</xdr:rowOff>
    </xdr:from>
    <xdr:to>
      <xdr:col>7</xdr:col>
      <xdr:colOff>122145</xdr:colOff>
      <xdr:row>277</xdr:row>
      <xdr:rowOff>26893</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37079" y="54196129"/>
          <a:ext cx="5257801" cy="3429000"/>
        </a:xfrm>
        <a:prstGeom prst="rect">
          <a:avLst/>
        </a:prstGeom>
        <a:ln>
          <a:solidFill>
            <a:schemeClr val="tx1"/>
          </a:solidFill>
        </a:ln>
      </xdr:spPr>
    </xdr:pic>
    <xdr:clientData/>
  </xdr:twoCellAnchor>
  <xdr:twoCellAnchor editAs="oneCell">
    <xdr:from>
      <xdr:col>1</xdr:col>
      <xdr:colOff>0</xdr:colOff>
      <xdr:row>242</xdr:row>
      <xdr:rowOff>0</xdr:rowOff>
    </xdr:from>
    <xdr:to>
      <xdr:col>7</xdr:col>
      <xdr:colOff>122145</xdr:colOff>
      <xdr:row>258</xdr:row>
      <xdr:rowOff>49304</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18029" y="50538529"/>
          <a:ext cx="5276851" cy="3276600"/>
        </a:xfrm>
        <a:prstGeom prst="rect">
          <a:avLst/>
        </a:prstGeom>
        <a:ln>
          <a:solidFill>
            <a:schemeClr val="tx1"/>
          </a:solidFill>
        </a:ln>
      </xdr:spPr>
    </xdr:pic>
    <xdr:clientData/>
  </xdr:twoCellAnchor>
  <xdr:twoCellAnchor>
    <xdr:from>
      <xdr:col>8</xdr:col>
      <xdr:colOff>263864</xdr:colOff>
      <xdr:row>198</xdr:row>
      <xdr:rowOff>30307</xdr:rowOff>
    </xdr:from>
    <xdr:to>
      <xdr:col>8</xdr:col>
      <xdr:colOff>1083396</xdr:colOff>
      <xdr:row>199</xdr:row>
      <xdr:rowOff>197067</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645614" y="41749807"/>
          <a:ext cx="819532" cy="36591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70C0"/>
              </a:solidFill>
            </a:rPr>
            <a:t>Wing A</a:t>
          </a:r>
        </a:p>
      </xdr:txBody>
    </xdr:sp>
    <xdr:clientData/>
  </xdr:twoCellAnchor>
  <xdr:twoCellAnchor>
    <xdr:from>
      <xdr:col>13</xdr:col>
      <xdr:colOff>405087</xdr:colOff>
      <xdr:row>199</xdr:row>
      <xdr:rowOff>14948</xdr:rowOff>
    </xdr:from>
    <xdr:to>
      <xdr:col>14</xdr:col>
      <xdr:colOff>598960</xdr:colOff>
      <xdr:row>200</xdr:row>
      <xdr:rowOff>180893</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10622814" y="41933607"/>
          <a:ext cx="800010" cy="36510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70C0"/>
              </a:solidFill>
            </a:rPr>
            <a:t>Wing </a:t>
          </a:r>
          <a:r>
            <a:rPr lang="en-IN">
              <a:solidFill>
                <a:srgbClr val="0070C0"/>
              </a:solidFill>
            </a:rPr>
            <a:t>B</a:t>
          </a:r>
          <a:endParaRPr lang="en-IN" b="1">
            <a:solidFill>
              <a:srgbClr val="0070C0"/>
            </a:solidFill>
          </a:endParaRPr>
        </a:p>
      </xdr:txBody>
    </xdr:sp>
    <xdr:clientData/>
  </xdr:twoCellAnchor>
  <xdr:twoCellAnchor>
    <xdr:from>
      <xdr:col>8</xdr:col>
      <xdr:colOff>386683</xdr:colOff>
      <xdr:row>214</xdr:row>
      <xdr:rowOff>34523</xdr:rowOff>
    </xdr:from>
    <xdr:to>
      <xdr:col>8</xdr:col>
      <xdr:colOff>1166041</xdr:colOff>
      <xdr:row>216</xdr:row>
      <xdr:rowOff>443</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6768433" y="44931909"/>
          <a:ext cx="779358" cy="36423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70C0"/>
              </a:solidFill>
            </a:rPr>
            <a:t>Wing </a:t>
          </a:r>
          <a:r>
            <a:rPr lang="en-IN">
              <a:solidFill>
                <a:srgbClr val="0070C0"/>
              </a:solidFill>
            </a:rPr>
            <a:t>C</a:t>
          </a:r>
          <a:endParaRPr lang="en-IN" b="1">
            <a:solidFill>
              <a:srgbClr val="0070C0"/>
            </a:solidFill>
          </a:endParaRPr>
        </a:p>
      </xdr:txBody>
    </xdr:sp>
    <xdr:clientData/>
  </xdr:twoCellAnchor>
  <xdr:twoCellAnchor>
    <xdr:from>
      <xdr:col>8</xdr:col>
      <xdr:colOff>435535</xdr:colOff>
      <xdr:row>197</xdr:row>
      <xdr:rowOff>200586</xdr:rowOff>
    </xdr:from>
    <xdr:to>
      <xdr:col>16</xdr:col>
      <xdr:colOff>224190</xdr:colOff>
      <xdr:row>232</xdr:row>
      <xdr:rowOff>30408</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136653" y="44748824"/>
          <a:ext cx="5944419" cy="6634408"/>
          <a:chOff x="368300" y="44475400"/>
          <a:chExt cx="5891751" cy="6718078"/>
        </a:xfrm>
      </xdr:grpSpPr>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 cstate="screen">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368300" y="44475400"/>
            <a:ext cx="970313"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68300" y="46754439"/>
            <a:ext cx="4796536"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63515" y="44475400"/>
            <a:ext cx="4796536"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289738" y="49033478"/>
            <a:ext cx="970313" cy="216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68300" y="49033478"/>
            <a:ext cx="4796536"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289738" y="46754439"/>
            <a:ext cx="970313" cy="2160000"/>
          </a:xfrm>
          <a:prstGeom prst="rect">
            <a:avLst/>
          </a:prstGeom>
          <a:ln>
            <a:solidFill>
              <a:schemeClr val="tx1"/>
            </a:solidFill>
          </a:ln>
        </xdr:spPr>
      </xdr:pic>
      <xdr:sp macro="" textlink="">
        <xdr:nvSpPr>
          <xdr:cNvPr id="59" name="Rectangle 58">
            <a:extLst>
              <a:ext uri="{FF2B5EF4-FFF2-40B4-BE49-F238E27FC236}">
                <a16:creationId xmlns:a16="http://schemas.microsoft.com/office/drawing/2014/main" id="{00000000-0008-0000-0000-00003B000000}"/>
              </a:ext>
            </a:extLst>
          </xdr:cNvPr>
          <xdr:cNvSpPr/>
        </xdr:nvSpPr>
        <xdr:spPr>
          <a:xfrm>
            <a:off x="368300" y="44475400"/>
            <a:ext cx="87105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60" name="Rectangle 59">
            <a:extLst>
              <a:ext uri="{FF2B5EF4-FFF2-40B4-BE49-F238E27FC236}">
                <a16:creationId xmlns:a16="http://schemas.microsoft.com/office/drawing/2014/main" id="{00000000-0008-0000-0000-00003C000000}"/>
              </a:ext>
            </a:extLst>
          </xdr:cNvPr>
          <xdr:cNvSpPr/>
        </xdr:nvSpPr>
        <xdr:spPr>
          <a:xfrm>
            <a:off x="1463515" y="44475400"/>
            <a:ext cx="87105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a:off x="368300" y="46754439"/>
            <a:ext cx="87105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62" name="Rectangle 61">
            <a:extLst>
              <a:ext uri="{FF2B5EF4-FFF2-40B4-BE49-F238E27FC236}">
                <a16:creationId xmlns:a16="http://schemas.microsoft.com/office/drawing/2014/main" id="{00000000-0008-0000-0000-00003E000000}"/>
              </a:ext>
            </a:extLst>
          </xdr:cNvPr>
          <xdr:cNvSpPr/>
        </xdr:nvSpPr>
        <xdr:spPr>
          <a:xfrm>
            <a:off x="5524688" y="46722689"/>
            <a:ext cx="641162" cy="28020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ysClr val="windowText" lastClr="000000"/>
                </a:solidFill>
                <a:effectLst>
                  <a:outerShdw blurRad="38100" dist="25400" dir="5400000" algn="ctr" rotWithShape="0">
                    <a:srgbClr val="6E747A">
                      <a:alpha val="43000"/>
                    </a:srgbClr>
                  </a:outerShdw>
                </a:effectLst>
              </a:rPr>
              <a:t>Wing C</a:t>
            </a:r>
          </a:p>
        </xdr:txBody>
      </xdr:sp>
      <xdr:sp macro="" textlink="">
        <xdr:nvSpPr>
          <xdr:cNvPr id="63" name="Rectangle 62">
            <a:extLst>
              <a:ext uri="{FF2B5EF4-FFF2-40B4-BE49-F238E27FC236}">
                <a16:creationId xmlns:a16="http://schemas.microsoft.com/office/drawing/2014/main" id="{00000000-0008-0000-0000-00003F000000}"/>
              </a:ext>
            </a:extLst>
          </xdr:cNvPr>
          <xdr:cNvSpPr/>
        </xdr:nvSpPr>
        <xdr:spPr>
          <a:xfrm>
            <a:off x="400050" y="49008078"/>
            <a:ext cx="908050"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0" cap="none" spc="0">
                <a:ln w="0"/>
                <a:solidFill>
                  <a:srgbClr val="FFFF00"/>
                </a:solidFill>
                <a:effectLst>
                  <a:outerShdw blurRad="38100" dist="25400" dir="5400000" algn="ctr" rotWithShape="0">
                    <a:srgbClr val="6E747A">
                      <a:alpha val="43000"/>
                    </a:srgbClr>
                  </a:outerShdw>
                </a:effectLst>
              </a:rPr>
              <a:t>Wing C</a:t>
            </a:r>
            <a:r>
              <a:rPr lang="en-IN" sz="1200" b="0" cap="none" spc="0">
                <a:ln w="0"/>
                <a:solidFill>
                  <a:srgbClr val="FFFF00"/>
                </a:solidFill>
                <a:effectLst>
                  <a:outerShdw blurRad="38100" dist="25400" dir="5400000" algn="ctr" rotWithShape="0">
                    <a:srgbClr val="6E747A">
                      <a:alpha val="43000"/>
                    </a:srgbClr>
                  </a:outerShdw>
                </a:effectLst>
              </a:rPr>
              <a:t> </a:t>
            </a:r>
          </a:p>
        </xdr:txBody>
      </xdr:sp>
    </xdr:grpSp>
    <xdr:clientData/>
  </xdr:twoCellAnchor>
  <xdr:twoCellAnchor>
    <xdr:from>
      <xdr:col>0</xdr:col>
      <xdr:colOff>63500</xdr:colOff>
      <xdr:row>198</xdr:row>
      <xdr:rowOff>95250</xdr:rowOff>
    </xdr:from>
    <xdr:to>
      <xdr:col>7</xdr:col>
      <xdr:colOff>677216</xdr:colOff>
      <xdr:row>232</xdr:row>
      <xdr:rowOff>129440</xdr:rowOff>
    </xdr:to>
    <xdr:grpSp>
      <xdr:nvGrpSpPr>
        <xdr:cNvPr id="2" name="Group 1"/>
        <xdr:cNvGrpSpPr/>
      </xdr:nvGrpSpPr>
      <xdr:grpSpPr>
        <a:xfrm>
          <a:off x="63500" y="44844074"/>
          <a:ext cx="6448245" cy="6638190"/>
          <a:chOff x="63500" y="45008800"/>
          <a:chExt cx="6436666" cy="6720740"/>
        </a:xfrm>
      </xdr:grpSpPr>
      <xdr:pic>
        <xdr:nvPicPr>
          <xdr:cNvPr id="42" name="Picture 4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095720" y="49929540"/>
            <a:ext cx="1348594" cy="180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44906" y="45008800"/>
            <a:ext cx="3836903" cy="288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80651" y="49929540"/>
            <a:ext cx="1348594" cy="18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065582" y="49929540"/>
            <a:ext cx="1348594" cy="180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607536" y="48009170"/>
            <a:ext cx="2398064" cy="18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151572" y="48009170"/>
            <a:ext cx="1348594" cy="180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03605" y="45008800"/>
            <a:ext cx="2157751" cy="288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63500" y="48009170"/>
            <a:ext cx="2398064" cy="180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xThNzenA91k9pds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1"/>
  <sheetViews>
    <sheetView tabSelected="1" view="pageBreakPreview" topLeftCell="A70" zoomScale="85" zoomScaleNormal="100" zoomScaleSheetLayoutView="85" zoomScalePageLayoutView="85" workbookViewId="0">
      <selection activeCell="A70" sqref="A63:H86"/>
    </sheetView>
  </sheetViews>
  <sheetFormatPr defaultColWidth="9.1796875" defaultRowHeight="15.5" x14ac:dyDescent="0.35"/>
  <cols>
    <col min="1" max="1" width="11.453125" style="19" customWidth="1"/>
    <col min="2" max="2" width="11.1796875" style="19" customWidth="1"/>
    <col min="3" max="3" width="12.7265625" style="19" customWidth="1"/>
    <col min="4" max="4" width="12.81640625" style="19" customWidth="1"/>
    <col min="5" max="7" width="11.7265625" style="19" customWidth="1"/>
    <col min="8" max="8" width="12.453125" style="19" customWidth="1"/>
    <col min="9" max="9" width="20.453125" style="8" customWidth="1"/>
    <col min="10" max="10" width="9.81640625" style="8" bestFit="1" customWidth="1"/>
    <col min="11" max="11" width="11.81640625" style="8" bestFit="1" customWidth="1"/>
    <col min="12"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10" ht="46.5" customHeight="1" x14ac:dyDescent="0.35">
      <c r="A1" s="140" t="s">
        <v>232</v>
      </c>
      <c r="B1" s="140"/>
      <c r="C1" s="140"/>
      <c r="D1" s="140"/>
      <c r="E1" s="140"/>
      <c r="F1" s="140"/>
      <c r="G1" s="140"/>
      <c r="H1" s="140"/>
    </row>
    <row r="2" spans="1:10" ht="16.5" customHeight="1" x14ac:dyDescent="0.35">
      <c r="A2" s="141" t="s">
        <v>0</v>
      </c>
      <c r="B2" s="141"/>
      <c r="C2" s="141"/>
      <c r="D2" s="141"/>
      <c r="E2" s="141"/>
      <c r="F2" s="141"/>
      <c r="G2" s="141"/>
      <c r="H2" s="141"/>
    </row>
    <row r="3" spans="1:10" x14ac:dyDescent="0.35">
      <c r="A3" s="137" t="s">
        <v>1</v>
      </c>
      <c r="B3" s="137"/>
      <c r="C3" s="137"/>
      <c r="D3" s="137"/>
      <c r="E3" s="138" t="str">
        <f ca="1">TEXT(TODAY(),"DD/MM/YYYY")</f>
        <v>12/07/2025</v>
      </c>
      <c r="F3" s="138"/>
      <c r="G3" s="138"/>
      <c r="H3" s="138"/>
    </row>
    <row r="4" spans="1:10" ht="15" customHeight="1" x14ac:dyDescent="0.35">
      <c r="A4" s="137" t="s">
        <v>2</v>
      </c>
      <c r="B4" s="137"/>
      <c r="C4" s="137"/>
      <c r="D4" s="137"/>
      <c r="E4" s="127" t="s">
        <v>165</v>
      </c>
      <c r="F4" s="127"/>
      <c r="G4" s="127"/>
      <c r="H4" s="127"/>
    </row>
    <row r="5" spans="1:10" x14ac:dyDescent="0.35">
      <c r="A5" s="137" t="s">
        <v>3</v>
      </c>
      <c r="B5" s="137"/>
      <c r="C5" s="137"/>
      <c r="D5" s="137"/>
      <c r="E5" s="138">
        <v>45848</v>
      </c>
      <c r="F5" s="138"/>
      <c r="G5" s="138"/>
      <c r="H5" s="138"/>
    </row>
    <row r="6" spans="1:10" ht="16.5" customHeight="1" x14ac:dyDescent="0.35">
      <c r="A6" s="137" t="s">
        <v>4</v>
      </c>
      <c r="B6" s="137"/>
      <c r="C6" s="137"/>
      <c r="D6" s="137"/>
      <c r="E6" s="139" t="s">
        <v>166</v>
      </c>
      <c r="F6" s="139"/>
      <c r="G6" s="139"/>
      <c r="H6" s="139"/>
    </row>
    <row r="7" spans="1:10" ht="15" customHeight="1" x14ac:dyDescent="0.35">
      <c r="A7" s="137" t="s">
        <v>5</v>
      </c>
      <c r="B7" s="137"/>
      <c r="C7" s="137"/>
      <c r="D7" s="137"/>
      <c r="E7" s="139" t="str">
        <f>E6</f>
        <v xml:space="preserve">M/s. Vastu Realities Builders &amp; Developers </v>
      </c>
      <c r="F7" s="139"/>
      <c r="G7" s="139"/>
      <c r="H7" s="139"/>
    </row>
    <row r="8" spans="1:10" x14ac:dyDescent="0.35">
      <c r="A8" s="137" t="s">
        <v>6</v>
      </c>
      <c r="B8" s="137"/>
      <c r="C8" s="137"/>
      <c r="D8" s="137"/>
      <c r="E8" s="142" t="s">
        <v>246</v>
      </c>
      <c r="F8" s="142"/>
      <c r="G8" s="142"/>
      <c r="H8" s="142"/>
    </row>
    <row r="9" spans="1:10" x14ac:dyDescent="0.35">
      <c r="A9" s="137" t="s">
        <v>167</v>
      </c>
      <c r="B9" s="137"/>
      <c r="C9" s="137"/>
      <c r="D9" s="137"/>
      <c r="E9" s="137">
        <v>7757001250</v>
      </c>
      <c r="F9" s="137"/>
      <c r="G9" s="137"/>
      <c r="H9" s="137"/>
    </row>
    <row r="10" spans="1:10" x14ac:dyDescent="0.35">
      <c r="A10" s="136" t="s">
        <v>7</v>
      </c>
      <c r="B10" s="136"/>
      <c r="C10" s="136"/>
      <c r="D10" s="136"/>
      <c r="E10" s="136" t="s">
        <v>193</v>
      </c>
      <c r="F10" s="136"/>
      <c r="G10" s="136"/>
      <c r="H10" s="136"/>
      <c r="J10" s="8" t="s">
        <v>243</v>
      </c>
    </row>
    <row r="11" spans="1:10" ht="32.25" customHeight="1" x14ac:dyDescent="0.35">
      <c r="A11" s="137" t="s">
        <v>8</v>
      </c>
      <c r="B11" s="137"/>
      <c r="C11" s="137"/>
      <c r="D11" s="137"/>
      <c r="E11" s="143" t="s">
        <v>150</v>
      </c>
      <c r="F11" s="143"/>
      <c r="G11" s="143"/>
      <c r="H11" s="143"/>
      <c r="J11" s="8" t="s">
        <v>244</v>
      </c>
    </row>
    <row r="12" spans="1:10" ht="38.25" customHeight="1" x14ac:dyDescent="0.35">
      <c r="A12" s="137" t="s">
        <v>9</v>
      </c>
      <c r="B12" s="137"/>
      <c r="C12" s="137"/>
      <c r="D12" s="137"/>
      <c r="E12" s="143" t="s">
        <v>196</v>
      </c>
      <c r="F12" s="136"/>
      <c r="G12" s="136"/>
      <c r="H12" s="136"/>
    </row>
    <row r="13" spans="1:10" x14ac:dyDescent="0.35">
      <c r="A13" s="139" t="s">
        <v>10</v>
      </c>
      <c r="B13" s="139"/>
      <c r="C13" s="139" t="str">
        <f>CONCATENATE((IF(OR(E8="",E8="NA"),"",E8)),", ",(IF(OR(A14="",A14="NA"),"",A14)),".",(IF(OR(C14="",C14="NA"),"",C14)),", ",(IF(OR(C15="",C15="NA"),"",C15)),", ",(IF(OR(G15="",G15="NA"),"",G15)),", ",(IF(OR(C16="",C16="NA"),"",C16)),", ",(IF(OR(C17="",C17="NA"),"",C17)),", ",(IF(OR(G16="",G16="NA"),"",G16)),".")</f>
        <v>Shree Puram 2, Survey No..222, Padghe Road, Umroli, Palghar, Palghar, Palghar.</v>
      </c>
      <c r="D13" s="139"/>
      <c r="E13" s="139"/>
      <c r="F13" s="139"/>
      <c r="G13" s="139"/>
      <c r="H13" s="139"/>
    </row>
    <row r="14" spans="1:10" ht="15.75" customHeight="1" x14ac:dyDescent="0.35">
      <c r="A14" s="86" t="s">
        <v>194</v>
      </c>
      <c r="B14" s="86"/>
      <c r="C14" s="87">
        <v>222</v>
      </c>
      <c r="D14" s="87"/>
      <c r="E14" s="87"/>
      <c r="F14" s="87"/>
      <c r="G14" s="87"/>
      <c r="H14" s="87"/>
    </row>
    <row r="15" spans="1:10" ht="15.75" customHeight="1" x14ac:dyDescent="0.35">
      <c r="A15" s="86" t="s">
        <v>11</v>
      </c>
      <c r="B15" s="86"/>
      <c r="C15" s="89" t="s">
        <v>185</v>
      </c>
      <c r="D15" s="89"/>
      <c r="E15" s="86" t="s">
        <v>106</v>
      </c>
      <c r="F15" s="86"/>
      <c r="G15" s="87" t="s">
        <v>168</v>
      </c>
      <c r="H15" s="87"/>
    </row>
    <row r="16" spans="1:10" x14ac:dyDescent="0.35">
      <c r="A16" s="79" t="s">
        <v>13</v>
      </c>
      <c r="B16" s="79"/>
      <c r="C16" s="87" t="s">
        <v>169</v>
      </c>
      <c r="D16" s="87"/>
      <c r="E16" s="86" t="s">
        <v>12</v>
      </c>
      <c r="F16" s="86"/>
      <c r="G16" s="145" t="s">
        <v>169</v>
      </c>
      <c r="H16" s="145"/>
    </row>
    <row r="17" spans="1:8" x14ac:dyDescent="0.35">
      <c r="A17" s="79" t="s">
        <v>107</v>
      </c>
      <c r="B17" s="79"/>
      <c r="C17" s="87" t="s">
        <v>169</v>
      </c>
      <c r="D17" s="87"/>
      <c r="E17" s="86" t="s">
        <v>14</v>
      </c>
      <c r="F17" s="86"/>
      <c r="G17" s="87">
        <v>401404</v>
      </c>
      <c r="H17" s="87"/>
    </row>
    <row r="18" spans="1:8" ht="32.25" customHeight="1" x14ac:dyDescent="0.35">
      <c r="A18" s="79" t="s">
        <v>15</v>
      </c>
      <c r="B18" s="79"/>
      <c r="C18" s="144" t="s">
        <v>186</v>
      </c>
      <c r="D18" s="144"/>
      <c r="E18" s="86" t="s">
        <v>16</v>
      </c>
      <c r="F18" s="86"/>
      <c r="G18" s="87" t="s">
        <v>187</v>
      </c>
      <c r="H18" s="87"/>
    </row>
    <row r="19" spans="1:8" ht="15" customHeight="1" x14ac:dyDescent="0.35">
      <c r="A19" s="86" t="s">
        <v>113</v>
      </c>
      <c r="B19" s="86"/>
      <c r="C19" s="86"/>
      <c r="D19" s="86"/>
      <c r="E19" s="89" t="s">
        <v>17</v>
      </c>
      <c r="F19" s="89"/>
      <c r="G19" s="89"/>
      <c r="H19" s="89"/>
    </row>
    <row r="20" spans="1:8" ht="18.75" customHeight="1" x14ac:dyDescent="0.35">
      <c r="A20" s="86"/>
      <c r="B20" s="86"/>
      <c r="C20" s="86"/>
      <c r="D20" s="86"/>
      <c r="E20" s="89"/>
      <c r="F20" s="89"/>
      <c r="G20" s="89"/>
      <c r="H20" s="89"/>
    </row>
    <row r="21" spans="1:8" ht="15" customHeight="1" x14ac:dyDescent="0.35">
      <c r="A21" s="86" t="s">
        <v>18</v>
      </c>
      <c r="B21" s="86"/>
      <c r="C21" s="86"/>
      <c r="D21" s="86"/>
      <c r="E21" s="87" t="s">
        <v>19</v>
      </c>
      <c r="F21" s="87"/>
      <c r="G21" s="87"/>
      <c r="H21" s="87"/>
    </row>
    <row r="22" spans="1:8" ht="15" customHeight="1" x14ac:dyDescent="0.35">
      <c r="A22" s="79" t="s">
        <v>20</v>
      </c>
      <c r="B22" s="79"/>
      <c r="C22" s="79"/>
      <c r="D22" s="79"/>
      <c r="E22" s="87" t="s">
        <v>188</v>
      </c>
      <c r="F22" s="87"/>
      <c r="G22" s="87"/>
      <c r="H22" s="87"/>
    </row>
    <row r="23" spans="1:8" x14ac:dyDescent="0.35">
      <c r="A23" s="79" t="s">
        <v>21</v>
      </c>
      <c r="B23" s="79"/>
      <c r="C23" s="79"/>
      <c r="D23" s="79"/>
      <c r="E23" s="87" t="s">
        <v>22</v>
      </c>
      <c r="F23" s="87"/>
      <c r="G23" s="87"/>
      <c r="H23" s="87"/>
    </row>
    <row r="24" spans="1:8" x14ac:dyDescent="0.35">
      <c r="A24" s="79" t="s">
        <v>23</v>
      </c>
      <c r="B24" s="79"/>
      <c r="C24" s="79"/>
      <c r="D24" s="79"/>
      <c r="E24" s="87" t="s">
        <v>189</v>
      </c>
      <c r="F24" s="87"/>
      <c r="G24" s="87"/>
      <c r="H24" s="87"/>
    </row>
    <row r="25" spans="1:8" x14ac:dyDescent="0.35">
      <c r="A25" s="79" t="s">
        <v>24</v>
      </c>
      <c r="B25" s="79"/>
      <c r="C25" s="79"/>
      <c r="D25" s="79"/>
      <c r="E25" s="87" t="s">
        <v>25</v>
      </c>
      <c r="F25" s="87"/>
      <c r="G25" s="87"/>
      <c r="H25" s="87"/>
    </row>
    <row r="26" spans="1:8" x14ac:dyDescent="0.35">
      <c r="A26" s="79" t="s">
        <v>121</v>
      </c>
      <c r="B26" s="79"/>
      <c r="C26" s="79"/>
      <c r="D26" s="79"/>
      <c r="E26" s="87" t="s">
        <v>122</v>
      </c>
      <c r="F26" s="87"/>
      <c r="G26" s="87"/>
      <c r="H26" s="87"/>
    </row>
    <row r="27" spans="1:8" ht="15" customHeight="1" x14ac:dyDescent="0.35">
      <c r="A27" s="86" t="s">
        <v>34</v>
      </c>
      <c r="B27" s="86"/>
      <c r="C27" s="86"/>
      <c r="D27" s="86"/>
      <c r="E27" s="127" t="s">
        <v>117</v>
      </c>
      <c r="F27" s="127"/>
      <c r="G27" s="127"/>
      <c r="H27" s="127"/>
    </row>
    <row r="28" spans="1:8" x14ac:dyDescent="0.35">
      <c r="A28" s="86" t="s">
        <v>134</v>
      </c>
      <c r="B28" s="86"/>
      <c r="C28" s="86"/>
      <c r="D28" s="86"/>
      <c r="E28" s="86" t="s">
        <v>35</v>
      </c>
      <c r="F28" s="86"/>
      <c r="G28" s="86"/>
      <c r="H28" s="86"/>
    </row>
    <row r="29" spans="1:8" s="12" customFormat="1" x14ac:dyDescent="0.35">
      <c r="A29" s="132" t="s">
        <v>135</v>
      </c>
      <c r="B29" s="132"/>
      <c r="C29" s="130" t="s">
        <v>30</v>
      </c>
      <c r="D29" s="130"/>
      <c r="E29" s="130"/>
      <c r="F29" s="130" t="s">
        <v>32</v>
      </c>
      <c r="G29" s="130"/>
      <c r="H29" s="130"/>
    </row>
    <row r="30" spans="1:8" s="12" customFormat="1" x14ac:dyDescent="0.35">
      <c r="A30" s="128" t="s">
        <v>26</v>
      </c>
      <c r="B30" s="128" t="s">
        <v>31</v>
      </c>
      <c r="C30" s="131" t="s">
        <v>31</v>
      </c>
      <c r="D30" s="131"/>
      <c r="E30" s="131"/>
      <c r="F30" s="131" t="s">
        <v>191</v>
      </c>
      <c r="G30" s="131"/>
      <c r="H30" s="131"/>
    </row>
    <row r="31" spans="1:8" x14ac:dyDescent="0.35">
      <c r="A31" s="128" t="s">
        <v>27</v>
      </c>
      <c r="B31" s="128" t="s">
        <v>31</v>
      </c>
      <c r="C31" s="131" t="s">
        <v>31</v>
      </c>
      <c r="D31" s="131"/>
      <c r="E31" s="131"/>
      <c r="F31" s="131" t="s">
        <v>192</v>
      </c>
      <c r="G31" s="131"/>
      <c r="H31" s="131"/>
    </row>
    <row r="32" spans="1:8" s="12" customFormat="1" x14ac:dyDescent="0.35">
      <c r="A32" s="128" t="s">
        <v>29</v>
      </c>
      <c r="B32" s="128" t="s">
        <v>31</v>
      </c>
      <c r="C32" s="131" t="s">
        <v>31</v>
      </c>
      <c r="D32" s="131"/>
      <c r="E32" s="131"/>
      <c r="F32" s="131" t="s">
        <v>192</v>
      </c>
      <c r="G32" s="131"/>
      <c r="H32" s="131"/>
    </row>
    <row r="33" spans="1:8" x14ac:dyDescent="0.35">
      <c r="A33" s="128" t="s">
        <v>28</v>
      </c>
      <c r="B33" s="128" t="s">
        <v>31</v>
      </c>
      <c r="C33" s="131" t="s">
        <v>31</v>
      </c>
      <c r="D33" s="131"/>
      <c r="E33" s="131"/>
      <c r="F33" s="131" t="s">
        <v>185</v>
      </c>
      <c r="G33" s="131"/>
      <c r="H33" s="131"/>
    </row>
    <row r="34" spans="1:8" x14ac:dyDescent="0.35">
      <c r="A34" s="79" t="s">
        <v>33</v>
      </c>
      <c r="B34" s="79"/>
      <c r="C34" s="79"/>
      <c r="D34" s="79"/>
      <c r="E34" s="79"/>
      <c r="F34" s="79"/>
      <c r="G34" s="79"/>
      <c r="H34" s="79"/>
    </row>
    <row r="35" spans="1:8" ht="15.75" customHeight="1" x14ac:dyDescent="0.35">
      <c r="A35" s="79" t="s">
        <v>239</v>
      </c>
      <c r="B35" s="79"/>
      <c r="C35" s="112" t="s">
        <v>240</v>
      </c>
      <c r="D35" s="113"/>
      <c r="E35" s="113"/>
      <c r="F35" s="113"/>
      <c r="G35" s="113"/>
      <c r="H35" s="114"/>
    </row>
    <row r="36" spans="1:8" ht="15.75" customHeight="1" x14ac:dyDescent="0.35">
      <c r="A36" s="79" t="s">
        <v>241</v>
      </c>
      <c r="B36" s="79"/>
      <c r="C36" s="133" t="s">
        <v>242</v>
      </c>
      <c r="D36" s="134"/>
      <c r="E36" s="134"/>
      <c r="F36" s="134"/>
      <c r="G36" s="134"/>
      <c r="H36" s="135"/>
    </row>
    <row r="37" spans="1:8" x14ac:dyDescent="0.35">
      <c r="A37" s="108" t="s">
        <v>36</v>
      </c>
      <c r="B37" s="108"/>
      <c r="C37" s="108"/>
      <c r="D37" s="108"/>
      <c r="E37" s="108"/>
      <c r="F37" s="108"/>
      <c r="G37" s="108"/>
      <c r="H37" s="108"/>
    </row>
    <row r="38" spans="1:8" x14ac:dyDescent="0.35">
      <c r="A38" s="79" t="s">
        <v>37</v>
      </c>
      <c r="B38" s="79"/>
      <c r="C38" s="79"/>
      <c r="D38" s="79"/>
      <c r="E38" s="129">
        <v>2545.12</v>
      </c>
      <c r="F38" s="129"/>
      <c r="G38" s="129"/>
      <c r="H38" s="129"/>
    </row>
    <row r="39" spans="1:8" x14ac:dyDescent="0.35">
      <c r="A39" s="79" t="s">
        <v>38</v>
      </c>
      <c r="B39" s="79"/>
      <c r="C39" s="79"/>
      <c r="D39" s="79"/>
      <c r="E39" s="111">
        <v>0.75</v>
      </c>
      <c r="F39" s="111"/>
      <c r="G39" s="111"/>
      <c r="H39" s="111"/>
    </row>
    <row r="40" spans="1:8" x14ac:dyDescent="0.35">
      <c r="A40" s="79" t="s">
        <v>39</v>
      </c>
      <c r="B40" s="79"/>
      <c r="C40" s="79"/>
      <c r="D40" s="79"/>
      <c r="E40" s="111">
        <f>E42/E38-E39</f>
        <v>0</v>
      </c>
      <c r="F40" s="111"/>
      <c r="G40" s="111"/>
      <c r="H40" s="111"/>
    </row>
    <row r="41" spans="1:8" x14ac:dyDescent="0.35">
      <c r="A41" s="79" t="s">
        <v>40</v>
      </c>
      <c r="B41" s="79"/>
      <c r="C41" s="79"/>
      <c r="D41" s="79"/>
      <c r="E41" s="111">
        <f>E39+E40</f>
        <v>0.75</v>
      </c>
      <c r="F41" s="111"/>
      <c r="G41" s="111"/>
      <c r="H41" s="111"/>
    </row>
    <row r="42" spans="1:8" x14ac:dyDescent="0.35">
      <c r="A42" s="79" t="s">
        <v>133</v>
      </c>
      <c r="B42" s="79"/>
      <c r="C42" s="79"/>
      <c r="D42" s="79"/>
      <c r="E42" s="146">
        <v>1908.84</v>
      </c>
      <c r="F42" s="146"/>
      <c r="G42" s="146"/>
      <c r="H42" s="146"/>
    </row>
    <row r="43" spans="1:8" x14ac:dyDescent="0.35">
      <c r="A43" s="89" t="s">
        <v>41</v>
      </c>
      <c r="B43" s="89"/>
      <c r="C43" s="89"/>
      <c r="D43" s="89"/>
      <c r="E43" s="89" t="s">
        <v>170</v>
      </c>
      <c r="F43" s="89"/>
      <c r="G43" s="89"/>
      <c r="H43" s="89"/>
    </row>
    <row r="44" spans="1:8" x14ac:dyDescent="0.35">
      <c r="A44" s="108" t="s">
        <v>42</v>
      </c>
      <c r="B44" s="108"/>
      <c r="C44" s="108"/>
      <c r="D44" s="108"/>
      <c r="E44" s="108"/>
      <c r="F44" s="108"/>
      <c r="G44" s="108"/>
      <c r="H44" s="108"/>
    </row>
    <row r="45" spans="1:8" x14ac:dyDescent="0.35">
      <c r="A45" s="86" t="s">
        <v>43</v>
      </c>
      <c r="B45" s="86"/>
      <c r="C45" s="85" t="s">
        <v>195</v>
      </c>
      <c r="D45" s="85"/>
      <c r="E45" s="85"/>
      <c r="F45" s="41" t="s">
        <v>44</v>
      </c>
      <c r="G45" s="87" t="s">
        <v>171</v>
      </c>
      <c r="H45" s="87"/>
    </row>
    <row r="46" spans="1:8" x14ac:dyDescent="0.35">
      <c r="A46" s="86" t="s">
        <v>45</v>
      </c>
      <c r="B46" s="86"/>
      <c r="C46" s="85" t="str">
        <f>C45</f>
        <v>MAHSUL/KSH.1/BJ1/ANAP/SR/234/15</v>
      </c>
      <c r="D46" s="85"/>
      <c r="E46" s="85"/>
      <c r="F46" s="41" t="s">
        <v>44</v>
      </c>
      <c r="G46" s="87" t="str">
        <f>G45</f>
        <v>05/08/2015.</v>
      </c>
      <c r="H46" s="87"/>
    </row>
    <row r="47" spans="1:8" s="11" customFormat="1" x14ac:dyDescent="0.35">
      <c r="A47" s="87" t="s">
        <v>46</v>
      </c>
      <c r="B47" s="87"/>
      <c r="C47" s="85" t="str">
        <f>C46</f>
        <v>MAHSUL/KSH.1/BJ1/ANAP/SR/234/15</v>
      </c>
      <c r="D47" s="85"/>
      <c r="E47" s="85"/>
      <c r="F47" s="14" t="s">
        <v>44</v>
      </c>
      <c r="G47" s="88" t="str">
        <f>G46</f>
        <v>05/08/2015.</v>
      </c>
      <c r="H47" s="88"/>
    </row>
    <row r="48" spans="1:8" s="11" customFormat="1" x14ac:dyDescent="0.35">
      <c r="A48" s="87"/>
      <c r="B48" s="87"/>
      <c r="C48" s="147" t="s">
        <v>208</v>
      </c>
      <c r="D48" s="148"/>
      <c r="E48" s="148"/>
      <c r="F48" s="148"/>
      <c r="G48" s="148"/>
      <c r="H48" s="149"/>
    </row>
    <row r="49" spans="1:11" x14ac:dyDescent="0.35">
      <c r="A49" s="82" t="s">
        <v>47</v>
      </c>
      <c r="B49" s="82"/>
      <c r="C49" s="83" t="s">
        <v>151</v>
      </c>
      <c r="D49" s="84"/>
      <c r="E49" s="84" t="s">
        <v>48</v>
      </c>
      <c r="F49" s="42" t="s">
        <v>44</v>
      </c>
      <c r="G49" s="80" t="s">
        <v>31</v>
      </c>
      <c r="H49" s="81"/>
    </row>
    <row r="50" spans="1:11" x14ac:dyDescent="0.35">
      <c r="A50" s="115" t="s">
        <v>50</v>
      </c>
      <c r="B50" s="115"/>
      <c r="C50" s="115"/>
      <c r="D50" s="115"/>
      <c r="E50" s="115"/>
      <c r="F50" s="115"/>
      <c r="G50" s="115"/>
      <c r="H50" s="115"/>
    </row>
    <row r="51" spans="1:11" x14ac:dyDescent="0.35">
      <c r="A51" s="86" t="s">
        <v>132</v>
      </c>
      <c r="B51" s="86"/>
      <c r="C51" s="86"/>
      <c r="D51" s="79">
        <f>E42</f>
        <v>1908.84</v>
      </c>
      <c r="E51" s="79"/>
      <c r="F51" s="79"/>
      <c r="G51" s="79"/>
      <c r="H51" s="79"/>
    </row>
    <row r="52" spans="1:11" x14ac:dyDescent="0.35">
      <c r="A52" s="87" t="s">
        <v>51</v>
      </c>
      <c r="B52" s="89"/>
      <c r="C52" s="89"/>
      <c r="D52" s="89" t="s">
        <v>207</v>
      </c>
      <c r="E52" s="89"/>
      <c r="F52" s="89"/>
      <c r="G52" s="89"/>
      <c r="H52" s="89"/>
    </row>
    <row r="53" spans="1:11" x14ac:dyDescent="0.35">
      <c r="A53" s="87" t="s">
        <v>52</v>
      </c>
      <c r="B53" s="89"/>
      <c r="C53" s="89"/>
      <c r="D53" s="89" t="s">
        <v>209</v>
      </c>
      <c r="E53" s="89"/>
      <c r="F53" s="89"/>
      <c r="G53" s="89"/>
      <c r="H53" s="89"/>
    </row>
    <row r="54" spans="1:11" x14ac:dyDescent="0.35">
      <c r="A54" s="87" t="s">
        <v>130</v>
      </c>
      <c r="B54" s="89"/>
      <c r="C54" s="89"/>
      <c r="D54" s="89" t="s">
        <v>206</v>
      </c>
      <c r="E54" s="89"/>
      <c r="F54" s="89"/>
      <c r="G54" s="89"/>
      <c r="H54" s="89"/>
    </row>
    <row r="55" spans="1:11" ht="15.75" customHeight="1" x14ac:dyDescent="0.35">
      <c r="A55" s="79" t="s">
        <v>49</v>
      </c>
      <c r="B55" s="79"/>
      <c r="C55" s="79"/>
      <c r="D55" s="86" t="s">
        <v>245</v>
      </c>
      <c r="E55" s="86"/>
      <c r="F55" s="86"/>
      <c r="G55" s="86"/>
      <c r="H55" s="86"/>
    </row>
    <row r="56" spans="1:11" ht="15.75" customHeight="1" x14ac:dyDescent="0.35">
      <c r="A56" s="79" t="s">
        <v>127</v>
      </c>
      <c r="B56" s="79"/>
      <c r="C56" s="79"/>
      <c r="D56" s="86" t="s">
        <v>128</v>
      </c>
      <c r="E56" s="86"/>
      <c r="F56" s="86"/>
      <c r="G56" s="86"/>
      <c r="H56" s="86"/>
    </row>
    <row r="57" spans="1:11" ht="15.75" customHeight="1" x14ac:dyDescent="0.35">
      <c r="A57" s="79" t="s">
        <v>129</v>
      </c>
      <c r="B57" s="79"/>
      <c r="C57" s="79"/>
      <c r="D57" s="86" t="s">
        <v>25</v>
      </c>
      <c r="E57" s="86"/>
      <c r="F57" s="86"/>
      <c r="G57" s="86"/>
      <c r="H57" s="86"/>
      <c r="J57" s="21"/>
      <c r="K57" s="21"/>
    </row>
    <row r="58" spans="1:11" ht="15.75" customHeight="1" thickBot="1" x14ac:dyDescent="0.4">
      <c r="A58" s="90" t="s">
        <v>126</v>
      </c>
      <c r="B58" s="90"/>
      <c r="C58" s="90"/>
      <c r="D58" s="91" t="s">
        <v>190</v>
      </c>
      <c r="E58" s="91"/>
      <c r="F58" s="91"/>
      <c r="G58" s="91"/>
      <c r="H58" s="91"/>
      <c r="J58" s="21"/>
      <c r="K58" s="21"/>
    </row>
    <row r="59" spans="1:11" customFormat="1" ht="15.75" customHeight="1" x14ac:dyDescent="0.35">
      <c r="A59" s="92" t="s">
        <v>211</v>
      </c>
      <c r="B59" s="93"/>
      <c r="C59" s="165" t="s">
        <v>229</v>
      </c>
      <c r="D59" s="166"/>
      <c r="E59" s="166"/>
      <c r="F59" s="166"/>
      <c r="G59" s="166"/>
      <c r="H59" s="167"/>
      <c r="I59" s="55"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 Completed",IF(C65&gt;0,", RCC upto "&amp;C65&amp;" Slab Completed",""))&amp;(IF(C66=H60,", Brickwork Completed",IF(C66&gt;0,", Brickwork upto "&amp;C66&amp;" Floor Completed",""))&amp;(IF(C67=H60,", Internal Plaster Completed",IF(C67&gt;0,", Internal Plaster upto "&amp;C67&amp;" Floor Completed",""))&amp;(IF(C68=H60,", External Plaster Completed",IF(C68&gt;0,", External Plaster upto "&amp;C68&amp;" Floor Completed",""))&amp;(IF(C69=H60,", Flooring Completed",IF(C69&gt;0,", Flooring upto "&amp;C69&amp;" Floor Completed",""))&amp;(IF(C70=H60,", Painting Completed",IF(C70&gt;0,", Painting upto "&amp;C70&amp;" Floor Completed",""))&amp;(IF(C71&gt;0,", Finishing upto "&amp;C71&amp;" Floor Completed","")&amp;(IF(C65&gt;0.5,".",""))))))))))))))</f>
        <v>Excavation work Completed. Plinth work completed, RCC upto 3 Slab Completed, Brickwork upto 2 Floor Completed, External Plaster upto 1 Floor Completed.</v>
      </c>
      <c r="J59" s="25"/>
    </row>
    <row r="60" spans="1:11" s="58" customFormat="1" x14ac:dyDescent="0.35">
      <c r="A60" s="24" t="s">
        <v>103</v>
      </c>
      <c r="B60" s="52">
        <v>0</v>
      </c>
      <c r="C60" s="52" t="s">
        <v>105</v>
      </c>
      <c r="D60" s="52">
        <v>1</v>
      </c>
      <c r="E60" s="52" t="s">
        <v>104</v>
      </c>
      <c r="F60" s="52">
        <v>0</v>
      </c>
      <c r="G60" s="52" t="s">
        <v>120</v>
      </c>
      <c r="H60" s="44">
        <f ca="1">--TRIM(RIGHT(SUBSTITUTE(LEFT(C59,_xlfn.AGGREGATE(16,6,FIND({0,1,2,3,4,5,6,7,8,9},C59,ROW(INDIRECT("1:"&amp;LEN(C59)))),1))," ",REPT(" ",LEN(C59))),LEN(C59)))</f>
        <v>4</v>
      </c>
      <c r="I60" s="56"/>
      <c r="J60" s="57"/>
    </row>
    <row r="61" spans="1:11" s="58" customFormat="1" ht="51" customHeight="1" x14ac:dyDescent="0.35">
      <c r="A61" s="95" t="s">
        <v>131</v>
      </c>
      <c r="B61" s="96"/>
      <c r="C61" s="80" t="str">
        <f ca="1">I59</f>
        <v>Excavation work Completed. Plinth work completed, RCC upto 3 Slab Completed, Brickwork upto 2 Floor Completed, External Plaster upto 1 Floor Completed.</v>
      </c>
      <c r="D61" s="97"/>
      <c r="E61" s="97"/>
      <c r="F61" s="97"/>
      <c r="G61" s="97"/>
      <c r="H61" s="98"/>
      <c r="I61" s="56" t="s">
        <v>149</v>
      </c>
      <c r="J61" s="57"/>
    </row>
    <row r="62" spans="1:11" s="58" customFormat="1" ht="31" x14ac:dyDescent="0.35">
      <c r="A62" s="99" t="s">
        <v>53</v>
      </c>
      <c r="B62" s="100"/>
      <c r="C62" s="45" t="s">
        <v>212</v>
      </c>
      <c r="D62" s="51" t="s">
        <v>123</v>
      </c>
      <c r="E62" s="101" t="s">
        <v>125</v>
      </c>
      <c r="F62" s="102"/>
      <c r="G62" s="101" t="s">
        <v>124</v>
      </c>
      <c r="H62" s="103"/>
      <c r="I62" s="59" t="s">
        <v>213</v>
      </c>
      <c r="J62" s="60">
        <f ca="1">H60*25%</f>
        <v>1</v>
      </c>
    </row>
    <row r="63" spans="1:11" s="58" customFormat="1" x14ac:dyDescent="0.35">
      <c r="A63" s="100" t="s">
        <v>214</v>
      </c>
      <c r="B63" s="100"/>
      <c r="C63" s="46">
        <f ca="1">J64</f>
        <v>4</v>
      </c>
      <c r="D63" s="53">
        <f ca="1">((100/H60)*C63)/100</f>
        <v>1</v>
      </c>
      <c r="E63" s="192">
        <f ca="1">(((C64/H60*10)+(40/(D60+F60+H60)*C65)+(7.5/(H60)*C66)+(7.5/(H60)*C67)+(10/H60*C68)+(10/H60*C69)+(5/H60*C70)+(5/H60*C71)+(5/H60*C72))/100)</f>
        <v>0.40250000000000002</v>
      </c>
      <c r="F63" s="192"/>
      <c r="G63" s="192">
        <f ca="1">((((C63/H60)*20)+((C64/H60)*25)+(30/(H60+F60+D60)*C65)+(5/H60*C66)+(5/H60*C67)+(5/H60*C68)+(5/H60*C69)+(0/H60*C70)+(0/H60*C71)+(5/H60*C72))/100)</f>
        <v>0.66749999999999998</v>
      </c>
      <c r="H63" s="192"/>
      <c r="I63" s="59" t="s">
        <v>143</v>
      </c>
      <c r="J63" s="61">
        <f ca="1">H60*50%</f>
        <v>2</v>
      </c>
    </row>
    <row r="64" spans="1:11" s="58" customFormat="1" x14ac:dyDescent="0.35">
      <c r="A64" s="100" t="s">
        <v>54</v>
      </c>
      <c r="B64" s="100"/>
      <c r="C64" s="47">
        <f ca="1">J72</f>
        <v>4</v>
      </c>
      <c r="D64" s="53">
        <f ca="1">((100/H60)*C64)/100</f>
        <v>1</v>
      </c>
      <c r="E64" s="192"/>
      <c r="F64" s="192"/>
      <c r="G64" s="192"/>
      <c r="H64" s="192"/>
      <c r="I64" s="59" t="s">
        <v>144</v>
      </c>
      <c r="J64" s="61">
        <f ca="1">H60</f>
        <v>4</v>
      </c>
    </row>
    <row r="65" spans="1:14" s="58" customFormat="1" x14ac:dyDescent="0.35">
      <c r="A65" s="100" t="s">
        <v>215</v>
      </c>
      <c r="B65" s="100"/>
      <c r="C65" s="47">
        <v>3</v>
      </c>
      <c r="D65" s="53">
        <f ca="1">((100/(D60+F60+H60))*C65)/100</f>
        <v>0.6</v>
      </c>
      <c r="E65" s="192"/>
      <c r="F65" s="192"/>
      <c r="G65" s="192"/>
      <c r="H65" s="192"/>
      <c r="I65" s="59" t="s">
        <v>145</v>
      </c>
      <c r="J65" s="62">
        <f ca="1">(IF(B60&gt;1,(H60/(B60+2)),H60/4))</f>
        <v>1</v>
      </c>
      <c r="L65" s="63"/>
    </row>
    <row r="66" spans="1:14" s="58" customFormat="1" ht="15.75" customHeight="1" x14ac:dyDescent="0.35">
      <c r="A66" s="100" t="s">
        <v>216</v>
      </c>
      <c r="B66" s="100" t="s">
        <v>217</v>
      </c>
      <c r="C66" s="46">
        <v>2</v>
      </c>
      <c r="D66" s="53">
        <f ca="1">((100/H60)*C66)/100</f>
        <v>0.5</v>
      </c>
      <c r="E66" s="192"/>
      <c r="F66" s="192"/>
      <c r="G66" s="192"/>
      <c r="H66" s="192"/>
      <c r="I66" s="59" t="s">
        <v>146</v>
      </c>
      <c r="J66" s="62">
        <f ca="1">(IF(B60&gt;1,(H60/(B60+2)+J65),H60/4+J65))</f>
        <v>2</v>
      </c>
      <c r="L66" s="63"/>
    </row>
    <row r="67" spans="1:14" s="58" customFormat="1" ht="15.75" customHeight="1" x14ac:dyDescent="0.35">
      <c r="A67" s="100" t="s">
        <v>218</v>
      </c>
      <c r="B67" s="100" t="s">
        <v>217</v>
      </c>
      <c r="C67" s="46">
        <v>0</v>
      </c>
      <c r="D67" s="53">
        <f ca="1">((100/H60)*C67)/100</f>
        <v>0</v>
      </c>
      <c r="E67" s="192"/>
      <c r="F67" s="192"/>
      <c r="G67" s="192"/>
      <c r="H67" s="192"/>
      <c r="I67" s="59" t="s">
        <v>219</v>
      </c>
      <c r="J67" s="62">
        <f>(IF(B60&gt;1,(H60/(B60+2)+J66),0))</f>
        <v>0</v>
      </c>
      <c r="K67" s="64"/>
      <c r="L67" s="65"/>
      <c r="N67" s="63"/>
    </row>
    <row r="68" spans="1:14" s="58" customFormat="1" ht="15.75" customHeight="1" x14ac:dyDescent="0.35">
      <c r="A68" s="100" t="s">
        <v>220</v>
      </c>
      <c r="B68" s="100" t="s">
        <v>221</v>
      </c>
      <c r="C68" s="46">
        <v>1</v>
      </c>
      <c r="D68" s="53">
        <f ca="1">((100/(H60))*C68)/100</f>
        <v>0.25</v>
      </c>
      <c r="E68" s="192"/>
      <c r="F68" s="192"/>
      <c r="G68" s="192"/>
      <c r="H68" s="192"/>
      <c r="I68" s="59" t="s">
        <v>222</v>
      </c>
      <c r="J68" s="62">
        <f>(IF(B60&gt;2,(H60/(B60+2)+J67),0))</f>
        <v>0</v>
      </c>
      <c r="K68" s="66"/>
      <c r="L68" s="65"/>
    </row>
    <row r="69" spans="1:14" s="58" customFormat="1" ht="15.75" customHeight="1" x14ac:dyDescent="0.35">
      <c r="A69" s="100" t="s">
        <v>223</v>
      </c>
      <c r="B69" s="100" t="s">
        <v>223</v>
      </c>
      <c r="C69" s="46">
        <v>0</v>
      </c>
      <c r="D69" s="53">
        <f ca="1">((100/H60)*C69)/100</f>
        <v>0</v>
      </c>
      <c r="E69" s="192"/>
      <c r="F69" s="192"/>
      <c r="G69" s="192"/>
      <c r="H69" s="192"/>
      <c r="I69" s="59" t="s">
        <v>224</v>
      </c>
      <c r="J69" s="67">
        <f>(IF(B60&gt;3,(H60/(B60+2)+J68),0))</f>
        <v>0</v>
      </c>
      <c r="K69" s="66"/>
      <c r="L69" s="65"/>
    </row>
    <row r="70" spans="1:14" s="58" customFormat="1" ht="15.75" customHeight="1" x14ac:dyDescent="0.35">
      <c r="A70" s="100" t="s">
        <v>225</v>
      </c>
      <c r="B70" s="100"/>
      <c r="C70" s="46">
        <v>0</v>
      </c>
      <c r="D70" s="53">
        <f ca="1">((100/H60)*C70)/100</f>
        <v>0</v>
      </c>
      <c r="E70" s="192"/>
      <c r="F70" s="192"/>
      <c r="G70" s="192"/>
      <c r="H70" s="192"/>
      <c r="I70" s="59" t="s">
        <v>226</v>
      </c>
      <c r="J70" s="62">
        <f>(IF(B60&gt;4,(H60/(B60+2)+J69),0))</f>
        <v>0</v>
      </c>
      <c r="K70" s="68"/>
      <c r="L70" s="65"/>
    </row>
    <row r="71" spans="1:14" s="58" customFormat="1" ht="15.75" customHeight="1" x14ac:dyDescent="0.35">
      <c r="A71" s="100" t="s">
        <v>227</v>
      </c>
      <c r="B71" s="100" t="s">
        <v>227</v>
      </c>
      <c r="C71" s="46">
        <v>0</v>
      </c>
      <c r="D71" s="53">
        <f ca="1">((100/(H60))*C71)/100</f>
        <v>0</v>
      </c>
      <c r="E71" s="192"/>
      <c r="F71" s="192"/>
      <c r="G71" s="192"/>
      <c r="H71" s="192"/>
      <c r="I71" s="59" t="s">
        <v>147</v>
      </c>
      <c r="J71" s="62">
        <f ca="1">(IF(B60=1,(H60/(B60+3)+J66),IF(B60=0,(H60/4+J66),IF(B60&gt;1,0))))</f>
        <v>3</v>
      </c>
      <c r="K71" s="66"/>
      <c r="L71" s="65"/>
    </row>
    <row r="72" spans="1:14" s="58" customFormat="1" ht="16" thickBot="1" x14ac:dyDescent="0.4">
      <c r="A72" s="100" t="s">
        <v>228</v>
      </c>
      <c r="B72" s="100"/>
      <c r="C72" s="46">
        <v>0</v>
      </c>
      <c r="D72" s="53">
        <f ca="1">((100/(H60))*C72)/100</f>
        <v>0</v>
      </c>
      <c r="E72" s="192"/>
      <c r="F72" s="192"/>
      <c r="G72" s="192"/>
      <c r="H72" s="192"/>
      <c r="I72" s="69" t="s">
        <v>148</v>
      </c>
      <c r="J72" s="70">
        <f ca="1">(IF(B60&gt;1.5,(H60/(B60+2)+J66+MAX(0,J67-J66)+MAX(0,J68-J67)+MAX(0,J69-J68)+MAX(0,J70-J69)+MAX(0,J71-J70)),IF(B60=1,(H60/(B60+3)+J71),IF(B60=0,H60/4+J71))))</f>
        <v>4</v>
      </c>
      <c r="K72" s="66"/>
      <c r="L72" s="65"/>
    </row>
    <row r="73" spans="1:14" customFormat="1" ht="15.75" customHeight="1" x14ac:dyDescent="0.35">
      <c r="A73" s="82" t="s">
        <v>211</v>
      </c>
      <c r="B73" s="82"/>
      <c r="C73" s="82" t="s">
        <v>230</v>
      </c>
      <c r="D73" s="82"/>
      <c r="E73" s="82"/>
      <c r="F73" s="82"/>
      <c r="G73" s="82"/>
      <c r="H73" s="82"/>
      <c r="I73" s="55" t="str">
        <f ca="1">(IF(E77&gt;99%,"All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 Completed",IF(C79&gt;0,", RCC upto "&amp;C79&amp;" Slab Completed",""))&amp;(IF(C80=H74,", Brickwork Completed",IF(C80&gt;0,", Brickwork upto "&amp;C80&amp;" Floor Completed",""))&amp;(IF(C81=H74,", Internal Plaster Completed",IF(C81&gt;0,", Internal Plaster upto "&amp;C81&amp;" Floor Completed",""))&amp;(IF(C82=H74,", External Plaster Completed",IF(C82&gt;0,", External Plaster upto "&amp;C82&amp;" Floor Completed",""))&amp;(IF(C83=H74,", Flooring Completed",IF(C83&gt;0,", Flooring upto "&amp;C83&amp;" Floor Completed",""))&amp;(IF(C84=H74,", Painting Completed",IF(C84&gt;0,", Painting upto "&amp;C84&amp;" Floor Completed",""))&amp;(IF(C85&gt;0,", Finishing upto "&amp;C85&amp;" Floor Completed","")&amp;(IF(C79&gt;0.5,".",""))))))))))))))</f>
        <v>Excavation work Completed. Plinth work completed, RCC upto 3 Slab Completed, Brickwork upto 2 Floor Completed, Internal Plaster upto 1 Floor Completed, External Plaster upto 1 Floor Completed, Flooring upto 1 Floor Completed, Painting upto 1 Floor Completed.</v>
      </c>
      <c r="J73" s="25"/>
    </row>
    <row r="74" spans="1:14" s="58" customFormat="1" x14ac:dyDescent="0.35">
      <c r="A74" s="77" t="s">
        <v>103</v>
      </c>
      <c r="B74" s="77">
        <v>0</v>
      </c>
      <c r="C74" s="77" t="s">
        <v>105</v>
      </c>
      <c r="D74" s="77">
        <v>1</v>
      </c>
      <c r="E74" s="77" t="s">
        <v>104</v>
      </c>
      <c r="F74" s="77">
        <v>0</v>
      </c>
      <c r="G74" s="77" t="s">
        <v>120</v>
      </c>
      <c r="H74" s="77">
        <f ca="1">--TRIM(RIGHT(SUBSTITUTE(LEFT(C73,_xlfn.AGGREGATE(16,6,FIND({0,1,2,3,4,5,6,7,8,9},C73,ROW(INDIRECT("1:"&amp;LEN(C73)))),1))," ",REPT(" ",LEN(C73))),LEN(C73)))</f>
        <v>4</v>
      </c>
      <c r="I74" s="56"/>
      <c r="J74" s="57"/>
    </row>
    <row r="75" spans="1:14" s="58" customFormat="1" ht="63.75" customHeight="1" x14ac:dyDescent="0.35">
      <c r="A75" s="96" t="s">
        <v>131</v>
      </c>
      <c r="B75" s="96"/>
      <c r="C75" s="110" t="str">
        <f ca="1">I73</f>
        <v>Excavation work Completed. Plinth work completed, RCC upto 3 Slab Completed, Brickwork upto 2 Floor Completed, Internal Plaster upto 1 Floor Completed, External Plaster upto 1 Floor Completed, Flooring upto 1 Floor Completed, Painting upto 1 Floor Completed.</v>
      </c>
      <c r="D75" s="110"/>
      <c r="E75" s="110"/>
      <c r="F75" s="110"/>
      <c r="G75" s="110"/>
      <c r="H75" s="110"/>
      <c r="I75" s="56" t="s">
        <v>149</v>
      </c>
      <c r="J75" s="57"/>
    </row>
    <row r="76" spans="1:14" s="58" customFormat="1" ht="31" x14ac:dyDescent="0.35">
      <c r="A76" s="100" t="s">
        <v>53</v>
      </c>
      <c r="B76" s="100"/>
      <c r="C76" s="45" t="s">
        <v>212</v>
      </c>
      <c r="D76" s="75" t="s">
        <v>123</v>
      </c>
      <c r="E76" s="100" t="s">
        <v>125</v>
      </c>
      <c r="F76" s="100"/>
      <c r="G76" s="100" t="s">
        <v>124</v>
      </c>
      <c r="H76" s="100"/>
      <c r="I76" s="59" t="s">
        <v>213</v>
      </c>
      <c r="J76" s="60">
        <f ca="1">H74*25%</f>
        <v>1</v>
      </c>
    </row>
    <row r="77" spans="1:14" s="58" customFormat="1" x14ac:dyDescent="0.35">
      <c r="A77" s="100" t="s">
        <v>214</v>
      </c>
      <c r="B77" s="100"/>
      <c r="C77" s="46">
        <f ca="1">J78</f>
        <v>4</v>
      </c>
      <c r="D77" s="53">
        <f ca="1">((100/H74)*C77)/100</f>
        <v>1</v>
      </c>
      <c r="E77" s="192">
        <f ca="1">(((C78/H74*10)+(40/(D74+F74+H74)*C79)+(7.5/(H74)*C80)+(7.5/(H74)*C81)+(10/H74*C82)+(10/H74*C83)+(5/H74*C84)+(5/H74*C85)+(5/H74*C86))/100)</f>
        <v>0.45874999999999999</v>
      </c>
      <c r="F77" s="192"/>
      <c r="G77" s="192">
        <f ca="1">((((C77/H74)*20)+((C78/H74)*25)+(30/(H74+F74+D74)*C79)+(5/H74*C80)+(5/H74*C81)+(5/H74*C82)+(5/H74*C83)+(0/H74*C84)+(0/H74*C85)+(5/H74*C86))/100)</f>
        <v>0.6925</v>
      </c>
      <c r="H77" s="192"/>
      <c r="I77" s="59" t="s">
        <v>143</v>
      </c>
      <c r="J77" s="61">
        <f ca="1">H74*50%</f>
        <v>2</v>
      </c>
    </row>
    <row r="78" spans="1:14" s="58" customFormat="1" x14ac:dyDescent="0.35">
      <c r="A78" s="100" t="s">
        <v>54</v>
      </c>
      <c r="B78" s="100"/>
      <c r="C78" s="47">
        <f ca="1">J86</f>
        <v>4</v>
      </c>
      <c r="D78" s="53">
        <f ca="1">((100/H74)*C78)/100</f>
        <v>1</v>
      </c>
      <c r="E78" s="192"/>
      <c r="F78" s="192"/>
      <c r="G78" s="192"/>
      <c r="H78" s="192"/>
      <c r="I78" s="59" t="s">
        <v>144</v>
      </c>
      <c r="J78" s="61">
        <f ca="1">H74</f>
        <v>4</v>
      </c>
    </row>
    <row r="79" spans="1:14" s="58" customFormat="1" x14ac:dyDescent="0.35">
      <c r="A79" s="100" t="s">
        <v>215</v>
      </c>
      <c r="B79" s="100"/>
      <c r="C79" s="47">
        <v>3</v>
      </c>
      <c r="D79" s="53">
        <f ca="1">((100/(D74+F74+H74))*C79)/100</f>
        <v>0.6</v>
      </c>
      <c r="E79" s="192"/>
      <c r="F79" s="192"/>
      <c r="G79" s="192"/>
      <c r="H79" s="192"/>
      <c r="I79" s="59" t="s">
        <v>145</v>
      </c>
      <c r="J79" s="62">
        <f ca="1">(IF(B74&gt;1,(H74/(B74+2)),H74/4))</f>
        <v>1</v>
      </c>
      <c r="L79" s="63"/>
    </row>
    <row r="80" spans="1:14" s="58" customFormat="1" ht="15.75" customHeight="1" x14ac:dyDescent="0.35">
      <c r="A80" s="100" t="s">
        <v>216</v>
      </c>
      <c r="B80" s="100" t="s">
        <v>217</v>
      </c>
      <c r="C80" s="46">
        <v>2</v>
      </c>
      <c r="D80" s="53">
        <f ca="1">((100/H74)*C80)/100</f>
        <v>0.5</v>
      </c>
      <c r="E80" s="192"/>
      <c r="F80" s="192"/>
      <c r="G80" s="192"/>
      <c r="H80" s="192"/>
      <c r="I80" s="59" t="s">
        <v>146</v>
      </c>
      <c r="J80" s="62">
        <f ca="1">(IF(B74&gt;1,(H74/(B74+2)+J79),H74/4+J79))</f>
        <v>2</v>
      </c>
      <c r="L80" s="63"/>
    </row>
    <row r="81" spans="1:14" s="58" customFormat="1" ht="15.75" customHeight="1" x14ac:dyDescent="0.35">
      <c r="A81" s="100" t="s">
        <v>218</v>
      </c>
      <c r="B81" s="100" t="s">
        <v>217</v>
      </c>
      <c r="C81" s="46">
        <v>1</v>
      </c>
      <c r="D81" s="53">
        <f ca="1">((100/H74)*C81)/100</f>
        <v>0.25</v>
      </c>
      <c r="E81" s="192"/>
      <c r="F81" s="192"/>
      <c r="G81" s="192"/>
      <c r="H81" s="192"/>
      <c r="I81" s="59" t="s">
        <v>219</v>
      </c>
      <c r="J81" s="62">
        <f>(IF(B74&gt;1,(H74/(B74+2)+J80),0))</f>
        <v>0</v>
      </c>
      <c r="K81" s="64"/>
      <c r="L81" s="65"/>
      <c r="N81" s="63"/>
    </row>
    <row r="82" spans="1:14" s="58" customFormat="1" ht="15.75" customHeight="1" x14ac:dyDescent="0.35">
      <c r="A82" s="100" t="s">
        <v>220</v>
      </c>
      <c r="B82" s="100" t="s">
        <v>221</v>
      </c>
      <c r="C82" s="46">
        <v>1</v>
      </c>
      <c r="D82" s="53">
        <f ca="1">((100/(H74))*C82)/100</f>
        <v>0.25</v>
      </c>
      <c r="E82" s="192"/>
      <c r="F82" s="192"/>
      <c r="G82" s="192"/>
      <c r="H82" s="192"/>
      <c r="I82" s="59" t="s">
        <v>222</v>
      </c>
      <c r="J82" s="62">
        <f>(IF(B74&gt;2,(H74/(B74+2)+J81),0))</f>
        <v>0</v>
      </c>
      <c r="K82" s="66"/>
      <c r="L82" s="65"/>
    </row>
    <row r="83" spans="1:14" s="58" customFormat="1" ht="15.75" customHeight="1" x14ac:dyDescent="0.35">
      <c r="A83" s="100" t="s">
        <v>223</v>
      </c>
      <c r="B83" s="100" t="s">
        <v>223</v>
      </c>
      <c r="C83" s="46">
        <v>1</v>
      </c>
      <c r="D83" s="53">
        <f ca="1">((100/H74)*C83)/100</f>
        <v>0.25</v>
      </c>
      <c r="E83" s="192"/>
      <c r="F83" s="192"/>
      <c r="G83" s="192"/>
      <c r="H83" s="192"/>
      <c r="I83" s="59" t="s">
        <v>224</v>
      </c>
      <c r="J83" s="67">
        <f>(IF(B74&gt;3,(H74/(B74+2)+J82),0))</f>
        <v>0</v>
      </c>
      <c r="K83" s="66"/>
      <c r="L83" s="65"/>
    </row>
    <row r="84" spans="1:14" s="58" customFormat="1" ht="15.75" customHeight="1" x14ac:dyDescent="0.35">
      <c r="A84" s="100" t="s">
        <v>225</v>
      </c>
      <c r="B84" s="100"/>
      <c r="C84" s="46">
        <v>1</v>
      </c>
      <c r="D84" s="53">
        <f ca="1">((100/H74)*C84)/100</f>
        <v>0.25</v>
      </c>
      <c r="E84" s="192"/>
      <c r="F84" s="192"/>
      <c r="G84" s="192"/>
      <c r="H84" s="192"/>
      <c r="I84" s="59" t="s">
        <v>226</v>
      </c>
      <c r="J84" s="62">
        <f>(IF(B74&gt;4,(H74/(B74+2)+J83),0))</f>
        <v>0</v>
      </c>
      <c r="K84" s="68"/>
      <c r="L84" s="65"/>
    </row>
    <row r="85" spans="1:14" s="58" customFormat="1" ht="15.75" customHeight="1" x14ac:dyDescent="0.35">
      <c r="A85" s="100" t="s">
        <v>227</v>
      </c>
      <c r="B85" s="100" t="s">
        <v>227</v>
      </c>
      <c r="C85" s="46">
        <v>0</v>
      </c>
      <c r="D85" s="53">
        <f ca="1">((100/(H74))*C85)/100</f>
        <v>0</v>
      </c>
      <c r="E85" s="192"/>
      <c r="F85" s="192"/>
      <c r="G85" s="192"/>
      <c r="H85" s="192"/>
      <c r="I85" s="59" t="s">
        <v>147</v>
      </c>
      <c r="J85" s="62">
        <f ca="1">(IF(B74=1,(H74/(B74+3)+J80),IF(B74=0,(H74/4+J80),IF(B74&gt;1,0))))</f>
        <v>3</v>
      </c>
      <c r="K85" s="66"/>
      <c r="L85" s="65"/>
    </row>
    <row r="86" spans="1:14" s="58" customFormat="1" ht="16" thickBot="1" x14ac:dyDescent="0.4">
      <c r="A86" s="100" t="s">
        <v>228</v>
      </c>
      <c r="B86" s="100"/>
      <c r="C86" s="46">
        <v>0</v>
      </c>
      <c r="D86" s="53">
        <f ca="1">((100/(H74))*C86)/100</f>
        <v>0</v>
      </c>
      <c r="E86" s="192"/>
      <c r="F86" s="192"/>
      <c r="G86" s="192"/>
      <c r="H86" s="192"/>
      <c r="I86" s="69" t="s">
        <v>148</v>
      </c>
      <c r="J86" s="70">
        <f ca="1">(IF(B74&gt;1.5,(H74/(B74+2)+J80+MAX(0,J81-J80)+MAX(0,J82-J81)+MAX(0,J83-J82)+MAX(0,J84-J83)+MAX(0,J85-J84)),IF(B74=1,(H74/(B74+3)+J85),IF(B74=0,H74/4+J85))))</f>
        <v>4</v>
      </c>
      <c r="K86" s="66"/>
      <c r="L86" s="65"/>
    </row>
    <row r="87" spans="1:14" customFormat="1" ht="15.75" customHeight="1" x14ac:dyDescent="0.35">
      <c r="A87" s="187" t="s">
        <v>211</v>
      </c>
      <c r="B87" s="188"/>
      <c r="C87" s="189" t="s">
        <v>231</v>
      </c>
      <c r="D87" s="190"/>
      <c r="E87" s="190"/>
      <c r="F87" s="190"/>
      <c r="G87" s="190"/>
      <c r="H87" s="191"/>
      <c r="I87" s="55" t="str">
        <f ca="1">(IF(E91&gt;99%,"All work completed. Please provide OC.",IF(E91&gt;89.8%,"Plinth, RCC, Brick, Plaster, Flooring, Painting work Completed. Finishing work is in process.",IF(E91&lt;94%,(IF(C91=0,"Work not yet Started.",IF(D91=25%,"Piling work in process",IF(D91=50%,"Excavation work in process",IF(D91=100%,"Excavation work Completed. ","0")))&amp;(IF(C92=0%,"",IF(C92=J93,"Footing work is process",IF(C92=J94,"Footing work Completed",IF(C92=J95,"1st Basement Completed",IF(C92=J96,"1st &amp; 2nd Basement Completed",IF(C92=J97,"1st to 3rd Basement Completed",IF(C92=J98,"1st to 4th Basement Completed",IF(C92=J99,"Plinth work is process",IF(C92=J100,"Plinth work completed","0")))))))))))&amp;(IF(C93=(D88+F88+H88),", RCC Slab Completed",IF(C93&gt;0,", RCC upto "&amp;C93&amp;" Slab Completed",""))&amp;(IF(C94=H88,", Brickwork Completed",IF(C94&gt;0,", Brickwork upto "&amp;C94&amp;" Floor Completed",""))&amp;(IF(C95=H88,", Internal Plaster Completed",IF(C95&gt;0,", Internal Plaster upto "&amp;C95&amp;" Floor Completed",""))&amp;(IF(C96=H88,", External Plaster Completed",IF(C96&gt;0,", External Plaster upto "&amp;C96&amp;" Floor Completed",""))&amp;(IF(C97=H88,", Flooring Completed",IF(C97&gt;0,", Flooring upto "&amp;C97&amp;" Floor Completed",""))&amp;(IF(C98=H88,", Painting Completed",IF(C98&gt;0,", Painting upto "&amp;C98&amp;" Floor Completed",""))&amp;(IF(C99&gt;0,", Finishing upto "&amp;C99&amp;" Floor Completed","")&amp;(IF(C93&gt;0.5,".",""))))))))))))))</f>
        <v>Excavation work Completed. Plinth work completed, RCC upto 3 Slab Completed, Brickwork upto 2 Floor Completed, Internal Plaster upto 1 Floor Completed, External Plaster upto 1 Floor Completed.</v>
      </c>
      <c r="J87" s="25"/>
    </row>
    <row r="88" spans="1:14" s="58" customFormat="1" x14ac:dyDescent="0.35">
      <c r="A88" s="24" t="s">
        <v>103</v>
      </c>
      <c r="B88" s="52">
        <v>0</v>
      </c>
      <c r="C88" s="52" t="s">
        <v>105</v>
      </c>
      <c r="D88" s="52">
        <v>1</v>
      </c>
      <c r="E88" s="52" t="s">
        <v>104</v>
      </c>
      <c r="F88" s="52">
        <v>0</v>
      </c>
      <c r="G88" s="52" t="s">
        <v>120</v>
      </c>
      <c r="H88" s="44">
        <f ca="1">--TRIM(RIGHT(SUBSTITUTE(LEFT(C87,_xlfn.AGGREGATE(16,6,FIND({0,1,2,3,4,5,6,7,8,9},C87,ROW(INDIRECT("1:"&amp;LEN(C87)))),1))," ",REPT(" ",LEN(C87))),LEN(C87)))</f>
        <v>4</v>
      </c>
      <c r="I88" s="56"/>
      <c r="J88" s="57"/>
    </row>
    <row r="89" spans="1:14" s="58" customFormat="1" ht="48.75" customHeight="1" x14ac:dyDescent="0.35">
      <c r="A89" s="95" t="s">
        <v>131</v>
      </c>
      <c r="B89" s="96"/>
      <c r="C89" s="80" t="str">
        <f ca="1">I87</f>
        <v>Excavation work Completed. Plinth work completed, RCC upto 3 Slab Completed, Brickwork upto 2 Floor Completed, Internal Plaster upto 1 Floor Completed, External Plaster upto 1 Floor Completed.</v>
      </c>
      <c r="D89" s="97"/>
      <c r="E89" s="97"/>
      <c r="F89" s="97"/>
      <c r="G89" s="97"/>
      <c r="H89" s="98"/>
      <c r="I89" s="56" t="s">
        <v>149</v>
      </c>
      <c r="J89" s="57"/>
    </row>
    <row r="90" spans="1:14" s="58" customFormat="1" ht="31" x14ac:dyDescent="0.35">
      <c r="A90" s="99" t="s">
        <v>53</v>
      </c>
      <c r="B90" s="100"/>
      <c r="C90" s="45" t="s">
        <v>212</v>
      </c>
      <c r="D90" s="51" t="s">
        <v>123</v>
      </c>
      <c r="E90" s="101" t="s">
        <v>125</v>
      </c>
      <c r="F90" s="102"/>
      <c r="G90" s="101" t="s">
        <v>124</v>
      </c>
      <c r="H90" s="103"/>
      <c r="I90" s="59" t="s">
        <v>213</v>
      </c>
      <c r="J90" s="60">
        <f ca="1">H88*25%</f>
        <v>1</v>
      </c>
    </row>
    <row r="91" spans="1:14" s="58" customFormat="1" x14ac:dyDescent="0.35">
      <c r="A91" s="99" t="s">
        <v>214</v>
      </c>
      <c r="B91" s="100"/>
      <c r="C91" s="46">
        <f ca="1">J92</f>
        <v>4</v>
      </c>
      <c r="D91" s="53">
        <f ca="1">((100/H88)*C91)/100</f>
        <v>1</v>
      </c>
      <c r="E91" s="168">
        <f ca="1">(((C92/H88*10)+(40/(D88+F88+H88)*C93)+(7.5/(H88)*C94)+(7.5/(H88)*C95)+(10/H88*C96)+(10/H88*C97)+(5/H88*C98)+(5/H88*C99)+(5/H88*C100))/100)</f>
        <v>0.42125000000000001</v>
      </c>
      <c r="F91" s="169"/>
      <c r="G91" s="168">
        <f ca="1">((((C91/H88)*20)+((C92/H88)*25)+(30/(H88+F88+D88)*C93)+(5/H88*C94)+(5/H88*C95)+(5/H88*C96)+(5/H88*C97)+(0/H88*C98)+(0/H88*C99)+(5/H88*C100))/100)</f>
        <v>0.68</v>
      </c>
      <c r="H91" s="174"/>
      <c r="I91" s="59" t="s">
        <v>143</v>
      </c>
      <c r="J91" s="61">
        <f ca="1">H88*50%</f>
        <v>2</v>
      </c>
    </row>
    <row r="92" spans="1:14" s="58" customFormat="1" x14ac:dyDescent="0.35">
      <c r="A92" s="99" t="s">
        <v>54</v>
      </c>
      <c r="B92" s="100"/>
      <c r="C92" s="47">
        <f ca="1">J100</f>
        <v>4</v>
      </c>
      <c r="D92" s="53">
        <f ca="1">((100/H88)*C92)/100</f>
        <v>1</v>
      </c>
      <c r="E92" s="170"/>
      <c r="F92" s="171"/>
      <c r="G92" s="170"/>
      <c r="H92" s="175"/>
      <c r="I92" s="59" t="s">
        <v>144</v>
      </c>
      <c r="J92" s="61">
        <f ca="1">H88</f>
        <v>4</v>
      </c>
    </row>
    <row r="93" spans="1:14" s="58" customFormat="1" x14ac:dyDescent="0.35">
      <c r="A93" s="99" t="s">
        <v>215</v>
      </c>
      <c r="B93" s="100"/>
      <c r="C93" s="47">
        <v>3</v>
      </c>
      <c r="D93" s="53">
        <f ca="1">((100/(D88+F88+H88))*C93)/100</f>
        <v>0.6</v>
      </c>
      <c r="E93" s="170"/>
      <c r="F93" s="171"/>
      <c r="G93" s="170"/>
      <c r="H93" s="175"/>
      <c r="I93" s="59" t="s">
        <v>145</v>
      </c>
      <c r="J93" s="62">
        <f ca="1">(IF(B88&gt;1,(H88/(B88+2)),H88/4))</f>
        <v>1</v>
      </c>
      <c r="L93" s="63"/>
    </row>
    <row r="94" spans="1:14" s="58" customFormat="1" ht="15.75" customHeight="1" x14ac:dyDescent="0.35">
      <c r="A94" s="99" t="s">
        <v>216</v>
      </c>
      <c r="B94" s="100" t="s">
        <v>217</v>
      </c>
      <c r="C94" s="46">
        <v>2</v>
      </c>
      <c r="D94" s="53">
        <f ca="1">((100/H88)*C94)/100</f>
        <v>0.5</v>
      </c>
      <c r="E94" s="170"/>
      <c r="F94" s="171"/>
      <c r="G94" s="170"/>
      <c r="H94" s="175"/>
      <c r="I94" s="59" t="s">
        <v>146</v>
      </c>
      <c r="J94" s="62">
        <f ca="1">(IF(B88&gt;1,(H88/(B88+2)+J93),H88/4+J93))</f>
        <v>2</v>
      </c>
      <c r="L94" s="63"/>
    </row>
    <row r="95" spans="1:14" s="58" customFormat="1" ht="15.75" customHeight="1" x14ac:dyDescent="0.35">
      <c r="A95" s="99" t="s">
        <v>218</v>
      </c>
      <c r="B95" s="100" t="s">
        <v>217</v>
      </c>
      <c r="C95" s="46">
        <v>1</v>
      </c>
      <c r="D95" s="53">
        <f ca="1">((100/H88)*C95)/100</f>
        <v>0.25</v>
      </c>
      <c r="E95" s="170"/>
      <c r="F95" s="171"/>
      <c r="G95" s="170"/>
      <c r="H95" s="175"/>
      <c r="I95" s="59" t="s">
        <v>219</v>
      </c>
      <c r="J95" s="62">
        <f>(IF(B88&gt;1,(H88/(B88+2)+J94),0))</f>
        <v>0</v>
      </c>
      <c r="K95" s="64"/>
      <c r="L95" s="65"/>
      <c r="N95" s="63"/>
    </row>
    <row r="96" spans="1:14" s="58" customFormat="1" ht="15.75" customHeight="1" x14ac:dyDescent="0.35">
      <c r="A96" s="99" t="s">
        <v>220</v>
      </c>
      <c r="B96" s="100" t="s">
        <v>221</v>
      </c>
      <c r="C96" s="46">
        <v>1</v>
      </c>
      <c r="D96" s="53">
        <f ca="1">((100/(H88))*C96)/100</f>
        <v>0.25</v>
      </c>
      <c r="E96" s="170"/>
      <c r="F96" s="171"/>
      <c r="G96" s="170"/>
      <c r="H96" s="175"/>
      <c r="I96" s="59" t="s">
        <v>222</v>
      </c>
      <c r="J96" s="62">
        <f>(IF(B88&gt;2,(H88/(B88+2)+J95),0))</f>
        <v>0</v>
      </c>
      <c r="K96" s="66"/>
      <c r="L96" s="65"/>
    </row>
    <row r="97" spans="1:12" s="58" customFormat="1" ht="15.75" customHeight="1" x14ac:dyDescent="0.35">
      <c r="A97" s="99" t="s">
        <v>223</v>
      </c>
      <c r="B97" s="100" t="s">
        <v>223</v>
      </c>
      <c r="C97" s="46">
        <v>0</v>
      </c>
      <c r="D97" s="53">
        <f ca="1">((100/H88)*C97)/100</f>
        <v>0</v>
      </c>
      <c r="E97" s="170"/>
      <c r="F97" s="171"/>
      <c r="G97" s="170"/>
      <c r="H97" s="175"/>
      <c r="I97" s="59" t="s">
        <v>224</v>
      </c>
      <c r="J97" s="67">
        <f>(IF(B88&gt;3,(H88/(B88+2)+J96),0))</f>
        <v>0</v>
      </c>
      <c r="K97" s="66"/>
      <c r="L97" s="65"/>
    </row>
    <row r="98" spans="1:12" s="58" customFormat="1" ht="15.75" customHeight="1" x14ac:dyDescent="0.35">
      <c r="A98" s="99" t="s">
        <v>225</v>
      </c>
      <c r="B98" s="100"/>
      <c r="C98" s="46">
        <v>0</v>
      </c>
      <c r="D98" s="53">
        <f ca="1">((100/H88)*C98)/100</f>
        <v>0</v>
      </c>
      <c r="E98" s="170"/>
      <c r="F98" s="171"/>
      <c r="G98" s="170"/>
      <c r="H98" s="175"/>
      <c r="I98" s="59" t="s">
        <v>226</v>
      </c>
      <c r="J98" s="62">
        <f>(IF(B88&gt;4,(H88/(B88+2)+J97),0))</f>
        <v>0</v>
      </c>
      <c r="K98" s="68"/>
      <c r="L98" s="65"/>
    </row>
    <row r="99" spans="1:12" s="58" customFormat="1" ht="15.75" customHeight="1" x14ac:dyDescent="0.35">
      <c r="A99" s="99" t="s">
        <v>227</v>
      </c>
      <c r="B99" s="100" t="s">
        <v>227</v>
      </c>
      <c r="C99" s="46">
        <v>0</v>
      </c>
      <c r="D99" s="53">
        <f ca="1">((100/(H88))*C99)/100</f>
        <v>0</v>
      </c>
      <c r="E99" s="170"/>
      <c r="F99" s="171"/>
      <c r="G99" s="170"/>
      <c r="H99" s="175"/>
      <c r="I99" s="59" t="s">
        <v>147</v>
      </c>
      <c r="J99" s="62">
        <f ca="1">(IF(B88=1,(H88/(B88+3)+J94),IF(B88=0,(H88/4+J94),IF(B88&gt;1,0))))</f>
        <v>3</v>
      </c>
      <c r="K99" s="66"/>
      <c r="L99" s="65"/>
    </row>
    <row r="100" spans="1:12" s="58" customFormat="1" ht="16" thickBot="1" x14ac:dyDescent="0.4">
      <c r="A100" s="177" t="s">
        <v>228</v>
      </c>
      <c r="B100" s="178"/>
      <c r="C100" s="48">
        <v>0</v>
      </c>
      <c r="D100" s="54">
        <f ca="1">((100/(H88))*C100)/100</f>
        <v>0</v>
      </c>
      <c r="E100" s="172"/>
      <c r="F100" s="173"/>
      <c r="G100" s="172"/>
      <c r="H100" s="176"/>
      <c r="I100" s="69" t="s">
        <v>148</v>
      </c>
      <c r="J100" s="70">
        <f ca="1">(IF(B88&gt;1.5,(H88/(B88+2)+J94+MAX(0,J95-J94)+MAX(0,J96-J95)+MAX(0,J97-J96)+MAX(0,J98-J97)+MAX(0,J99-J98)),IF(B88=1,(H88/(B88+3)+J99),IF(B88=0,H88/4+J99))))</f>
        <v>4</v>
      </c>
      <c r="K100" s="66"/>
      <c r="L100" s="65"/>
    </row>
    <row r="101" spans="1:12" x14ac:dyDescent="0.35">
      <c r="A101" s="107" t="s">
        <v>172</v>
      </c>
      <c r="B101" s="107"/>
      <c r="C101" s="107"/>
      <c r="D101" s="107"/>
      <c r="E101" s="107"/>
      <c r="F101" s="107"/>
      <c r="G101" s="107"/>
      <c r="H101" s="107"/>
    </row>
    <row r="102" spans="1:12" x14ac:dyDescent="0.35">
      <c r="A102" s="79" t="s">
        <v>55</v>
      </c>
      <c r="B102" s="79"/>
      <c r="C102" s="79"/>
      <c r="D102" s="79"/>
      <c r="E102" s="79"/>
      <c r="F102" s="79"/>
      <c r="G102" s="79"/>
      <c r="H102" s="79"/>
    </row>
    <row r="103" spans="1:12" ht="15" customHeight="1" x14ac:dyDescent="0.35">
      <c r="A103" s="96" t="s">
        <v>108</v>
      </c>
      <c r="B103" s="96"/>
      <c r="C103" s="110" t="s">
        <v>109</v>
      </c>
      <c r="D103" s="110"/>
      <c r="E103" s="110"/>
      <c r="F103" s="110"/>
      <c r="G103" s="110"/>
      <c r="H103" s="110"/>
    </row>
    <row r="104" spans="1:12" x14ac:dyDescent="0.35">
      <c r="A104" s="108" t="s">
        <v>56</v>
      </c>
      <c r="B104" s="108"/>
      <c r="C104" s="108"/>
      <c r="D104" s="108"/>
      <c r="E104" s="108"/>
      <c r="F104" s="108"/>
      <c r="G104" s="108"/>
      <c r="H104" s="108"/>
    </row>
    <row r="105" spans="1:12" x14ac:dyDescent="0.35">
      <c r="A105" s="79" t="s">
        <v>110</v>
      </c>
      <c r="B105" s="79"/>
      <c r="C105" s="79"/>
      <c r="D105" s="79"/>
      <c r="E105" s="79"/>
      <c r="F105" s="109">
        <v>3500</v>
      </c>
      <c r="G105" s="109"/>
      <c r="H105" s="109"/>
      <c r="I105" s="8" t="s">
        <v>234</v>
      </c>
      <c r="J105" s="8" t="s">
        <v>237</v>
      </c>
      <c r="K105" s="74">
        <v>45434</v>
      </c>
    </row>
    <row r="106" spans="1:12" x14ac:dyDescent="0.35">
      <c r="A106" s="79" t="s">
        <v>118</v>
      </c>
      <c r="B106" s="79"/>
      <c r="C106" s="79"/>
      <c r="D106" s="79"/>
      <c r="E106" s="79"/>
      <c r="F106" s="78">
        <v>6000</v>
      </c>
      <c r="G106" s="78"/>
      <c r="H106" s="78"/>
      <c r="I106" s="8" t="s">
        <v>236</v>
      </c>
      <c r="J106" s="8" t="s">
        <v>238</v>
      </c>
    </row>
    <row r="107" spans="1:12" hidden="1" x14ac:dyDescent="0.35">
      <c r="A107" s="79" t="s">
        <v>119</v>
      </c>
      <c r="B107" s="79"/>
      <c r="C107" s="79"/>
      <c r="D107" s="79"/>
      <c r="E107" s="79"/>
      <c r="F107" s="78"/>
      <c r="G107" s="78"/>
      <c r="H107" s="78"/>
    </row>
    <row r="108" spans="1:12" s="13" customFormat="1" hidden="1" x14ac:dyDescent="0.3">
      <c r="A108" s="79" t="s">
        <v>136</v>
      </c>
      <c r="B108" s="79"/>
      <c r="C108" s="79"/>
      <c r="D108" s="79"/>
      <c r="E108" s="79"/>
      <c r="F108" s="78" t="s">
        <v>31</v>
      </c>
      <c r="G108" s="78"/>
      <c r="H108" s="78"/>
    </row>
    <row r="109" spans="1:12" s="13" customFormat="1" x14ac:dyDescent="0.3">
      <c r="A109" s="79" t="s">
        <v>235</v>
      </c>
      <c r="B109" s="79"/>
      <c r="C109" s="79"/>
      <c r="D109" s="79"/>
      <c r="E109" s="79"/>
      <c r="F109" s="78">
        <v>150000</v>
      </c>
      <c r="G109" s="78"/>
      <c r="H109" s="78"/>
    </row>
    <row r="110" spans="1:12" s="13" customFormat="1" hidden="1" x14ac:dyDescent="0.3">
      <c r="A110" s="79" t="s">
        <v>137</v>
      </c>
      <c r="B110" s="79"/>
      <c r="C110" s="79"/>
      <c r="D110" s="79"/>
      <c r="E110" s="79"/>
      <c r="F110" s="78" t="s">
        <v>31</v>
      </c>
      <c r="G110" s="78"/>
      <c r="H110" s="78"/>
    </row>
    <row r="111" spans="1:12" s="13" customFormat="1" hidden="1" x14ac:dyDescent="0.3">
      <c r="A111" s="79" t="s">
        <v>138</v>
      </c>
      <c r="B111" s="79"/>
      <c r="C111" s="79"/>
      <c r="D111" s="79"/>
      <c r="E111" s="79"/>
      <c r="F111" s="78" t="s">
        <v>31</v>
      </c>
      <c r="G111" s="78"/>
      <c r="H111" s="78"/>
    </row>
    <row r="112" spans="1:12" s="13" customFormat="1" hidden="1" x14ac:dyDescent="0.3">
      <c r="A112" s="79" t="s">
        <v>139</v>
      </c>
      <c r="B112" s="79"/>
      <c r="C112" s="79"/>
      <c r="D112" s="79"/>
      <c r="E112" s="79"/>
      <c r="F112" s="78" t="s">
        <v>31</v>
      </c>
      <c r="G112" s="78"/>
      <c r="H112" s="78"/>
    </row>
    <row r="113" spans="1:8" s="13" customFormat="1" hidden="1" x14ac:dyDescent="0.3">
      <c r="A113" s="79" t="s">
        <v>140</v>
      </c>
      <c r="B113" s="79"/>
      <c r="C113" s="79"/>
      <c r="D113" s="79"/>
      <c r="E113" s="79"/>
      <c r="F113" s="78" t="s">
        <v>31</v>
      </c>
      <c r="G113" s="78"/>
      <c r="H113" s="78"/>
    </row>
    <row r="114" spans="1:8" s="13" customFormat="1" x14ac:dyDescent="0.3">
      <c r="A114" s="79" t="s">
        <v>141</v>
      </c>
      <c r="B114" s="79"/>
      <c r="C114" s="79"/>
      <c r="D114" s="79"/>
      <c r="E114" s="79"/>
      <c r="F114" s="78" t="s">
        <v>210</v>
      </c>
      <c r="G114" s="78"/>
      <c r="H114" s="78"/>
    </row>
    <row r="115" spans="1:8" s="13" customFormat="1" hidden="1" x14ac:dyDescent="0.3">
      <c r="A115" s="79" t="s">
        <v>142</v>
      </c>
      <c r="B115" s="79"/>
      <c r="C115" s="79"/>
      <c r="D115" s="79"/>
      <c r="E115" s="79"/>
      <c r="F115" s="78" t="s">
        <v>31</v>
      </c>
      <c r="G115" s="78"/>
      <c r="H115" s="78"/>
    </row>
    <row r="116" spans="1:8" hidden="1" x14ac:dyDescent="0.35">
      <c r="A116" s="79" t="s">
        <v>57</v>
      </c>
      <c r="B116" s="79"/>
      <c r="C116" s="79"/>
      <c r="D116" s="79"/>
      <c r="E116" s="79"/>
      <c r="F116" s="85"/>
      <c r="G116" s="85"/>
      <c r="H116" s="85"/>
    </row>
    <row r="117" spans="1:8" s="9" customFormat="1" x14ac:dyDescent="0.35">
      <c r="A117" s="108" t="s">
        <v>58</v>
      </c>
      <c r="B117" s="108"/>
      <c r="C117" s="108"/>
      <c r="D117" s="108"/>
      <c r="E117" s="108"/>
      <c r="F117" s="78">
        <f>F105*0.8</f>
        <v>2800</v>
      </c>
      <c r="G117" s="78"/>
      <c r="H117" s="78"/>
    </row>
    <row r="118" spans="1:8" s="1" customFormat="1" ht="15.75" customHeight="1" x14ac:dyDescent="0.35">
      <c r="A118" s="118" t="s">
        <v>111</v>
      </c>
      <c r="B118" s="118"/>
      <c r="C118" s="118"/>
      <c r="D118" s="118"/>
      <c r="E118" s="118"/>
      <c r="F118" s="118"/>
      <c r="G118" s="118"/>
      <c r="H118" s="118"/>
    </row>
    <row r="119" spans="1:8" s="1" customFormat="1" ht="15.75" customHeight="1" x14ac:dyDescent="0.35">
      <c r="A119" s="121" t="s">
        <v>59</v>
      </c>
      <c r="B119" s="121"/>
      <c r="C119" s="15" t="s">
        <v>115</v>
      </c>
      <c r="D119" s="120" t="s">
        <v>60</v>
      </c>
      <c r="E119" s="120"/>
      <c r="F119" s="121" t="s">
        <v>61</v>
      </c>
      <c r="G119" s="121"/>
      <c r="H119" s="121"/>
    </row>
    <row r="120" spans="1:8" s="1" customFormat="1" ht="15.75" customHeight="1" x14ac:dyDescent="0.35">
      <c r="A120" s="183" t="s">
        <v>173</v>
      </c>
      <c r="B120" s="183"/>
      <c r="C120" s="16">
        <f>COUNT(D135:D141)</f>
        <v>7</v>
      </c>
      <c r="D120" s="126">
        <f>SUM(D135:D141)</f>
        <v>789.86231999999995</v>
      </c>
      <c r="E120" s="126"/>
      <c r="F120" s="182">
        <f>SUM(F135:F141)</f>
        <v>1145.3003639999999</v>
      </c>
      <c r="G120" s="182"/>
      <c r="H120" s="182"/>
    </row>
    <row r="121" spans="1:8" s="1" customFormat="1" ht="15.75" customHeight="1" x14ac:dyDescent="0.35">
      <c r="A121" s="183" t="s">
        <v>178</v>
      </c>
      <c r="B121" s="183"/>
      <c r="C121" s="16">
        <f>COUNT(D151:D157)</f>
        <v>7</v>
      </c>
      <c r="D121" s="126">
        <f>SUM(D151:D157)</f>
        <v>903.96072000000004</v>
      </c>
      <c r="E121" s="126"/>
      <c r="F121" s="182">
        <f>SUM(F151:F157)</f>
        <v>1310.7430440000001</v>
      </c>
      <c r="G121" s="182"/>
      <c r="H121" s="182"/>
    </row>
    <row r="122" spans="1:8" s="1" customFormat="1" x14ac:dyDescent="0.35">
      <c r="A122" s="121" t="s">
        <v>63</v>
      </c>
      <c r="B122" s="121"/>
      <c r="C122" s="43">
        <f>SUM(C120:C121)</f>
        <v>14</v>
      </c>
      <c r="D122" s="119">
        <f>SUM(D120:E121)</f>
        <v>1693.82304</v>
      </c>
      <c r="E122" s="120"/>
      <c r="F122" s="121">
        <f>SUM(F120:H121)</f>
        <v>2456.043408</v>
      </c>
      <c r="G122" s="121"/>
      <c r="H122" s="121"/>
    </row>
    <row r="123" spans="1:8" s="1" customFormat="1" x14ac:dyDescent="0.35">
      <c r="A123" s="118" t="s">
        <v>102</v>
      </c>
      <c r="B123" s="118"/>
      <c r="C123" s="118"/>
      <c r="D123" s="118"/>
      <c r="E123" s="118"/>
      <c r="F123" s="118"/>
      <c r="G123" s="118"/>
      <c r="H123" s="118"/>
    </row>
    <row r="124" spans="1:8" s="1" customFormat="1" x14ac:dyDescent="0.35">
      <c r="A124" s="123" t="s">
        <v>59</v>
      </c>
      <c r="B124" s="123"/>
      <c r="C124" s="15" t="s">
        <v>115</v>
      </c>
      <c r="D124" s="120" t="s">
        <v>60</v>
      </c>
      <c r="E124" s="120"/>
      <c r="F124" s="121" t="s">
        <v>61</v>
      </c>
      <c r="G124" s="121"/>
      <c r="H124" s="121"/>
    </row>
    <row r="125" spans="1:8" s="1" customFormat="1" x14ac:dyDescent="0.35">
      <c r="A125" s="125" t="s">
        <v>173</v>
      </c>
      <c r="B125" s="125"/>
      <c r="C125" s="16">
        <v>10</v>
      </c>
      <c r="D125" s="126">
        <f>SUM(D142:D143)+SUM(D145:D148)*2</f>
        <v>3567.1895999999997</v>
      </c>
      <c r="E125" s="126"/>
      <c r="F125" s="104">
        <f>SUM(F142:F143)+SUM(F145:F148)*2</f>
        <v>5172.4249199999995</v>
      </c>
      <c r="G125" s="105"/>
      <c r="H125" s="106"/>
    </row>
    <row r="126" spans="1:8" s="1" customFormat="1" x14ac:dyDescent="0.35">
      <c r="A126" s="125" t="s">
        <v>178</v>
      </c>
      <c r="B126" s="125"/>
      <c r="C126" s="16">
        <v>16</v>
      </c>
      <c r="D126" s="126">
        <f>SUM(D158:D159)+SUM(D161:D166)*2+SUM(D168:D169)</f>
        <v>5924.3979600000002</v>
      </c>
      <c r="E126" s="126"/>
      <c r="F126" s="104">
        <f>SUM(F158:F159)+SUM(F161:F166)*2+SUM(F168:F169)</f>
        <v>8590.3770420000001</v>
      </c>
      <c r="G126" s="105"/>
      <c r="H126" s="106"/>
    </row>
    <row r="127" spans="1:8" s="1" customFormat="1" x14ac:dyDescent="0.35">
      <c r="A127" s="125" t="s">
        <v>182</v>
      </c>
      <c r="B127" s="125"/>
      <c r="C127" s="16">
        <f>COUNT(D173:D178)*2+COUNT(D180:D183)</f>
        <v>16</v>
      </c>
      <c r="D127" s="126">
        <f>SUM(D173:D178)*2+SUM(D180:D183)</f>
        <v>6141.5078399999993</v>
      </c>
      <c r="E127" s="126"/>
      <c r="F127" s="104">
        <f>SUM(F173:F178)*2+SUM(F180:F183)</f>
        <v>8905.1863679999988</v>
      </c>
      <c r="G127" s="105"/>
      <c r="H127" s="106"/>
    </row>
    <row r="128" spans="1:8" s="1" customFormat="1" x14ac:dyDescent="0.35">
      <c r="A128" s="123" t="s">
        <v>63</v>
      </c>
      <c r="B128" s="123"/>
      <c r="C128" s="43">
        <f>SUM(C125:C127)</f>
        <v>42</v>
      </c>
      <c r="D128" s="119">
        <f>SUM(D125:E127)</f>
        <v>15633.095399999998</v>
      </c>
      <c r="E128" s="120"/>
      <c r="F128" s="121">
        <f>SUM(F125:H127)</f>
        <v>22667.98833</v>
      </c>
      <c r="G128" s="121"/>
      <c r="H128" s="121"/>
    </row>
    <row r="129" spans="1:10" s="9" customFormat="1" ht="15.75" customHeight="1" x14ac:dyDescent="0.35">
      <c r="A129" s="179" t="s">
        <v>64</v>
      </c>
      <c r="B129" s="180"/>
      <c r="C129" s="180"/>
      <c r="D129" s="180"/>
      <c r="E129" s="180"/>
      <c r="F129" s="180"/>
      <c r="G129" s="180"/>
      <c r="H129" s="181"/>
    </row>
    <row r="130" spans="1:10" x14ac:dyDescent="0.35">
      <c r="A130" s="158" t="s">
        <v>65</v>
      </c>
      <c r="B130" s="158"/>
      <c r="C130" s="158"/>
      <c r="D130" s="158"/>
      <c r="E130" s="158"/>
      <c r="F130" s="158"/>
      <c r="G130" s="158"/>
      <c r="H130" s="158"/>
    </row>
    <row r="131" spans="1:10" ht="47.25" customHeight="1" x14ac:dyDescent="0.35">
      <c r="A131" s="159" t="s">
        <v>112</v>
      </c>
      <c r="B131" s="160"/>
      <c r="C131" s="159" t="s">
        <v>66</v>
      </c>
      <c r="D131" s="159" t="s">
        <v>67</v>
      </c>
      <c r="E131" s="159" t="s">
        <v>68</v>
      </c>
      <c r="F131" s="23" t="s">
        <v>233</v>
      </c>
      <c r="G131" s="159" t="s">
        <v>69</v>
      </c>
      <c r="H131" s="163"/>
    </row>
    <row r="132" spans="1:10" s="2" customFormat="1" x14ac:dyDescent="0.35">
      <c r="A132" s="161"/>
      <c r="B132" s="162"/>
      <c r="C132" s="161"/>
      <c r="D132" s="161"/>
      <c r="E132" s="161"/>
      <c r="F132" s="72">
        <v>0.45</v>
      </c>
      <c r="G132" s="161"/>
      <c r="H132" s="164"/>
      <c r="I132" s="71"/>
    </row>
    <row r="133" spans="1:10" s="2" customFormat="1" x14ac:dyDescent="0.35">
      <c r="A133" s="122" t="s">
        <v>173</v>
      </c>
      <c r="B133" s="122"/>
      <c r="C133" s="122"/>
      <c r="D133" s="122"/>
      <c r="E133" s="122"/>
      <c r="F133" s="122"/>
      <c r="G133" s="122"/>
      <c r="H133" s="122"/>
    </row>
    <row r="134" spans="1:10" s="2" customFormat="1" x14ac:dyDescent="0.35">
      <c r="A134" s="122" t="s">
        <v>197</v>
      </c>
      <c r="B134" s="122"/>
      <c r="C134" s="122"/>
      <c r="D134" s="122"/>
      <c r="E134" s="122"/>
      <c r="F134" s="122"/>
      <c r="G134" s="122"/>
      <c r="H134" s="122"/>
    </row>
    <row r="135" spans="1:10" s="2" customFormat="1" ht="15.65" customHeight="1" x14ac:dyDescent="0.35">
      <c r="A135" s="94">
        <v>8</v>
      </c>
      <c r="B135" s="94"/>
      <c r="C135" s="22" t="s">
        <v>174</v>
      </c>
      <c r="D135" s="22">
        <f>9.07*10.764</f>
        <v>97.629480000000001</v>
      </c>
      <c r="E135" s="22">
        <v>0</v>
      </c>
      <c r="F135" s="73">
        <f>D135*(($F$132)+1)+(IF(E135&lt;101,E135,IF(E135&lt;201,E135/2,IF(E135&lt;=301,E135/3,E135/4))))</f>
        <v>141.562746</v>
      </c>
      <c r="G135" s="152" t="str">
        <f>A134</f>
        <v>Ground Floor for Commercial &amp; Residential</v>
      </c>
      <c r="H135" s="153"/>
      <c r="J135" s="2">
        <f>F135/D135</f>
        <v>1.45</v>
      </c>
    </row>
    <row r="136" spans="1:10" s="2" customFormat="1" x14ac:dyDescent="0.35">
      <c r="A136" s="94">
        <v>9</v>
      </c>
      <c r="B136" s="94"/>
      <c r="C136" s="40" t="s">
        <v>174</v>
      </c>
      <c r="D136" s="22">
        <f>10.66*10.764</f>
        <v>114.74423999999999</v>
      </c>
      <c r="E136" s="22">
        <v>0</v>
      </c>
      <c r="F136" s="73">
        <f t="shared" ref="F136:F143" si="0">D136*(($F$132)+1)+(IF(E136&lt;101,E136,IF(E136&lt;201,E136/2,IF(E136&lt;=301,E136/3,E136/4))))</f>
        <v>166.37914799999999</v>
      </c>
      <c r="G136" s="156"/>
      <c r="H136" s="157"/>
      <c r="J136" s="2">
        <f t="shared" ref="J136:J158" si="1">F136/D136</f>
        <v>1.45</v>
      </c>
    </row>
    <row r="137" spans="1:10" s="2" customFormat="1" x14ac:dyDescent="0.35">
      <c r="A137" s="94">
        <v>10</v>
      </c>
      <c r="B137" s="94"/>
      <c r="C137" s="40" t="s">
        <v>174</v>
      </c>
      <c r="D137" s="22">
        <f>14.02*10.764</f>
        <v>150.91127999999998</v>
      </c>
      <c r="E137" s="22">
        <v>0</v>
      </c>
      <c r="F137" s="73">
        <f t="shared" si="0"/>
        <v>218.82135599999995</v>
      </c>
      <c r="G137" s="156"/>
      <c r="H137" s="157"/>
      <c r="J137" s="2">
        <f t="shared" si="1"/>
        <v>1.45</v>
      </c>
    </row>
    <row r="138" spans="1:10" s="2" customFormat="1" x14ac:dyDescent="0.35">
      <c r="A138" s="94">
        <v>11</v>
      </c>
      <c r="B138" s="94"/>
      <c r="C138" s="40" t="s">
        <v>174</v>
      </c>
      <c r="D138" s="22">
        <f>9.39*10.764</f>
        <v>101.07396</v>
      </c>
      <c r="E138" s="22">
        <v>0</v>
      </c>
      <c r="F138" s="73">
        <f t="shared" si="0"/>
        <v>146.557242</v>
      </c>
      <c r="G138" s="156"/>
      <c r="H138" s="157"/>
      <c r="J138" s="2">
        <f t="shared" si="1"/>
        <v>1.45</v>
      </c>
    </row>
    <row r="139" spans="1:10" s="2" customFormat="1" x14ac:dyDescent="0.35">
      <c r="A139" s="94">
        <v>12</v>
      </c>
      <c r="B139" s="94"/>
      <c r="C139" s="40" t="s">
        <v>174</v>
      </c>
      <c r="D139" s="22">
        <f>14.02*10.764</f>
        <v>150.91127999999998</v>
      </c>
      <c r="E139" s="22">
        <v>0</v>
      </c>
      <c r="F139" s="73">
        <f t="shared" si="0"/>
        <v>218.82135599999995</v>
      </c>
      <c r="G139" s="156"/>
      <c r="H139" s="157"/>
      <c r="J139" s="2">
        <f t="shared" si="1"/>
        <v>1.45</v>
      </c>
    </row>
    <row r="140" spans="1:10" s="2" customFormat="1" x14ac:dyDescent="0.35">
      <c r="A140" s="94">
        <v>13</v>
      </c>
      <c r="B140" s="94"/>
      <c r="C140" s="40" t="s">
        <v>174</v>
      </c>
      <c r="D140" s="22">
        <f>7.15*10.764</f>
        <v>76.962599999999995</v>
      </c>
      <c r="E140" s="22">
        <v>0</v>
      </c>
      <c r="F140" s="73">
        <f t="shared" si="0"/>
        <v>111.59576999999999</v>
      </c>
      <c r="G140" s="156"/>
      <c r="H140" s="157"/>
      <c r="J140" s="2">
        <f t="shared" si="1"/>
        <v>1.45</v>
      </c>
    </row>
    <row r="141" spans="1:10" s="2" customFormat="1" x14ac:dyDescent="0.35">
      <c r="A141" s="94">
        <v>14</v>
      </c>
      <c r="B141" s="94"/>
      <c r="C141" s="40" t="s">
        <v>174</v>
      </c>
      <c r="D141" s="22">
        <f>9.07*10.764</f>
        <v>97.629480000000001</v>
      </c>
      <c r="E141" s="22">
        <v>0</v>
      </c>
      <c r="F141" s="73">
        <f t="shared" si="0"/>
        <v>141.562746</v>
      </c>
      <c r="G141" s="156"/>
      <c r="H141" s="157"/>
      <c r="J141" s="2">
        <f t="shared" si="1"/>
        <v>1.45</v>
      </c>
    </row>
    <row r="142" spans="1:10" s="2" customFormat="1" x14ac:dyDescent="0.35">
      <c r="A142" s="94">
        <v>1</v>
      </c>
      <c r="B142" s="94"/>
      <c r="C142" s="49" t="s">
        <v>177</v>
      </c>
      <c r="D142" s="49">
        <f>33.14*10.764</f>
        <v>356.71895999999998</v>
      </c>
      <c r="E142" s="49">
        <v>0</v>
      </c>
      <c r="F142" s="73">
        <f t="shared" si="0"/>
        <v>517.24249199999997</v>
      </c>
      <c r="G142" s="156"/>
      <c r="H142" s="157"/>
      <c r="J142" s="2">
        <f t="shared" si="1"/>
        <v>1.45</v>
      </c>
    </row>
    <row r="143" spans="1:10" s="2" customFormat="1" x14ac:dyDescent="0.35">
      <c r="A143" s="94">
        <v>2</v>
      </c>
      <c r="B143" s="94"/>
      <c r="C143" s="49" t="s">
        <v>177</v>
      </c>
      <c r="D143" s="49">
        <f>33.14*10.764</f>
        <v>356.71895999999998</v>
      </c>
      <c r="E143" s="49">
        <v>0</v>
      </c>
      <c r="F143" s="73">
        <f t="shared" si="0"/>
        <v>517.24249199999997</v>
      </c>
      <c r="G143" s="154"/>
      <c r="H143" s="155"/>
      <c r="J143" s="2">
        <f t="shared" si="1"/>
        <v>1.45</v>
      </c>
    </row>
    <row r="144" spans="1:10" s="2" customFormat="1" x14ac:dyDescent="0.35">
      <c r="A144" s="122" t="s">
        <v>176</v>
      </c>
      <c r="B144" s="122"/>
      <c r="C144" s="122"/>
      <c r="D144" s="122"/>
      <c r="E144" s="122"/>
      <c r="F144" s="122"/>
      <c r="G144" s="122"/>
      <c r="H144" s="122"/>
      <c r="J144" s="2" t="e">
        <f t="shared" si="1"/>
        <v>#DIV/0!</v>
      </c>
    </row>
    <row r="145" spans="1:10" s="2" customFormat="1" x14ac:dyDescent="0.35">
      <c r="A145" s="94" t="s">
        <v>199</v>
      </c>
      <c r="B145" s="94"/>
      <c r="C145" s="22" t="s">
        <v>177</v>
      </c>
      <c r="D145" s="50">
        <f t="shared" ref="D145:D148" si="2">33.14*10.764</f>
        <v>356.71895999999998</v>
      </c>
      <c r="E145" s="22">
        <v>0</v>
      </c>
      <c r="F145" s="73">
        <f t="shared" ref="F145:F148" si="3">D145*(($F$132)+1)+(IF(E145&lt;101,E145,IF(E145&lt;201,E145/2,IF(E145&lt;=301,E145/3,E145/4))))</f>
        <v>517.24249199999997</v>
      </c>
      <c r="G145" s="152" t="s">
        <v>175</v>
      </c>
      <c r="H145" s="153"/>
      <c r="I145" s="2">
        <f>2.75*4.1+2.3*2.3+2.75*3.2+1.2*1.65+1.2*0.9+0.9*5.3</f>
        <v>33.194999999999993</v>
      </c>
      <c r="J145" s="2">
        <f t="shared" si="1"/>
        <v>1.45</v>
      </c>
    </row>
    <row r="146" spans="1:10" s="2" customFormat="1" x14ac:dyDescent="0.35">
      <c r="A146" s="94" t="s">
        <v>200</v>
      </c>
      <c r="B146" s="94"/>
      <c r="C146" s="40" t="s">
        <v>177</v>
      </c>
      <c r="D146" s="50">
        <f t="shared" si="2"/>
        <v>356.71895999999998</v>
      </c>
      <c r="E146" s="22">
        <v>0</v>
      </c>
      <c r="F146" s="73">
        <f t="shared" si="3"/>
        <v>517.24249199999997</v>
      </c>
      <c r="G146" s="156"/>
      <c r="H146" s="157"/>
      <c r="I146" s="2">
        <f>2.75*4.1+2.3*2.3+2.75*3.2+1.2*0.9+1.2*1.65</f>
        <v>28.425000000000001</v>
      </c>
      <c r="J146" s="2">
        <f t="shared" si="1"/>
        <v>1.45</v>
      </c>
    </row>
    <row r="147" spans="1:10" s="2" customFormat="1" x14ac:dyDescent="0.35">
      <c r="A147" s="94" t="s">
        <v>201</v>
      </c>
      <c r="B147" s="94"/>
      <c r="C147" s="40" t="s">
        <v>177</v>
      </c>
      <c r="D147" s="50">
        <f t="shared" si="2"/>
        <v>356.71895999999998</v>
      </c>
      <c r="E147" s="22">
        <v>0</v>
      </c>
      <c r="F147" s="73">
        <f t="shared" si="3"/>
        <v>517.24249199999997</v>
      </c>
      <c r="G147" s="156"/>
      <c r="H147" s="157"/>
      <c r="I147" s="2">
        <f>F145/D145</f>
        <v>1.45</v>
      </c>
      <c r="J147" s="2">
        <f t="shared" si="1"/>
        <v>1.45</v>
      </c>
    </row>
    <row r="148" spans="1:10" s="2" customFormat="1" x14ac:dyDescent="0.35">
      <c r="A148" s="94" t="s">
        <v>202</v>
      </c>
      <c r="B148" s="94"/>
      <c r="C148" s="40" t="s">
        <v>177</v>
      </c>
      <c r="D148" s="50">
        <f t="shared" si="2"/>
        <v>356.71895999999998</v>
      </c>
      <c r="E148" s="22">
        <v>0</v>
      </c>
      <c r="F148" s="73">
        <f t="shared" si="3"/>
        <v>517.24249199999997</v>
      </c>
      <c r="G148" s="154"/>
      <c r="H148" s="155"/>
      <c r="I148" s="2">
        <f>F146/D146</f>
        <v>1.45</v>
      </c>
      <c r="J148" s="2">
        <f t="shared" si="1"/>
        <v>1.45</v>
      </c>
    </row>
    <row r="149" spans="1:10" s="2" customFormat="1" x14ac:dyDescent="0.35">
      <c r="A149" s="122" t="s">
        <v>178</v>
      </c>
      <c r="B149" s="122"/>
      <c r="C149" s="122"/>
      <c r="D149" s="122"/>
      <c r="E149" s="122"/>
      <c r="F149" s="122"/>
      <c r="G149" s="122"/>
      <c r="H149" s="122"/>
      <c r="J149" s="2" t="e">
        <f t="shared" si="1"/>
        <v>#DIV/0!</v>
      </c>
    </row>
    <row r="150" spans="1:10" s="2" customFormat="1" x14ac:dyDescent="0.35">
      <c r="A150" s="122" t="s">
        <v>198</v>
      </c>
      <c r="B150" s="122"/>
      <c r="C150" s="122"/>
      <c r="D150" s="122"/>
      <c r="E150" s="122"/>
      <c r="F150" s="122"/>
      <c r="G150" s="122"/>
      <c r="H150" s="122"/>
      <c r="J150" s="2" t="e">
        <f t="shared" si="1"/>
        <v>#DIV/0!</v>
      </c>
    </row>
    <row r="151" spans="1:10" s="2" customFormat="1" ht="15.65" customHeight="1" x14ac:dyDescent="0.35">
      <c r="A151" s="94">
        <v>1</v>
      </c>
      <c r="B151" s="94"/>
      <c r="C151" s="22" t="s">
        <v>174</v>
      </c>
      <c r="D151" s="22">
        <f>10.72*10.764</f>
        <v>115.39008</v>
      </c>
      <c r="E151" s="22">
        <v>0</v>
      </c>
      <c r="F151" s="73">
        <f t="shared" ref="F151:F159" si="4">D151*(($F$132)+1)+(IF(E151&lt;101,E151,IF(E151&lt;201,E151/2,IF(E151&lt;=301,E151/3,E151/4))))</f>
        <v>167.31561599999998</v>
      </c>
      <c r="G151" s="152" t="str">
        <f>A150</f>
        <v>Groound Floor for Commercial &amp; Residential</v>
      </c>
      <c r="H151" s="153"/>
      <c r="I151" s="2">
        <f>2.75*3.8</f>
        <v>10.45</v>
      </c>
      <c r="J151" s="2">
        <f t="shared" si="1"/>
        <v>1.4499999999999997</v>
      </c>
    </row>
    <row r="152" spans="1:10" s="2" customFormat="1" x14ac:dyDescent="0.35">
      <c r="A152" s="94">
        <v>2</v>
      </c>
      <c r="B152" s="94"/>
      <c r="C152" s="40" t="s">
        <v>174</v>
      </c>
      <c r="D152" s="22">
        <f>13.75*10.764</f>
        <v>148.005</v>
      </c>
      <c r="E152" s="22">
        <v>0</v>
      </c>
      <c r="F152" s="73">
        <f t="shared" si="4"/>
        <v>214.60724999999999</v>
      </c>
      <c r="G152" s="156"/>
      <c r="H152" s="157"/>
      <c r="J152" s="2">
        <f t="shared" si="1"/>
        <v>1.45</v>
      </c>
    </row>
    <row r="153" spans="1:10" s="2" customFormat="1" x14ac:dyDescent="0.35">
      <c r="A153" s="94">
        <v>3</v>
      </c>
      <c r="B153" s="94"/>
      <c r="C153" s="40" t="s">
        <v>174</v>
      </c>
      <c r="D153" s="22">
        <f>11.13*10.764</f>
        <v>119.80332</v>
      </c>
      <c r="E153" s="22">
        <v>0</v>
      </c>
      <c r="F153" s="73">
        <f t="shared" si="4"/>
        <v>173.71481399999999</v>
      </c>
      <c r="G153" s="156"/>
      <c r="H153" s="157"/>
      <c r="J153" s="2">
        <f t="shared" si="1"/>
        <v>1.45</v>
      </c>
    </row>
    <row r="154" spans="1:10" s="2" customFormat="1" x14ac:dyDescent="0.35">
      <c r="A154" s="94">
        <v>4</v>
      </c>
      <c r="B154" s="94"/>
      <c r="C154" s="40" t="s">
        <v>174</v>
      </c>
      <c r="D154" s="22">
        <f>3.85*3.8*10.764</f>
        <v>157.47731999999999</v>
      </c>
      <c r="E154" s="22">
        <v>0</v>
      </c>
      <c r="F154" s="73">
        <f t="shared" si="4"/>
        <v>228.34211399999998</v>
      </c>
      <c r="G154" s="156"/>
      <c r="H154" s="157"/>
      <c r="J154" s="2">
        <f t="shared" si="1"/>
        <v>1.45</v>
      </c>
    </row>
    <row r="155" spans="1:10" s="2" customFormat="1" x14ac:dyDescent="0.35">
      <c r="A155" s="94">
        <v>5</v>
      </c>
      <c r="B155" s="94"/>
      <c r="C155" s="40" t="s">
        <v>174</v>
      </c>
      <c r="D155" s="22">
        <f>14.02*10.764</f>
        <v>150.91127999999998</v>
      </c>
      <c r="E155" s="22">
        <v>0</v>
      </c>
      <c r="F155" s="73">
        <f t="shared" si="4"/>
        <v>218.82135599999995</v>
      </c>
      <c r="G155" s="156"/>
      <c r="H155" s="157"/>
      <c r="J155" s="2">
        <f t="shared" si="1"/>
        <v>1.45</v>
      </c>
    </row>
    <row r="156" spans="1:10" s="2" customFormat="1" x14ac:dyDescent="0.35">
      <c r="A156" s="94">
        <v>6</v>
      </c>
      <c r="B156" s="94"/>
      <c r="C156" s="40" t="s">
        <v>174</v>
      </c>
      <c r="D156" s="22">
        <f>10.66*10.764</f>
        <v>114.74423999999999</v>
      </c>
      <c r="E156" s="22">
        <v>0</v>
      </c>
      <c r="F156" s="73">
        <f t="shared" si="4"/>
        <v>166.37914799999999</v>
      </c>
      <c r="G156" s="156"/>
      <c r="H156" s="157"/>
      <c r="I156" s="2">
        <f>2.15*3.35+1.2*1.65+1.35*0.9</f>
        <v>10.397499999999999</v>
      </c>
      <c r="J156" s="2">
        <f t="shared" si="1"/>
        <v>1.45</v>
      </c>
    </row>
    <row r="157" spans="1:10" s="2" customFormat="1" x14ac:dyDescent="0.35">
      <c r="A157" s="94">
        <v>7</v>
      </c>
      <c r="B157" s="94"/>
      <c r="C157" s="40" t="s">
        <v>174</v>
      </c>
      <c r="D157" s="22">
        <f>9.07*10.764</f>
        <v>97.629480000000001</v>
      </c>
      <c r="E157" s="22">
        <v>0</v>
      </c>
      <c r="F157" s="73">
        <f t="shared" si="4"/>
        <v>141.562746</v>
      </c>
      <c r="G157" s="156"/>
      <c r="H157" s="157"/>
      <c r="J157" s="2">
        <f t="shared" si="1"/>
        <v>1.45</v>
      </c>
    </row>
    <row r="158" spans="1:10" s="2" customFormat="1" ht="15.65" customHeight="1" x14ac:dyDescent="0.35">
      <c r="A158" s="94">
        <v>1</v>
      </c>
      <c r="B158" s="94"/>
      <c r="C158" s="49" t="s">
        <v>181</v>
      </c>
      <c r="D158" s="49">
        <f>(2.75*5+3.9*3.2+1.2*1.65+1.2*0.9)*10.764</f>
        <v>315.27755999999999</v>
      </c>
      <c r="E158" s="49">
        <v>0</v>
      </c>
      <c r="F158" s="73">
        <f t="shared" si="4"/>
        <v>457.15246199999996</v>
      </c>
      <c r="G158" s="156"/>
      <c r="H158" s="157"/>
      <c r="J158" s="2">
        <f t="shared" si="1"/>
        <v>1.45</v>
      </c>
    </row>
    <row r="159" spans="1:10" s="2" customFormat="1" ht="15.65" customHeight="1" x14ac:dyDescent="0.35">
      <c r="A159" s="94">
        <v>2</v>
      </c>
      <c r="B159" s="94"/>
      <c r="C159" s="22" t="s">
        <v>177</v>
      </c>
      <c r="D159" s="22">
        <f>30.26*10.764</f>
        <v>325.71863999999999</v>
      </c>
      <c r="E159" s="22">
        <v>0</v>
      </c>
      <c r="F159" s="73">
        <f t="shared" si="4"/>
        <v>472.29202799999996</v>
      </c>
      <c r="G159" s="154"/>
      <c r="H159" s="155"/>
      <c r="I159" s="2">
        <f>((3.8*2.75+3.05*2.15+3.05*2.75+1.2*0.9+1.2*1.6+1.2*0.9))*10.764</f>
        <v>317.26889999999997</v>
      </c>
    </row>
    <row r="160" spans="1:10" s="2" customFormat="1" x14ac:dyDescent="0.35">
      <c r="A160" s="122" t="s">
        <v>179</v>
      </c>
      <c r="B160" s="122"/>
      <c r="C160" s="122"/>
      <c r="D160" s="122"/>
      <c r="E160" s="122"/>
      <c r="F160" s="122"/>
      <c r="G160" s="122"/>
      <c r="H160" s="122"/>
    </row>
    <row r="161" spans="1:10" s="2" customFormat="1" x14ac:dyDescent="0.35">
      <c r="A161" s="94" t="s">
        <v>199</v>
      </c>
      <c r="B161" s="94"/>
      <c r="C161" s="22" t="s">
        <v>177</v>
      </c>
      <c r="D161" s="50">
        <f t="shared" ref="D161:D162" si="5">33.14*10.764</f>
        <v>356.71895999999998</v>
      </c>
      <c r="E161" s="22">
        <v>0</v>
      </c>
      <c r="F161" s="73">
        <f t="shared" ref="F161:F166" si="6">D161*(($F$132)+1)+(IF(E161&lt;101,E161,IF(E161&lt;201,E161/2,IF(E161&lt;=301,E161/3,E161/4))))</f>
        <v>517.24249199999997</v>
      </c>
      <c r="G161" s="152" t="str">
        <f>A160</f>
        <v xml:space="preserve">1st &amp; 2nd Floor </v>
      </c>
      <c r="H161" s="153"/>
      <c r="J161" s="2">
        <f>1800000/F161</f>
        <v>3479.9925138401045</v>
      </c>
    </row>
    <row r="162" spans="1:10" s="2" customFormat="1" x14ac:dyDescent="0.35">
      <c r="A162" s="94" t="s">
        <v>200</v>
      </c>
      <c r="B162" s="94"/>
      <c r="C162" s="22" t="s">
        <v>177</v>
      </c>
      <c r="D162" s="50">
        <f t="shared" si="5"/>
        <v>356.71895999999998</v>
      </c>
      <c r="E162" s="22">
        <v>0</v>
      </c>
      <c r="F162" s="73">
        <f t="shared" si="6"/>
        <v>517.24249199999997</v>
      </c>
      <c r="G162" s="156"/>
      <c r="H162" s="157"/>
    </row>
    <row r="163" spans="1:10" s="2" customFormat="1" x14ac:dyDescent="0.35">
      <c r="A163" s="94" t="s">
        <v>201</v>
      </c>
      <c r="B163" s="94"/>
      <c r="C163" s="22" t="s">
        <v>180</v>
      </c>
      <c r="D163" s="22">
        <f>(43.29+0.9*3.65+0.9*2.75)*10.764</f>
        <v>527.9742</v>
      </c>
      <c r="E163" s="22">
        <v>0</v>
      </c>
      <c r="F163" s="73">
        <f t="shared" si="6"/>
        <v>765.56259</v>
      </c>
      <c r="G163" s="156"/>
      <c r="H163" s="157"/>
      <c r="I163" s="2">
        <f>3.65*2.9+2.15*2.75+2.75+2.75+2.75*2.9+1*2.75+2.15+2.45*1.2+2.15*1.2+3.65*0.9+2.75*0.9</f>
        <v>46.152499999999996</v>
      </c>
      <c r="J163" s="2">
        <f>3000000/F163</f>
        <v>3918.6867790914393</v>
      </c>
    </row>
    <row r="164" spans="1:10" s="2" customFormat="1" x14ac:dyDescent="0.35">
      <c r="A164" s="94" t="s">
        <v>202</v>
      </c>
      <c r="B164" s="94"/>
      <c r="C164" s="22" t="s">
        <v>181</v>
      </c>
      <c r="D164" s="22">
        <f>(26.17+0.9*5)*10.764</f>
        <v>330.13188000000002</v>
      </c>
      <c r="E164" s="22">
        <v>0</v>
      </c>
      <c r="F164" s="73">
        <f t="shared" si="6"/>
        <v>478.69122600000003</v>
      </c>
      <c r="G164" s="156"/>
      <c r="H164" s="157"/>
      <c r="I164" s="2">
        <f>2.9*2.75+2.15*2.3+3.05*2.75+1.2*0.9+1.2*1.6+1.2*0.9</f>
        <v>25.387499999999996</v>
      </c>
    </row>
    <row r="165" spans="1:10" s="2" customFormat="1" x14ac:dyDescent="0.35">
      <c r="A165" s="94" t="s">
        <v>203</v>
      </c>
      <c r="B165" s="94"/>
      <c r="C165" s="22" t="s">
        <v>177</v>
      </c>
      <c r="D165" s="50">
        <f t="shared" ref="D165:D169" si="7">33.14*10.764</f>
        <v>356.71895999999998</v>
      </c>
      <c r="E165" s="22">
        <v>0</v>
      </c>
      <c r="F165" s="73">
        <f t="shared" si="6"/>
        <v>517.24249199999997</v>
      </c>
      <c r="G165" s="156"/>
      <c r="H165" s="157"/>
    </row>
    <row r="166" spans="1:10" s="2" customFormat="1" x14ac:dyDescent="0.35">
      <c r="A166" s="94" t="s">
        <v>204</v>
      </c>
      <c r="B166" s="94"/>
      <c r="C166" s="22" t="s">
        <v>177</v>
      </c>
      <c r="D166" s="50">
        <f t="shared" si="7"/>
        <v>356.71895999999998</v>
      </c>
      <c r="E166" s="22">
        <v>0</v>
      </c>
      <c r="F166" s="73">
        <f t="shared" si="6"/>
        <v>517.24249199999997</v>
      </c>
      <c r="G166" s="154"/>
      <c r="H166" s="155"/>
    </row>
    <row r="167" spans="1:10" s="2" customFormat="1" x14ac:dyDescent="0.35">
      <c r="A167" s="122" t="s">
        <v>205</v>
      </c>
      <c r="B167" s="122"/>
      <c r="C167" s="122"/>
      <c r="D167" s="122"/>
      <c r="E167" s="122"/>
      <c r="F167" s="122"/>
      <c r="G167" s="122"/>
      <c r="H167" s="122"/>
    </row>
    <row r="168" spans="1:10" s="2" customFormat="1" x14ac:dyDescent="0.35">
      <c r="A168" s="94">
        <v>301</v>
      </c>
      <c r="B168" s="94"/>
      <c r="C168" s="22" t="s">
        <v>181</v>
      </c>
      <c r="D168" s="50">
        <f t="shared" si="7"/>
        <v>356.71895999999998</v>
      </c>
      <c r="E168" s="22">
        <v>0</v>
      </c>
      <c r="F168" s="73">
        <f t="shared" ref="F168:F169" si="8">D168*(($F$132)+1)+(IF(E168&lt;101,E168,IF(E168&lt;201,E168/2,IF(E168&lt;=301,E168/3,E168/4))))</f>
        <v>517.24249199999997</v>
      </c>
      <c r="G168" s="152" t="str">
        <f>A167</f>
        <v>Raised 2nd Floor (3rd Floor) (Part Terrace Area)</v>
      </c>
      <c r="H168" s="153"/>
    </row>
    <row r="169" spans="1:10" s="2" customFormat="1" x14ac:dyDescent="0.35">
      <c r="A169" s="94">
        <v>302</v>
      </c>
      <c r="B169" s="94"/>
      <c r="C169" s="22" t="s">
        <v>181</v>
      </c>
      <c r="D169" s="50">
        <f t="shared" si="7"/>
        <v>356.71895999999998</v>
      </c>
      <c r="E169" s="22">
        <v>0</v>
      </c>
      <c r="F169" s="73">
        <f t="shared" si="8"/>
        <v>517.24249199999997</v>
      </c>
      <c r="G169" s="154"/>
      <c r="H169" s="155"/>
    </row>
    <row r="170" spans="1:10" s="2" customFormat="1" x14ac:dyDescent="0.35">
      <c r="A170" s="122" t="s">
        <v>182</v>
      </c>
      <c r="B170" s="122"/>
      <c r="C170" s="122"/>
      <c r="D170" s="122"/>
      <c r="E170" s="122"/>
      <c r="F170" s="122"/>
      <c r="G170" s="122"/>
      <c r="H170" s="122"/>
    </row>
    <row r="171" spans="1:10" s="2" customFormat="1" x14ac:dyDescent="0.35">
      <c r="A171" s="122" t="s">
        <v>183</v>
      </c>
      <c r="B171" s="122"/>
      <c r="C171" s="122"/>
      <c r="D171" s="122"/>
      <c r="E171" s="122"/>
      <c r="F171" s="122"/>
      <c r="G171" s="122"/>
      <c r="H171" s="122"/>
    </row>
    <row r="172" spans="1:10" s="2" customFormat="1" x14ac:dyDescent="0.35">
      <c r="A172" s="122" t="s">
        <v>175</v>
      </c>
      <c r="B172" s="122"/>
      <c r="C172" s="122"/>
      <c r="D172" s="122"/>
      <c r="E172" s="122"/>
      <c r="F172" s="122"/>
      <c r="G172" s="122"/>
      <c r="H172" s="122"/>
    </row>
    <row r="173" spans="1:10" s="2" customFormat="1" x14ac:dyDescent="0.35">
      <c r="A173" s="94" t="s">
        <v>199</v>
      </c>
      <c r="B173" s="94"/>
      <c r="C173" s="22" t="s">
        <v>177</v>
      </c>
      <c r="D173" s="50">
        <f t="shared" ref="D173:D174" si="9">33.14*10.764</f>
        <v>356.71895999999998</v>
      </c>
      <c r="E173" s="22">
        <v>0</v>
      </c>
      <c r="F173" s="73">
        <f t="shared" ref="F173:F178" si="10">D173*(($F$132)+1)+(IF(E173&lt;101,E173,IF(E173&lt;201,E173/2,IF(E173&lt;=301,E173/3,E173/4))))</f>
        <v>517.24249199999997</v>
      </c>
      <c r="G173" s="152" t="str">
        <f>A172</f>
        <v>1st &amp; 2nd Floor</v>
      </c>
      <c r="H173" s="153"/>
    </row>
    <row r="174" spans="1:10" s="2" customFormat="1" x14ac:dyDescent="0.35">
      <c r="A174" s="94" t="s">
        <v>200</v>
      </c>
      <c r="B174" s="94"/>
      <c r="C174" s="22" t="s">
        <v>177</v>
      </c>
      <c r="D174" s="50">
        <f t="shared" si="9"/>
        <v>356.71895999999998</v>
      </c>
      <c r="E174" s="22">
        <v>0</v>
      </c>
      <c r="F174" s="73">
        <f t="shared" si="10"/>
        <v>517.24249199999997</v>
      </c>
      <c r="G174" s="156"/>
      <c r="H174" s="157"/>
    </row>
    <row r="175" spans="1:10" s="2" customFormat="1" x14ac:dyDescent="0.35">
      <c r="A175" s="94" t="s">
        <v>201</v>
      </c>
      <c r="B175" s="94"/>
      <c r="C175" s="22" t="s">
        <v>181</v>
      </c>
      <c r="D175" s="22">
        <f>(26.17+0.9*5)*10.764</f>
        <v>330.13188000000002</v>
      </c>
      <c r="E175" s="22">
        <v>0</v>
      </c>
      <c r="F175" s="73">
        <f t="shared" si="10"/>
        <v>478.69122600000003</v>
      </c>
      <c r="G175" s="156"/>
      <c r="H175" s="157"/>
    </row>
    <row r="176" spans="1:10" s="2" customFormat="1" x14ac:dyDescent="0.35">
      <c r="A176" s="94" t="s">
        <v>202</v>
      </c>
      <c r="B176" s="94"/>
      <c r="C176" s="22" t="s">
        <v>180</v>
      </c>
      <c r="D176" s="22">
        <f>(43.29+0.9*2.75+0.9*3.65)*10.764</f>
        <v>527.97419999999988</v>
      </c>
      <c r="E176" s="22">
        <v>0</v>
      </c>
      <c r="F176" s="73">
        <f t="shared" si="10"/>
        <v>765.56258999999977</v>
      </c>
      <c r="G176" s="156"/>
      <c r="H176" s="157"/>
    </row>
    <row r="177" spans="1:8" s="2" customFormat="1" x14ac:dyDescent="0.35">
      <c r="A177" s="94" t="s">
        <v>203</v>
      </c>
      <c r="B177" s="94"/>
      <c r="C177" s="22" t="s">
        <v>177</v>
      </c>
      <c r="D177" s="50">
        <f t="shared" ref="D177:D180" si="11">33.14*10.764</f>
        <v>356.71895999999998</v>
      </c>
      <c r="E177" s="22">
        <v>0</v>
      </c>
      <c r="F177" s="73">
        <f t="shared" si="10"/>
        <v>517.24249199999997</v>
      </c>
      <c r="G177" s="156"/>
      <c r="H177" s="157"/>
    </row>
    <row r="178" spans="1:8" s="2" customFormat="1" x14ac:dyDescent="0.35">
      <c r="A178" s="94" t="s">
        <v>204</v>
      </c>
      <c r="B178" s="94"/>
      <c r="C178" s="22" t="s">
        <v>177</v>
      </c>
      <c r="D178" s="50">
        <f t="shared" si="11"/>
        <v>356.71895999999998</v>
      </c>
      <c r="E178" s="22">
        <v>0</v>
      </c>
      <c r="F178" s="73">
        <f t="shared" si="10"/>
        <v>517.24249199999997</v>
      </c>
      <c r="G178" s="154"/>
      <c r="H178" s="155"/>
    </row>
    <row r="179" spans="1:8" s="2" customFormat="1" x14ac:dyDescent="0.35">
      <c r="A179" s="122" t="s">
        <v>184</v>
      </c>
      <c r="B179" s="122"/>
      <c r="C179" s="122"/>
      <c r="D179" s="122"/>
      <c r="E179" s="122"/>
      <c r="F179" s="122"/>
      <c r="G179" s="122"/>
      <c r="H179" s="122"/>
    </row>
    <row r="180" spans="1:8" s="2" customFormat="1" x14ac:dyDescent="0.35">
      <c r="A180" s="94">
        <v>301</v>
      </c>
      <c r="B180" s="94"/>
      <c r="C180" s="76" t="s">
        <v>177</v>
      </c>
      <c r="D180" s="76">
        <f t="shared" si="11"/>
        <v>356.71895999999998</v>
      </c>
      <c r="E180" s="76">
        <v>0</v>
      </c>
      <c r="F180" s="73">
        <f t="shared" ref="F180:F183" si="12">D180*(($F$132)+1)+(IF(E180&lt;101,E180,IF(E180&lt;201,E180/2,IF(E180&lt;=301,E180/3,E180/4))))</f>
        <v>517.24249199999997</v>
      </c>
      <c r="G180" s="94" t="str">
        <f>A179</f>
        <v>Raised 2nd Floor (3rd Floor)</v>
      </c>
      <c r="H180" s="94"/>
    </row>
    <row r="181" spans="1:8" s="2" customFormat="1" x14ac:dyDescent="0.35">
      <c r="A181" s="94">
        <v>302</v>
      </c>
      <c r="B181" s="94"/>
      <c r="C181" s="76" t="s">
        <v>181</v>
      </c>
      <c r="D181" s="76">
        <f>(26.17+0.9*5)*10.764</f>
        <v>330.13188000000002</v>
      </c>
      <c r="E181" s="76">
        <v>0</v>
      </c>
      <c r="F181" s="73">
        <f t="shared" si="12"/>
        <v>478.69122600000003</v>
      </c>
      <c r="G181" s="94"/>
      <c r="H181" s="94"/>
    </row>
    <row r="182" spans="1:8" s="2" customFormat="1" x14ac:dyDescent="0.35">
      <c r="A182" s="94">
        <v>303</v>
      </c>
      <c r="B182" s="94"/>
      <c r="C182" s="76" t="s">
        <v>180</v>
      </c>
      <c r="D182" s="76">
        <f>(43.29+0.9*2.75+0.9*3.65)*10.764</f>
        <v>527.97419999999988</v>
      </c>
      <c r="E182" s="76">
        <v>0</v>
      </c>
      <c r="F182" s="73">
        <f t="shared" si="12"/>
        <v>765.56258999999977</v>
      </c>
      <c r="G182" s="94"/>
      <c r="H182" s="94"/>
    </row>
    <row r="183" spans="1:8" s="2" customFormat="1" x14ac:dyDescent="0.35">
      <c r="A183" s="94">
        <v>304</v>
      </c>
      <c r="B183" s="94"/>
      <c r="C183" s="76" t="s">
        <v>177</v>
      </c>
      <c r="D183" s="76">
        <f t="shared" ref="D183" si="13">33.14*10.764</f>
        <v>356.71895999999998</v>
      </c>
      <c r="E183" s="76">
        <v>0</v>
      </c>
      <c r="F183" s="73">
        <f t="shared" si="12"/>
        <v>517.24249199999997</v>
      </c>
      <c r="G183" s="94"/>
      <c r="H183" s="94"/>
    </row>
    <row r="184" spans="1:8" s="1" customFormat="1" x14ac:dyDescent="0.35">
      <c r="A184" s="150" t="s">
        <v>79</v>
      </c>
      <c r="B184" s="150"/>
      <c r="C184" s="150"/>
      <c r="D184" s="150"/>
      <c r="E184" s="150"/>
      <c r="F184" s="150"/>
      <c r="G184" s="150"/>
      <c r="H184" s="150"/>
    </row>
    <row r="185" spans="1:8" s="10" customFormat="1" ht="322.5" customHeight="1" x14ac:dyDescent="0.35">
      <c r="A185" s="151" t="s">
        <v>249</v>
      </c>
      <c r="B185" s="151"/>
      <c r="C185" s="151"/>
      <c r="D185" s="151"/>
      <c r="E185" s="151"/>
      <c r="F185" s="151"/>
      <c r="G185" s="151"/>
      <c r="H185" s="151"/>
    </row>
    <row r="186" spans="1:8" x14ac:dyDescent="0.35">
      <c r="A186" s="124" t="s">
        <v>70</v>
      </c>
      <c r="B186" s="124"/>
      <c r="C186" s="124"/>
      <c r="D186" s="124"/>
      <c r="E186" s="124"/>
      <c r="F186" s="124"/>
      <c r="G186" s="124"/>
      <c r="H186" s="124"/>
    </row>
    <row r="187" spans="1:8" x14ac:dyDescent="0.35">
      <c r="A187" s="137" t="s">
        <v>71</v>
      </c>
      <c r="B187" s="137"/>
      <c r="C187" s="137"/>
      <c r="D187" s="137"/>
      <c r="E187" s="137"/>
      <c r="F187" s="137"/>
      <c r="G187" s="137"/>
      <c r="H187" s="137"/>
    </row>
    <row r="188" spans="1:8" ht="15.75" customHeight="1" x14ac:dyDescent="0.35">
      <c r="A188" s="124" t="s">
        <v>72</v>
      </c>
      <c r="B188" s="124"/>
      <c r="C188" s="124"/>
      <c r="D188" s="124"/>
      <c r="E188" s="124"/>
      <c r="F188" s="124"/>
      <c r="G188" s="124"/>
      <c r="H188" s="124"/>
    </row>
    <row r="189" spans="1:8" x14ac:dyDescent="0.35">
      <c r="A189" s="137" t="s">
        <v>73</v>
      </c>
      <c r="B189" s="137"/>
      <c r="C189" s="137"/>
      <c r="D189" s="137"/>
      <c r="E189" s="137"/>
      <c r="F189" s="137"/>
      <c r="G189" s="137"/>
      <c r="H189" s="137"/>
    </row>
    <row r="190" spans="1:8" x14ac:dyDescent="0.35">
      <c r="A190" s="137" t="s">
        <v>74</v>
      </c>
      <c r="B190" s="137"/>
      <c r="C190" s="137"/>
      <c r="D190" s="137"/>
      <c r="E190" s="137"/>
      <c r="F190" s="137"/>
      <c r="G190" s="137"/>
      <c r="H190" s="137"/>
    </row>
    <row r="191" spans="1:8" x14ac:dyDescent="0.35">
      <c r="A191" s="137" t="s">
        <v>75</v>
      </c>
      <c r="B191" s="137"/>
      <c r="C191" s="137"/>
      <c r="D191" s="137"/>
      <c r="E191" s="137"/>
      <c r="F191" s="137"/>
      <c r="G191" s="137"/>
      <c r="H191" s="137"/>
    </row>
    <row r="192" spans="1:8" ht="35.25" customHeight="1" x14ac:dyDescent="0.35">
      <c r="A192" s="139" t="s">
        <v>76</v>
      </c>
      <c r="B192" s="139"/>
      <c r="C192" s="139"/>
      <c r="D192" s="139"/>
      <c r="E192" s="139"/>
      <c r="F192" s="139"/>
      <c r="G192" s="139"/>
      <c r="H192" s="139"/>
    </row>
    <row r="193" spans="1:8" x14ac:dyDescent="0.35">
      <c r="A193" s="117" t="s">
        <v>114</v>
      </c>
      <c r="B193" s="117"/>
      <c r="C193" s="117" t="s">
        <v>248</v>
      </c>
      <c r="D193" s="117"/>
      <c r="E193" s="117" t="s">
        <v>152</v>
      </c>
      <c r="F193" s="117"/>
      <c r="G193" s="117" t="s">
        <v>247</v>
      </c>
      <c r="H193" s="117"/>
    </row>
    <row r="194" spans="1:8" x14ac:dyDescent="0.35">
      <c r="A194" s="116" t="s">
        <v>116</v>
      </c>
      <c r="B194" s="116"/>
      <c r="C194" s="116"/>
      <c r="D194" s="116"/>
      <c r="E194" s="116"/>
      <c r="F194" s="116"/>
      <c r="G194" s="116"/>
      <c r="H194" s="116"/>
    </row>
    <row r="195" spans="1:8" x14ac:dyDescent="0.35">
      <c r="A195" s="116"/>
      <c r="B195" s="116"/>
      <c r="C195" s="116"/>
      <c r="D195" s="116"/>
      <c r="E195" s="116"/>
      <c r="F195" s="116"/>
      <c r="G195" s="116"/>
      <c r="H195" s="116"/>
    </row>
    <row r="196" spans="1:8" x14ac:dyDescent="0.35">
      <c r="A196" s="116"/>
      <c r="B196" s="116"/>
      <c r="C196" s="116"/>
      <c r="D196" s="116"/>
      <c r="E196" s="116"/>
      <c r="F196" s="116"/>
      <c r="G196" s="116"/>
      <c r="H196" s="116"/>
    </row>
    <row r="197" spans="1:8" x14ac:dyDescent="0.35">
      <c r="A197" s="116"/>
      <c r="B197" s="116"/>
      <c r="C197" s="116"/>
      <c r="D197" s="116"/>
      <c r="E197" s="116"/>
      <c r="F197" s="116"/>
      <c r="G197" s="116"/>
      <c r="H197" s="116"/>
    </row>
    <row r="198" spans="1:8" x14ac:dyDescent="0.35">
      <c r="A198" s="17" t="s">
        <v>77</v>
      </c>
      <c r="B198" s="18"/>
      <c r="C198" s="18"/>
      <c r="D198" s="17" t="str">
        <f>E8</f>
        <v>Shree Puram 2</v>
      </c>
      <c r="F198" s="18"/>
      <c r="G198" s="18"/>
      <c r="H198" s="18"/>
    </row>
    <row r="199" spans="1:8" x14ac:dyDescent="0.35">
      <c r="A199" s="18"/>
      <c r="B199" s="18"/>
      <c r="C199" s="18"/>
      <c r="D199" s="18"/>
      <c r="E199" s="18"/>
      <c r="F199" s="18"/>
      <c r="G199" s="18"/>
      <c r="H199" s="18"/>
    </row>
    <row r="200" spans="1:8" x14ac:dyDescent="0.35">
      <c r="A200" s="18"/>
      <c r="B200" s="18"/>
      <c r="C200" s="18"/>
      <c r="D200" s="18"/>
      <c r="E200" s="18"/>
      <c r="F200" s="18"/>
      <c r="G200" s="18"/>
      <c r="H200" s="18"/>
    </row>
    <row r="201" spans="1:8" ht="15" customHeight="1" x14ac:dyDescent="0.35"/>
    <row r="241" spans="1:1" x14ac:dyDescent="0.35">
      <c r="A241" s="20" t="s">
        <v>78</v>
      </c>
    </row>
  </sheetData>
  <mergeCells count="320">
    <mergeCell ref="A129:H129"/>
    <mergeCell ref="A124:B124"/>
    <mergeCell ref="A87:B87"/>
    <mergeCell ref="C87:H87"/>
    <mergeCell ref="E91:F100"/>
    <mergeCell ref="G91:H100"/>
    <mergeCell ref="A98:B98"/>
    <mergeCell ref="A99:B99"/>
    <mergeCell ref="A100:B100"/>
    <mergeCell ref="A127:B127"/>
    <mergeCell ref="D127:E127"/>
    <mergeCell ref="F127:H127"/>
    <mergeCell ref="D120:E120"/>
    <mergeCell ref="F120:H120"/>
    <mergeCell ref="A121:B121"/>
    <mergeCell ref="D121:E121"/>
    <mergeCell ref="F121:H121"/>
    <mergeCell ref="F122:H122"/>
    <mergeCell ref="A123:H123"/>
    <mergeCell ref="A120:B120"/>
    <mergeCell ref="F113:H113"/>
    <mergeCell ref="A114:E114"/>
    <mergeCell ref="F114:H114"/>
    <mergeCell ref="A110:E110"/>
    <mergeCell ref="A59:B59"/>
    <mergeCell ref="C59:H59"/>
    <mergeCell ref="A61:B61"/>
    <mergeCell ref="C61:H61"/>
    <mergeCell ref="A62:B62"/>
    <mergeCell ref="E62:F62"/>
    <mergeCell ref="G62:H62"/>
    <mergeCell ref="A63:B63"/>
    <mergeCell ref="E63:F72"/>
    <mergeCell ref="G63:H72"/>
    <mergeCell ref="A64:B64"/>
    <mergeCell ref="A65:B65"/>
    <mergeCell ref="A66:B66"/>
    <mergeCell ref="A67:B67"/>
    <mergeCell ref="A68:B68"/>
    <mergeCell ref="A69:B69"/>
    <mergeCell ref="A70:B70"/>
    <mergeCell ref="A71:B71"/>
    <mergeCell ref="A72:B72"/>
    <mergeCell ref="C73:H73"/>
    <mergeCell ref="A75:B75"/>
    <mergeCell ref="C75:H75"/>
    <mergeCell ref="A76:B76"/>
    <mergeCell ref="E76:F76"/>
    <mergeCell ref="G76:H76"/>
    <mergeCell ref="A77:B77"/>
    <mergeCell ref="E77:F86"/>
    <mergeCell ref="G77:H86"/>
    <mergeCell ref="A78:B78"/>
    <mergeCell ref="A79:B79"/>
    <mergeCell ref="A80:B80"/>
    <mergeCell ref="A81:B81"/>
    <mergeCell ref="A82:B82"/>
    <mergeCell ref="A83:B83"/>
    <mergeCell ref="A84:B84"/>
    <mergeCell ref="A85:B85"/>
    <mergeCell ref="A86:B86"/>
    <mergeCell ref="A162:B162"/>
    <mergeCell ref="A163:B163"/>
    <mergeCell ref="A164:B164"/>
    <mergeCell ref="A165:B165"/>
    <mergeCell ref="A166:B166"/>
    <mergeCell ref="A161:B161"/>
    <mergeCell ref="A160:H160"/>
    <mergeCell ref="G161:H166"/>
    <mergeCell ref="A167:H167"/>
    <mergeCell ref="A156:B156"/>
    <mergeCell ref="A158:B158"/>
    <mergeCell ref="A147:B147"/>
    <mergeCell ref="A148:B148"/>
    <mergeCell ref="A134:H134"/>
    <mergeCell ref="A135:B135"/>
    <mergeCell ref="A153:B153"/>
    <mergeCell ref="A154:B154"/>
    <mergeCell ref="A155:B155"/>
    <mergeCell ref="A142:B142"/>
    <mergeCell ref="A143:B143"/>
    <mergeCell ref="G135:H143"/>
    <mergeCell ref="G151:H159"/>
    <mergeCell ref="A159:B159"/>
    <mergeCell ref="A139:B139"/>
    <mergeCell ref="A140:B140"/>
    <mergeCell ref="A141:B141"/>
    <mergeCell ref="A145:B145"/>
    <mergeCell ref="A151:B151"/>
    <mergeCell ref="A152:B152"/>
    <mergeCell ref="A130:H130"/>
    <mergeCell ref="A144:H144"/>
    <mergeCell ref="G145:H148"/>
    <mergeCell ref="A149:H149"/>
    <mergeCell ref="A150:H150"/>
    <mergeCell ref="A131:B132"/>
    <mergeCell ref="C131:C132"/>
    <mergeCell ref="D131:D132"/>
    <mergeCell ref="E131:E132"/>
    <mergeCell ref="G131:H132"/>
    <mergeCell ref="A191:H191"/>
    <mergeCell ref="A192:H192"/>
    <mergeCell ref="A184:H184"/>
    <mergeCell ref="A185:H185"/>
    <mergeCell ref="A186:H186"/>
    <mergeCell ref="A187:H187"/>
    <mergeCell ref="A173:B173"/>
    <mergeCell ref="A182:B182"/>
    <mergeCell ref="G168:H169"/>
    <mergeCell ref="A170:H170"/>
    <mergeCell ref="A171:H171"/>
    <mergeCell ref="A180:B180"/>
    <mergeCell ref="A189:H189"/>
    <mergeCell ref="A172:H172"/>
    <mergeCell ref="G173:H178"/>
    <mergeCell ref="A179:H179"/>
    <mergeCell ref="G180:H183"/>
    <mergeCell ref="A177:B177"/>
    <mergeCell ref="A169:B169"/>
    <mergeCell ref="A190:H190"/>
    <mergeCell ref="A181:B181"/>
    <mergeCell ref="A168:B168"/>
    <mergeCell ref="A183:B183"/>
    <mergeCell ref="A26:D26"/>
    <mergeCell ref="E26:H26"/>
    <mergeCell ref="D119:E119"/>
    <mergeCell ref="F119:H119"/>
    <mergeCell ref="A122:B122"/>
    <mergeCell ref="D122:E122"/>
    <mergeCell ref="E40:H40"/>
    <mergeCell ref="E41:H41"/>
    <mergeCell ref="E42:H42"/>
    <mergeCell ref="E43:H43"/>
    <mergeCell ref="A41:D41"/>
    <mergeCell ref="A42:D42"/>
    <mergeCell ref="A43:D43"/>
    <mergeCell ref="A44:H44"/>
    <mergeCell ref="C48:H48"/>
    <mergeCell ref="A57:C57"/>
    <mergeCell ref="D57:H57"/>
    <mergeCell ref="A157:B157"/>
    <mergeCell ref="D53:H53"/>
    <mergeCell ref="A53:C53"/>
    <mergeCell ref="A136:B136"/>
    <mergeCell ref="A137:B137"/>
    <mergeCell ref="A138:B138"/>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A21:D21"/>
    <mergeCell ref="E21:H21"/>
    <mergeCell ref="E18:F18"/>
    <mergeCell ref="G18:H18"/>
    <mergeCell ref="A19:D20"/>
    <mergeCell ref="E19:H20"/>
    <mergeCell ref="A1:H1"/>
    <mergeCell ref="A2:H2"/>
    <mergeCell ref="A3:D3"/>
    <mergeCell ref="E3:H3"/>
    <mergeCell ref="A4:D4"/>
    <mergeCell ref="A8:D8"/>
    <mergeCell ref="E8:H8"/>
    <mergeCell ref="A9:D9"/>
    <mergeCell ref="E9:H9"/>
    <mergeCell ref="E4:H4"/>
    <mergeCell ref="A16:B16"/>
    <mergeCell ref="C16:D16"/>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E16:F16"/>
    <mergeCell ref="G16:H16"/>
    <mergeCell ref="A27:D27"/>
    <mergeCell ref="E27:H27"/>
    <mergeCell ref="A34:H34"/>
    <mergeCell ref="A33:B33"/>
    <mergeCell ref="A28:D28"/>
    <mergeCell ref="E28:H28"/>
    <mergeCell ref="A37:H37"/>
    <mergeCell ref="A38:D38"/>
    <mergeCell ref="E38:H38"/>
    <mergeCell ref="F29:H29"/>
    <mergeCell ref="A30:B30"/>
    <mergeCell ref="C30:E30"/>
    <mergeCell ref="A31:B31"/>
    <mergeCell ref="C31:E31"/>
    <mergeCell ref="A32:B32"/>
    <mergeCell ref="C32:E32"/>
    <mergeCell ref="C33:E33"/>
    <mergeCell ref="A29:B29"/>
    <mergeCell ref="F30:H30"/>
    <mergeCell ref="F31:H31"/>
    <mergeCell ref="C29:E29"/>
    <mergeCell ref="F32:H32"/>
    <mergeCell ref="F33:H33"/>
    <mergeCell ref="C36:H36"/>
    <mergeCell ref="A194:H197"/>
    <mergeCell ref="A193:B193"/>
    <mergeCell ref="E193:F193"/>
    <mergeCell ref="C193:D193"/>
    <mergeCell ref="G193:H193"/>
    <mergeCell ref="A118:H118"/>
    <mergeCell ref="A116:E116"/>
    <mergeCell ref="F116:H116"/>
    <mergeCell ref="A117:E117"/>
    <mergeCell ref="F117:H117"/>
    <mergeCell ref="D128:E128"/>
    <mergeCell ref="F128:H128"/>
    <mergeCell ref="A133:H133"/>
    <mergeCell ref="A128:B128"/>
    <mergeCell ref="A146:B146"/>
    <mergeCell ref="A119:B119"/>
    <mergeCell ref="A188:H188"/>
    <mergeCell ref="D124:E124"/>
    <mergeCell ref="F124:H124"/>
    <mergeCell ref="A125:B125"/>
    <mergeCell ref="D125:E125"/>
    <mergeCell ref="F125:H125"/>
    <mergeCell ref="A126:B126"/>
    <mergeCell ref="D126:E126"/>
    <mergeCell ref="A35:B35"/>
    <mergeCell ref="A101:H101"/>
    <mergeCell ref="A107:E107"/>
    <mergeCell ref="A104:H104"/>
    <mergeCell ref="A105:E105"/>
    <mergeCell ref="F105:H105"/>
    <mergeCell ref="A102:H102"/>
    <mergeCell ref="A103:B103"/>
    <mergeCell ref="C103:H103"/>
    <mergeCell ref="F106:H106"/>
    <mergeCell ref="A106:E106"/>
    <mergeCell ref="F107:H107"/>
    <mergeCell ref="A52:C52"/>
    <mergeCell ref="D52:H52"/>
    <mergeCell ref="D51:H51"/>
    <mergeCell ref="G45:H45"/>
    <mergeCell ref="G46:H46"/>
    <mergeCell ref="A46:B46"/>
    <mergeCell ref="A39:D39"/>
    <mergeCell ref="E39:H39"/>
    <mergeCell ref="C35:H35"/>
    <mergeCell ref="A36:B36"/>
    <mergeCell ref="A50:H50"/>
    <mergeCell ref="A51:C51"/>
    <mergeCell ref="A178:B178"/>
    <mergeCell ref="A174:B174"/>
    <mergeCell ref="A175:B175"/>
    <mergeCell ref="A176:B176"/>
    <mergeCell ref="A89:B89"/>
    <mergeCell ref="C89:H89"/>
    <mergeCell ref="A90:B90"/>
    <mergeCell ref="E90:F90"/>
    <mergeCell ref="G90:H90"/>
    <mergeCell ref="A91:B91"/>
    <mergeCell ref="A92:B92"/>
    <mergeCell ref="A93:B93"/>
    <mergeCell ref="A94:B94"/>
    <mergeCell ref="A95:B95"/>
    <mergeCell ref="A96:B96"/>
    <mergeCell ref="A97:B97"/>
    <mergeCell ref="A108:E108"/>
    <mergeCell ref="F108:H108"/>
    <mergeCell ref="A109:E109"/>
    <mergeCell ref="F109:H109"/>
    <mergeCell ref="A115:E115"/>
    <mergeCell ref="F115:H115"/>
    <mergeCell ref="A113:E113"/>
    <mergeCell ref="F126:H126"/>
    <mergeCell ref="F110:H110"/>
    <mergeCell ref="A111:E111"/>
    <mergeCell ref="F111:H111"/>
    <mergeCell ref="A112:E112"/>
    <mergeCell ref="F112:H112"/>
    <mergeCell ref="A40:D40"/>
    <mergeCell ref="G49:H49"/>
    <mergeCell ref="A49:B49"/>
    <mergeCell ref="C49:E49"/>
    <mergeCell ref="C46:E46"/>
    <mergeCell ref="C47:E47"/>
    <mergeCell ref="A45:B45"/>
    <mergeCell ref="C45:E45"/>
    <mergeCell ref="A47:B48"/>
    <mergeCell ref="G47:H47"/>
    <mergeCell ref="A54:C54"/>
    <mergeCell ref="D54:H54"/>
    <mergeCell ref="A58:C58"/>
    <mergeCell ref="D58:H58"/>
    <mergeCell ref="A55:C55"/>
    <mergeCell ref="A56:C56"/>
    <mergeCell ref="D55:H55"/>
    <mergeCell ref="D56:H56"/>
    <mergeCell ref="A73:B73"/>
  </mergeCells>
  <dataValidations count="2">
    <dataValidation type="list" allowBlank="1" showInputMessage="1" showErrorMessage="1" sqref="D132">
      <formula1>"Carpet area,RERA Carpet area"</formula1>
    </dataValidation>
    <dataValidation type="list" allowBlank="1" showInputMessage="1" showErrorMessage="1" sqref="E132">
      <formula1>"Fungible area,Balcony Area,Chajja Area,Cornice Area,AP Area,WS Area"</formula1>
    </dataValidation>
  </dataValidation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&amp;F&amp;C&amp;G&amp;R&amp;"Calibri,Bold"&amp;P</oddFooter>
  </headerFooter>
  <rowBreaks count="4" manualBreakCount="4">
    <brk id="72" max="16383" man="1"/>
    <brk id="183" max="16383" man="1"/>
    <brk id="197" max="16383" man="1"/>
    <brk id="2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80</v>
      </c>
      <c r="C2" s="184"/>
      <c r="D2" s="184"/>
    </row>
    <row r="3" spans="1:12" x14ac:dyDescent="0.35">
      <c r="D3" s="4"/>
      <c r="E3" s="4"/>
      <c r="F3" s="4"/>
      <c r="G3" s="4"/>
      <c r="H3" s="4"/>
      <c r="I3" s="4"/>
    </row>
    <row r="4" spans="1:12" x14ac:dyDescent="0.35">
      <c r="A4" s="3" t="s">
        <v>81</v>
      </c>
      <c r="B4" s="5" t="s">
        <v>82</v>
      </c>
      <c r="C4" s="185" t="s">
        <v>83</v>
      </c>
      <c r="D4" s="185"/>
      <c r="E4" s="185"/>
      <c r="F4" s="6"/>
      <c r="G4" s="185" t="s">
        <v>84</v>
      </c>
      <c r="H4" s="185"/>
      <c r="I4" s="185"/>
      <c r="J4" s="185" t="s">
        <v>85</v>
      </c>
      <c r="K4" s="185"/>
      <c r="L4" s="185"/>
    </row>
    <row r="5" spans="1:12" x14ac:dyDescent="0.35">
      <c r="A5" s="3">
        <v>202</v>
      </c>
      <c r="B5" s="5"/>
      <c r="C5" s="5" t="s">
        <v>86</v>
      </c>
      <c r="D5" s="5" t="s">
        <v>87</v>
      </c>
      <c r="E5" s="5" t="s">
        <v>62</v>
      </c>
      <c r="F5" s="5"/>
      <c r="G5" s="5" t="s">
        <v>86</v>
      </c>
      <c r="H5" s="5" t="s">
        <v>87</v>
      </c>
      <c r="I5" s="5" t="s">
        <v>62</v>
      </c>
      <c r="J5" s="5" t="s">
        <v>86</v>
      </c>
      <c r="K5" s="5" t="s">
        <v>87</v>
      </c>
      <c r="L5" s="5" t="s">
        <v>62</v>
      </c>
    </row>
    <row r="6" spans="1:12" x14ac:dyDescent="0.35">
      <c r="B6" s="7" t="s">
        <v>88</v>
      </c>
      <c r="C6" s="7">
        <v>4.5</v>
      </c>
      <c r="D6" s="7">
        <v>2.9</v>
      </c>
      <c r="E6" s="7">
        <f>C6*D6</f>
        <v>13.049999999999999</v>
      </c>
      <c r="F6" s="7" t="s">
        <v>89</v>
      </c>
      <c r="G6" s="7"/>
      <c r="H6" s="7"/>
      <c r="I6" s="7">
        <f>G6*H6</f>
        <v>0</v>
      </c>
      <c r="J6" s="7"/>
      <c r="K6" s="7"/>
      <c r="L6" s="7">
        <f>J6*K6</f>
        <v>0</v>
      </c>
    </row>
    <row r="7" spans="1:12" x14ac:dyDescent="0.35">
      <c r="B7" s="7"/>
      <c r="C7" s="7"/>
      <c r="D7" s="7"/>
      <c r="E7" s="7">
        <f t="shared" ref="E7:E33" si="0">C7*D7</f>
        <v>0</v>
      </c>
      <c r="F7" s="7" t="s">
        <v>90</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91</v>
      </c>
      <c r="C9" s="7">
        <v>1.88</v>
      </c>
      <c r="D9" s="7">
        <v>2.13</v>
      </c>
      <c r="E9" s="7">
        <f t="shared" si="0"/>
        <v>4.0043999999999995</v>
      </c>
      <c r="F9" s="7" t="s">
        <v>89</v>
      </c>
      <c r="G9" s="7"/>
      <c r="H9" s="7"/>
      <c r="I9" s="7">
        <f t="shared" si="1"/>
        <v>0</v>
      </c>
      <c r="J9" s="7"/>
      <c r="K9" s="7"/>
      <c r="L9" s="7">
        <f t="shared" si="2"/>
        <v>0</v>
      </c>
    </row>
    <row r="10" spans="1:12" x14ac:dyDescent="0.35">
      <c r="B10" s="7"/>
      <c r="C10" s="7"/>
      <c r="D10" s="7"/>
      <c r="E10" s="7">
        <f t="shared" si="0"/>
        <v>0</v>
      </c>
      <c r="F10" s="7" t="s">
        <v>90</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92</v>
      </c>
      <c r="C13" s="7"/>
      <c r="D13" s="7"/>
      <c r="E13" s="7">
        <f t="shared" si="0"/>
        <v>0</v>
      </c>
      <c r="F13" s="7" t="s">
        <v>89</v>
      </c>
      <c r="G13" s="7"/>
      <c r="H13" s="7"/>
      <c r="I13" s="7">
        <f t="shared" si="1"/>
        <v>0</v>
      </c>
      <c r="J13" s="7"/>
      <c r="K13" s="7"/>
      <c r="L13" s="7">
        <f t="shared" si="2"/>
        <v>0</v>
      </c>
    </row>
    <row r="14" spans="1:12" x14ac:dyDescent="0.35">
      <c r="B14" s="7"/>
      <c r="C14" s="7"/>
      <c r="D14" s="7"/>
      <c r="E14" s="7">
        <f t="shared" si="0"/>
        <v>0</v>
      </c>
      <c r="F14" s="7" t="s">
        <v>90</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93</v>
      </c>
      <c r="C17" s="7"/>
      <c r="D17" s="7"/>
      <c r="E17" s="7">
        <f t="shared" si="0"/>
        <v>0</v>
      </c>
      <c r="F17" s="7" t="s">
        <v>89</v>
      </c>
      <c r="G17" s="7"/>
      <c r="H17" s="7"/>
      <c r="I17" s="7">
        <f t="shared" si="1"/>
        <v>0</v>
      </c>
      <c r="J17" s="7"/>
      <c r="K17" s="7"/>
      <c r="L17" s="7">
        <f t="shared" si="2"/>
        <v>0</v>
      </c>
    </row>
    <row r="18" spans="2:12" x14ac:dyDescent="0.35">
      <c r="B18" s="7"/>
      <c r="C18" s="7"/>
      <c r="D18" s="7"/>
      <c r="E18" s="7">
        <f t="shared" si="0"/>
        <v>0</v>
      </c>
      <c r="F18" s="7" t="s">
        <v>90</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93</v>
      </c>
      <c r="C20" s="7"/>
      <c r="D20" s="7"/>
      <c r="E20" s="7">
        <f t="shared" si="0"/>
        <v>0</v>
      </c>
      <c r="F20" s="7" t="s">
        <v>89</v>
      </c>
      <c r="G20" s="7"/>
      <c r="H20" s="7"/>
      <c r="I20" s="7">
        <f t="shared" si="1"/>
        <v>0</v>
      </c>
      <c r="J20" s="7"/>
      <c r="K20" s="7"/>
      <c r="L20" s="7">
        <f t="shared" si="2"/>
        <v>0</v>
      </c>
    </row>
    <row r="21" spans="2:12" x14ac:dyDescent="0.35">
      <c r="B21" s="7"/>
      <c r="C21" s="7"/>
      <c r="D21" s="7"/>
      <c r="E21" s="7">
        <f t="shared" si="0"/>
        <v>0</v>
      </c>
      <c r="F21" s="7" t="s">
        <v>90</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94</v>
      </c>
      <c r="C23" s="7">
        <v>1.9</v>
      </c>
      <c r="D23" s="7">
        <v>1.07</v>
      </c>
      <c r="E23" s="7">
        <f t="shared" si="0"/>
        <v>2.0329999999999999</v>
      </c>
      <c r="F23" s="7" t="s">
        <v>95</v>
      </c>
      <c r="G23" s="7"/>
      <c r="H23" s="7"/>
      <c r="I23" s="7">
        <f t="shared" si="1"/>
        <v>0</v>
      </c>
      <c r="J23" s="7"/>
      <c r="K23" s="7"/>
      <c r="L23" s="7">
        <f t="shared" si="2"/>
        <v>0</v>
      </c>
    </row>
    <row r="24" spans="2:12" x14ac:dyDescent="0.35">
      <c r="B24" s="7" t="s">
        <v>96</v>
      </c>
      <c r="C24" s="7"/>
      <c r="D24" s="7"/>
      <c r="E24" s="7">
        <f t="shared" si="0"/>
        <v>0</v>
      </c>
      <c r="F24" s="7" t="s">
        <v>95</v>
      </c>
      <c r="G24" s="7"/>
      <c r="H24" s="7"/>
      <c r="I24" s="7">
        <f t="shared" si="1"/>
        <v>0</v>
      </c>
      <c r="J24" s="7"/>
      <c r="K24" s="7"/>
      <c r="L24" s="7">
        <f t="shared" si="2"/>
        <v>0</v>
      </c>
    </row>
    <row r="25" spans="2:12" x14ac:dyDescent="0.35">
      <c r="B25" s="7" t="s">
        <v>97</v>
      </c>
      <c r="C25" s="7"/>
      <c r="D25" s="7"/>
      <c r="E25" s="7">
        <f t="shared" si="0"/>
        <v>0</v>
      </c>
      <c r="F25" s="7" t="s">
        <v>95</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98</v>
      </c>
      <c r="C27" s="7"/>
      <c r="D27" s="7"/>
      <c r="E27" s="7">
        <f t="shared" si="0"/>
        <v>0</v>
      </c>
      <c r="F27" s="7"/>
      <c r="G27" s="7"/>
      <c r="H27" s="7"/>
      <c r="I27" s="7">
        <f t="shared" si="1"/>
        <v>0</v>
      </c>
      <c r="J27" s="7"/>
      <c r="K27" s="7"/>
      <c r="L27" s="7">
        <f t="shared" si="2"/>
        <v>0</v>
      </c>
    </row>
    <row r="28" spans="2:12" x14ac:dyDescent="0.35">
      <c r="B28" s="7" t="s">
        <v>99</v>
      </c>
      <c r="C28" s="7"/>
      <c r="D28" s="7"/>
      <c r="E28" s="7">
        <f t="shared" si="0"/>
        <v>0</v>
      </c>
      <c r="F28" s="7"/>
      <c r="G28" s="7"/>
      <c r="H28" s="7"/>
      <c r="I28" s="7">
        <f t="shared" si="1"/>
        <v>0</v>
      </c>
      <c r="J28" s="7"/>
      <c r="K28" s="7"/>
      <c r="L28" s="7">
        <f t="shared" si="2"/>
        <v>0</v>
      </c>
    </row>
    <row r="29" spans="2:12" x14ac:dyDescent="0.35">
      <c r="B29" s="7" t="s">
        <v>100</v>
      </c>
      <c r="C29" s="7"/>
      <c r="D29" s="7"/>
      <c r="E29" s="7">
        <f t="shared" si="0"/>
        <v>0</v>
      </c>
      <c r="F29" s="7"/>
      <c r="G29" s="7"/>
      <c r="H29" s="7"/>
      <c r="I29" s="7">
        <f t="shared" si="1"/>
        <v>0</v>
      </c>
      <c r="J29" s="7"/>
      <c r="K29" s="7"/>
      <c r="L29" s="7">
        <f t="shared" si="2"/>
        <v>0</v>
      </c>
    </row>
    <row r="30" spans="2:12" x14ac:dyDescent="0.35">
      <c r="B30" s="7" t="s">
        <v>101</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activeCell="H16" sqref="H16"/>
    </sheetView>
  </sheetViews>
  <sheetFormatPr defaultColWidth="8.7265625" defaultRowHeight="14.5" x14ac:dyDescent="0.35"/>
  <cols>
    <col min="1" max="1" width="8.7265625" style="27"/>
    <col min="2" max="2" width="22.1796875" style="27" customWidth="1"/>
    <col min="3" max="3" width="37" style="27" customWidth="1"/>
    <col min="4" max="5" width="11.453125" style="27" customWidth="1"/>
    <col min="6" max="6" width="14" style="27" customWidth="1"/>
    <col min="7" max="7" width="20" style="27" customWidth="1"/>
    <col min="8" max="8" width="16.453125" style="27" customWidth="1"/>
    <col min="9" max="16384" width="8.7265625" style="27"/>
  </cols>
  <sheetData>
    <row r="1" spans="1:9" ht="15" customHeight="1" x14ac:dyDescent="0.35">
      <c r="A1" s="26"/>
      <c r="B1" s="26"/>
      <c r="C1" s="26"/>
      <c r="D1" s="26"/>
      <c r="E1" s="26"/>
      <c r="F1" s="26"/>
      <c r="G1" s="26"/>
      <c r="H1" s="26"/>
    </row>
    <row r="2" spans="1:9" ht="15" customHeight="1" x14ac:dyDescent="0.35">
      <c r="A2" s="28"/>
      <c r="B2" s="28"/>
      <c r="C2" s="28"/>
      <c r="D2" s="28"/>
      <c r="E2" s="28"/>
      <c r="F2" s="28"/>
      <c r="G2" s="28"/>
      <c r="H2" s="28"/>
    </row>
    <row r="3" spans="1:9" ht="15.75" customHeight="1" x14ac:dyDescent="0.35">
      <c r="A3" s="28"/>
      <c r="B3" s="186" t="s">
        <v>153</v>
      </c>
      <c r="C3" s="186"/>
      <c r="D3" s="186"/>
      <c r="E3" s="186"/>
      <c r="F3" s="186"/>
      <c r="G3" s="186"/>
      <c r="H3" s="186"/>
    </row>
    <row r="4" spans="1:9" x14ac:dyDescent="0.35">
      <c r="A4" s="28"/>
      <c r="B4" s="29" t="s">
        <v>154</v>
      </c>
      <c r="C4" s="29" t="s">
        <v>155</v>
      </c>
      <c r="D4" s="29" t="s">
        <v>81</v>
      </c>
      <c r="E4" s="29" t="s">
        <v>156</v>
      </c>
      <c r="F4" s="29" t="s">
        <v>163</v>
      </c>
      <c r="G4" s="29" t="s">
        <v>164</v>
      </c>
      <c r="H4" s="29" t="s">
        <v>157</v>
      </c>
    </row>
    <row r="5" spans="1:9" ht="15" customHeight="1" x14ac:dyDescent="0.35">
      <c r="A5" s="28"/>
      <c r="B5" s="31" t="s">
        <v>158</v>
      </c>
      <c r="C5" s="32"/>
      <c r="D5" s="31" t="s">
        <v>159</v>
      </c>
      <c r="E5" s="31">
        <v>1106</v>
      </c>
      <c r="F5" s="33">
        <f>E5*1.6</f>
        <v>1769.6000000000001</v>
      </c>
      <c r="G5" s="33">
        <f>H5/F5</f>
        <v>31532.549728752259</v>
      </c>
      <c r="H5" s="34">
        <v>55800000</v>
      </c>
    </row>
    <row r="6" spans="1:9" x14ac:dyDescent="0.35">
      <c r="A6" s="28"/>
      <c r="B6" s="31" t="s">
        <v>158</v>
      </c>
      <c r="C6" s="35"/>
      <c r="D6" s="31"/>
      <c r="E6" s="31"/>
      <c r="F6" s="33">
        <f t="shared" ref="F6:F11" si="0">E6*1.6</f>
        <v>0</v>
      </c>
      <c r="G6" s="33" t="e">
        <f t="shared" ref="G6:G11" si="1">H6/F6</f>
        <v>#DIV/0!</v>
      </c>
      <c r="H6" s="34"/>
    </row>
    <row r="7" spans="1:9" ht="15" customHeight="1" x14ac:dyDescent="0.35">
      <c r="A7" s="28"/>
      <c r="B7" s="31" t="s">
        <v>158</v>
      </c>
      <c r="C7" s="32"/>
      <c r="D7" s="31"/>
      <c r="E7" s="31"/>
      <c r="F7" s="33">
        <f t="shared" si="0"/>
        <v>0</v>
      </c>
      <c r="G7" s="33" t="e">
        <f t="shared" si="1"/>
        <v>#DIV/0!</v>
      </c>
      <c r="H7" s="34"/>
    </row>
    <row r="8" spans="1:9" x14ac:dyDescent="0.35">
      <c r="A8" s="28"/>
      <c r="B8" s="31" t="s">
        <v>158</v>
      </c>
      <c r="C8" s="35"/>
      <c r="D8" s="31"/>
      <c r="E8" s="31"/>
      <c r="F8" s="33">
        <f t="shared" si="0"/>
        <v>0</v>
      </c>
      <c r="G8" s="33" t="e">
        <f t="shared" si="1"/>
        <v>#DIV/0!</v>
      </c>
      <c r="H8" s="34"/>
    </row>
    <row r="9" spans="1:9" ht="15" customHeight="1" x14ac:dyDescent="0.35">
      <c r="A9" s="28"/>
      <c r="B9" s="31" t="s">
        <v>158</v>
      </c>
      <c r="C9" s="35"/>
      <c r="D9" s="31"/>
      <c r="E9" s="31"/>
      <c r="F9" s="33">
        <f t="shared" si="0"/>
        <v>0</v>
      </c>
      <c r="G9" s="33" t="e">
        <f t="shared" si="1"/>
        <v>#DIV/0!</v>
      </c>
      <c r="H9" s="34"/>
    </row>
    <row r="10" spans="1:9" ht="15" customHeight="1" x14ac:dyDescent="0.35">
      <c r="A10" s="28"/>
      <c r="B10" s="31" t="s">
        <v>160</v>
      </c>
      <c r="C10" s="32"/>
      <c r="D10" s="31"/>
      <c r="E10" s="31"/>
      <c r="F10" s="33">
        <f t="shared" si="0"/>
        <v>0</v>
      </c>
      <c r="G10" s="33" t="e">
        <f t="shared" si="1"/>
        <v>#DIV/0!</v>
      </c>
      <c r="H10" s="34"/>
    </row>
    <row r="11" spans="1:9" ht="15" customHeight="1" x14ac:dyDescent="0.35">
      <c r="A11" s="28"/>
      <c r="B11" s="31" t="s">
        <v>160</v>
      </c>
      <c r="C11" s="32"/>
      <c r="D11" s="31"/>
      <c r="E11" s="31"/>
      <c r="F11" s="33">
        <f t="shared" si="0"/>
        <v>0</v>
      </c>
      <c r="G11" s="33" t="e">
        <f t="shared" si="1"/>
        <v>#DIV/0!</v>
      </c>
      <c r="H11" s="34"/>
    </row>
    <row r="12" spans="1:9" ht="15" customHeight="1" x14ac:dyDescent="0.35">
      <c r="A12" s="28"/>
      <c r="B12" s="36" t="s">
        <v>161</v>
      </c>
      <c r="C12" s="31"/>
      <c r="D12" s="31"/>
      <c r="E12" s="31"/>
      <c r="F12" s="31"/>
      <c r="G12" s="37" t="e">
        <f>AVERAGE(G5:G11)</f>
        <v>#DIV/0!</v>
      </c>
      <c r="H12" s="31"/>
    </row>
    <row r="13" spans="1:9" ht="15" customHeight="1" x14ac:dyDescent="0.35">
      <c r="A13" s="26"/>
      <c r="B13" s="36" t="s">
        <v>162</v>
      </c>
      <c r="C13" s="38"/>
      <c r="D13" s="38"/>
      <c r="E13" s="38"/>
      <c r="F13" s="39"/>
      <c r="G13" s="36"/>
      <c r="H13" s="36"/>
      <c r="I13" s="30"/>
    </row>
    <row r="14" spans="1:9" ht="15" customHeight="1" x14ac:dyDescent="0.35">
      <c r="B14" s="26"/>
      <c r="C14" s="26"/>
      <c r="D14" s="26"/>
      <c r="E14" s="26"/>
    </row>
    <row r="15" spans="1:9" ht="15" customHeight="1" x14ac:dyDescent="0.35">
      <c r="B15" s="26"/>
      <c r="C15" s="26"/>
      <c r="D15" s="26"/>
      <c r="E15" s="26"/>
    </row>
    <row r="16" spans="1:9" ht="15" customHeight="1" x14ac:dyDescent="0.35">
      <c r="B16" s="26"/>
      <c r="C16" s="26"/>
      <c r="D16" s="26"/>
      <c r="E16" s="26"/>
    </row>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2025-07-12T15:20:29Z</cp:lastPrinted>
  <dcterms:created xsi:type="dcterms:W3CDTF">2019-07-16T09:29:46Z</dcterms:created>
  <dcterms:modified xsi:type="dcterms:W3CDTF">2025-07-12T15:20:47Z</dcterms:modified>
</cp:coreProperties>
</file>