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09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1" l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E140" i="1"/>
  <c r="E139" i="1"/>
  <c r="E138" i="1"/>
  <c r="E137" i="1"/>
  <c r="E135" i="1"/>
  <c r="D140" i="1"/>
  <c r="D139" i="1"/>
  <c r="D138" i="1"/>
  <c r="D137" i="1"/>
  <c r="D136" i="1"/>
  <c r="F136" i="1" s="1"/>
  <c r="D135" i="1"/>
  <c r="D131" i="1"/>
  <c r="F131" i="1" s="1"/>
  <c r="D130" i="1"/>
  <c r="D129" i="1"/>
  <c r="D128" i="1"/>
  <c r="D127" i="1"/>
  <c r="D126" i="1"/>
  <c r="E124" i="1"/>
  <c r="E123" i="1"/>
  <c r="E120" i="1"/>
  <c r="E119" i="1"/>
  <c r="D124" i="1"/>
  <c r="D123" i="1"/>
  <c r="D122" i="1"/>
  <c r="F122" i="1" s="1"/>
  <c r="D121" i="1"/>
  <c r="F121" i="1" s="1"/>
  <c r="D120" i="1"/>
  <c r="D119" i="1"/>
  <c r="A143" i="1"/>
  <c r="A144" i="1" s="1"/>
  <c r="A145" i="1" s="1"/>
  <c r="A146" i="1" s="1"/>
  <c r="A147" i="1" s="1"/>
  <c r="G142" i="1"/>
  <c r="A120" i="1"/>
  <c r="A121" i="1" s="1"/>
  <c r="A122" i="1" s="1"/>
  <c r="A123" i="1" s="1"/>
  <c r="A124" i="1" s="1"/>
  <c r="I119" i="1"/>
  <c r="G119" i="1"/>
  <c r="J118" i="1"/>
  <c r="A136" i="1"/>
  <c r="A137" i="1" s="1"/>
  <c r="A138" i="1" s="1"/>
  <c r="A139" i="1" s="1"/>
  <c r="A140" i="1" s="1"/>
  <c r="G135" i="1"/>
  <c r="E7" i="1"/>
  <c r="H66" i="1"/>
  <c r="J69" i="1" l="1"/>
  <c r="J68" i="1"/>
  <c r="J65" i="1"/>
  <c r="J67" i="1" s="1"/>
  <c r="D73" i="1"/>
  <c r="D76" i="1"/>
  <c r="D78" i="1"/>
  <c r="D77" i="1"/>
  <c r="D72" i="1"/>
  <c r="D71" i="1"/>
  <c r="J70" i="1"/>
  <c r="D74" i="1"/>
  <c r="D75" i="1"/>
  <c r="F135" i="1"/>
  <c r="I135" i="1" s="1"/>
  <c r="F123" i="1"/>
  <c r="F119" i="1"/>
  <c r="J76" i="1"/>
  <c r="J75" i="1"/>
  <c r="J71" i="1"/>
  <c r="J74" i="1"/>
  <c r="J73" i="1"/>
  <c r="F124" i="1"/>
  <c r="J136" i="1"/>
  <c r="I136" i="1"/>
  <c r="E110" i="1"/>
  <c r="C110" i="1"/>
  <c r="E109" i="1"/>
  <c r="C109" i="1"/>
  <c r="F139" i="1"/>
  <c r="F138" i="1"/>
  <c r="F140" i="1"/>
  <c r="F137" i="1"/>
  <c r="F120" i="1"/>
  <c r="E111" i="1" l="1"/>
  <c r="J135" i="1"/>
  <c r="K135" i="1" s="1"/>
  <c r="J72" i="1"/>
  <c r="J77" i="1" s="1"/>
  <c r="J78" i="1" s="1"/>
  <c r="C70" i="1" s="1"/>
  <c r="C69" i="1"/>
  <c r="D69" i="1" s="1"/>
  <c r="G110" i="1"/>
  <c r="C111" i="1"/>
  <c r="E42" i="1"/>
  <c r="E43" i="1" s="1"/>
  <c r="E69" i="1" l="1"/>
  <c r="D70" i="1"/>
  <c r="I66" i="1" s="1"/>
  <c r="J66" i="1"/>
  <c r="G69" i="1"/>
  <c r="C14" i="1"/>
  <c r="I67" i="1" l="1"/>
  <c r="I65" i="1" s="1"/>
  <c r="C67" i="1" s="1"/>
  <c r="E29" i="1"/>
  <c r="F106" i="1" l="1"/>
  <c r="B150" i="1" l="1"/>
  <c r="F130" i="1" l="1"/>
  <c r="F129" i="1"/>
  <c r="F127" i="1"/>
  <c r="F126" i="1"/>
  <c r="F128" i="1"/>
  <c r="G109" i="1" l="1"/>
  <c r="G111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9" i="1"/>
  <c r="G126" i="1"/>
  <c r="A127" i="1"/>
  <c r="A128" i="1" s="1"/>
  <c r="A129" i="1" s="1"/>
  <c r="A130" i="1" s="1"/>
  <c r="A131" i="1" s="1"/>
  <c r="B80" i="1"/>
  <c r="D54" i="1"/>
  <c r="G49" i="1"/>
  <c r="G50" i="1" s="1"/>
  <c r="C49" i="1"/>
  <c r="E26" i="1"/>
  <c r="E24" i="1"/>
  <c r="E3" i="1"/>
  <c r="D59" i="1" l="1"/>
  <c r="H80" i="1"/>
  <c r="D92" i="1" l="1"/>
  <c r="J83" i="1"/>
  <c r="D90" i="1"/>
  <c r="J84" i="1"/>
  <c r="C83" i="1" s="1"/>
  <c r="D83" i="1" s="1"/>
  <c r="D89" i="1"/>
  <c r="J82" i="1"/>
  <c r="D88" i="1"/>
  <c r="J85" i="1"/>
  <c r="J86" i="1" s="1"/>
  <c r="J91" i="1" s="1"/>
  <c r="D86" i="1"/>
  <c r="J79" i="1"/>
  <c r="J81" i="1" s="1"/>
  <c r="D87" i="1"/>
  <c r="D91" i="1"/>
  <c r="J87" i="1"/>
  <c r="J88" i="1" s="1"/>
  <c r="J89" i="1" s="1"/>
  <c r="J90" i="1" s="1"/>
  <c r="D85" i="1"/>
  <c r="J92" i="1" l="1"/>
  <c r="C84" i="1" l="1"/>
  <c r="J80" i="1" s="1"/>
  <c r="G83" i="1" l="1"/>
  <c r="D63" i="1" s="1"/>
  <c r="D84" i="1"/>
  <c r="I80" i="1" s="1"/>
  <c r="I81" i="1" s="1"/>
  <c r="E83" i="1"/>
  <c r="I79" i="1" l="1"/>
  <c r="C81" i="1" s="1"/>
  <c r="D64" i="1"/>
  <c r="F64" i="1"/>
</calcChain>
</file>

<file path=xl/sharedStrings.xml><?xml version="1.0" encoding="utf-8"?>
<sst xmlns="http://schemas.openxmlformats.org/spreadsheetml/2006/main" count="314" uniqueCount="216">
  <si>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</si>
  <si>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</si>
  <si>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</si>
  <si>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</si>
  <si>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</si>
  <si>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</si>
  <si>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</si>
  <si>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</si>
  <si>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</si>
  <si>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</si>
  <si>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</si>
  <si>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</si>
  <si>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</si>
  <si>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</si>
  <si>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</si>
  <si>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</si>
  <si>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</si>
  <si>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</si>
  <si>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</si>
  <si>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</si>
  <si>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</si>
  <si>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</si>
  <si>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</si>
  <si>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</si>
  <si>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</si>
  <si>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</si>
  <si>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</si>
  <si>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</si>
  <si>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</si>
  <si>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</si>
  <si>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</si>
  <si>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</si>
  <si>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</si>
  <si>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</si>
  <si>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</si>
  <si>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</si>
  <si>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</si>
  <si>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</si>
  <si>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</si>
  <si>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</si>
  <si>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</si>
  <si>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</si>
  <si>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</si>
  <si>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</si>
  <si>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</si>
  <si>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</si>
  <si>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</si>
  <si>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</si>
  <si>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</si>
  <si>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</si>
  <si>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</si>
  <si>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</si>
  <si>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</si>
  <si>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</si>
  <si>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</si>
  <si>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</si>
  <si>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</si>
  <si>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</si>
  <si>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</si>
  <si>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</si>
  <si>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</si>
  <si>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</si>
  <si>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</si>
  <si>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</si>
  <si>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</si>
  <si>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</si>
  <si>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</si>
  <si>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</si>
  <si>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</si>
  <si>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</si>
  <si>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</si>
  <si>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</si>
  <si>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</si>
  <si>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</si>
  <si>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</si>
  <si>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</si>
  <si>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</si>
  <si>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</si>
  <si>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</si>
  <si>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</si>
  <si>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</si>
  <si>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</si>
  <si>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</si>
  <si>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</si>
  <si>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</si>
  <si>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</si>
  <si>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</si>
  <si>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</si>
  <si>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</si>
  <si>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</si>
  <si>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</si>
  <si>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</si>
  <si>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</si>
  <si>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</si>
  <si>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</si>
  <si>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</si>
  <si>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</si>
  <si>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</si>
  <si>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</si>
  <si>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</si>
  <si>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</si>
  <si>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</si>
  <si>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</si>
  <si>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</si>
  <si>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</si>
  <si>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</si>
  <si>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</si>
  <si>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</si>
  <si>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</si>
  <si>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</si>
  <si>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</si>
  <si>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</si>
  <si>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</si>
  <si>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</si>
  <si>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</si>
  <si>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</si>
  <si>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</si>
  <si>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</si>
  <si>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</si>
  <si>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</si>
  <si>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</si>
  <si>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</si>
  <si>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</si>
  <si>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</si>
  <si>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</si>
  <si>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</si>
  <si>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</si>
  <si>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</si>
  <si>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</si>
  <si>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</si>
  <si>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</si>
  <si>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</si>
  <si>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</si>
  <si>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</si>
  <si>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</si>
  <si>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</si>
  <si>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</si>
  <si>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</si>
  <si>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</si>
  <si>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</si>
  <si>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</si>
  <si>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</si>
  <si>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</si>
  <si>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</si>
  <si>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</si>
  <si>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</si>
  <si>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</si>
  <si>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</si>
  <si>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</si>
  <si>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</si>
  <si>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</si>
  <si>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</si>
  <si>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</si>
  <si>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</si>
  <si>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</si>
  <si>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</si>
  <si>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</si>
  <si>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</si>
  <si>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</si>
  <si>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</si>
  <si>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</si>
  <si>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</si>
  <si>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</si>
  <si>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</si>
  <si>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</si>
  <si>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</si>
  <si>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</si>
  <si>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</si>
  <si>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</si>
  <si>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</si>
  <si>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</si>
  <si>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</si>
  <si>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Mr.Rajiv Kokare - 8108132300 / 9146863590</t>
  </si>
  <si>
    <t>Axis Sanpada</t>
  </si>
  <si>
    <t>Gagangiri Infra</t>
  </si>
  <si>
    <t>Vastu Rachana</t>
  </si>
  <si>
    <t>Wing A &amp; B</t>
  </si>
  <si>
    <t>Approved Plans, CC, Sale Plans, Cost Sheet</t>
  </si>
  <si>
    <t>P51700050034</t>
  </si>
  <si>
    <t>Survey No</t>
  </si>
  <si>
    <t>69, H.No. 9</t>
  </si>
  <si>
    <t>Thane</t>
  </si>
  <si>
    <t>Ambarnath</t>
  </si>
  <si>
    <t>Shirgaon</t>
  </si>
  <si>
    <t>Ground Floor For Entrance Lobby &amp; Parking</t>
  </si>
  <si>
    <t>Wing A</t>
  </si>
  <si>
    <t>Wing B</t>
  </si>
  <si>
    <t>1BHK</t>
  </si>
  <si>
    <t>2nd to 7th Floor</t>
  </si>
  <si>
    <t>1st Floor For Residential</t>
  </si>
  <si>
    <t>1RK</t>
  </si>
  <si>
    <t>We considered Gross carpet area = Net carpet + Enclose balcony + O.P Area.</t>
  </si>
  <si>
    <t>Flats - 84</t>
  </si>
  <si>
    <t>As per RERA - 20/12/2026</t>
  </si>
  <si>
    <t>Kulgaon Badlapur Municipal Council (KBMC)</t>
  </si>
  <si>
    <t>KBNP/NRV/BD/334-139</t>
  </si>
  <si>
    <t>KBNP/NRV/BP/334/2022-2023 Unique No.139</t>
  </si>
  <si>
    <t>https://goo.gl/maps/a5sDXiohNYd1aux86</t>
  </si>
  <si>
    <t>Gayatri Complex</t>
  </si>
  <si>
    <t>19.150517, 73.234458</t>
  </si>
  <si>
    <t>2.8 KM from Badlapur Railway Station</t>
  </si>
  <si>
    <t>Badlapur (East)</t>
  </si>
  <si>
    <t>Internal road</t>
  </si>
  <si>
    <t>Bhosale Nagar</t>
  </si>
  <si>
    <t>Open Plot</t>
  </si>
  <si>
    <t>Grant entrance main gate with security cabin, Children's play area, Health room, Attractive entrance lobby etc.</t>
  </si>
  <si>
    <t>Grill &amp; Society Formation Charges</t>
  </si>
  <si>
    <t>Mr.Kokare - 8108132300</t>
  </si>
  <si>
    <t>Wing A &amp; B = G + 1st to 7th Floor</t>
  </si>
  <si>
    <t>Wing A = G + 1st to 7th Floor</t>
  </si>
  <si>
    <t>Wing B = G + 1st to 7th Floor</t>
  </si>
  <si>
    <t>Since Wing A have received CC on 29/09/2022, but as of construction work is not started.</t>
  </si>
  <si>
    <t>Sudhir Bhosale</t>
  </si>
  <si>
    <t>s</t>
  </si>
  <si>
    <t>Wing A &amp; B = Construction work is in process at the time of Visit.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</si>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</sst>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6" xfId="0" applyFont="1" applyFill="1" applyBorder="1"/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7" xfId="1" applyFont="1" applyBorder="1" applyAlignment="1" applyProtection="1">
      <alignment horizontal="center" vertical="top"/>
      <protection locked="0"/>
    </xf>
    <xf numFmtId="0" fontId="8" fillId="0" borderId="2" xfId="1" applyFont="1" applyBorder="1" applyAlignment="1" applyProtection="1">
      <alignment horizontal="center" vertical="top"/>
      <protection locked="0"/>
    </xf>
    <xf numFmtId="0" fontId="8" fillId="0" borderId="18" xfId="1" applyFont="1" applyBorder="1" applyAlignment="1" applyProtection="1">
      <alignment horizontal="center" vertical="top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  <xf numFmtId="0" fontId="24" fillId="2" borderId="13" xfId="0" applyFont="1" applyFill="1" applyBorder="1"/>
    <xf numFmtId="0" fontId="25" fillId="0" borderId="9" xfId="0" applyFont="1" applyBorder="1"/>
    <xf numFmtId="0" fontId="8" fillId="0" borderId="2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528204</xdr:colOff>
      <xdr:row>269</xdr:row>
      <xdr:rowOff>69273</xdr:rowOff>
    </xdr:from>
    <xdr:to>
      <xdr:col>6</xdr:col>
      <xdr:colOff>563855</xdr:colOff>
      <xdr:row>283</xdr:row>
      <xdr:rowOff>161045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0204" y="54474341"/>
          <a:ext cx="418335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528204</xdr:colOff>
      <xdr:row>254</xdr:row>
      <xdr:rowOff>8659</xdr:rowOff>
    </xdr:from>
    <xdr:to>
      <xdr:col>6</xdr:col>
      <xdr:colOff>538171</xdr:colOff>
      <xdr:row>268</xdr:row>
      <xdr:rowOff>100431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0204" y="51426341"/>
          <a:ext cx="415767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229603</xdr:colOff>
      <xdr:row>227</xdr:row>
      <xdr:rowOff>60613</xdr:rowOff>
    </xdr:from>
    <xdr:to>
      <xdr:col>5</xdr:col>
      <xdr:colOff>537853</xdr:colOff>
      <xdr:row>245</xdr:row>
      <xdr:rowOff>135042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398592" y="46092328"/>
          <a:ext cx="365929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155863</xdr:colOff>
      <xdr:row>212</xdr:row>
      <xdr:rowOff>8885</xdr:rowOff>
    </xdr:from>
    <xdr:to>
      <xdr:col>6</xdr:col>
      <xdr:colOff>586275</xdr:colOff>
      <xdr:row>226</xdr:row>
      <xdr:rowOff>100659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917863" y="42663567"/>
          <a:ext cx="457811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2</xdr:col>
      <xdr:colOff>554182</xdr:colOff>
      <xdr:row>214</xdr:row>
      <xdr:rowOff>34637</xdr:rowOff>
    </xdr:from>
    <xdr:to>
      <xdr:col>4</xdr:col>
      <xdr:colOff>346363</xdr:colOff>
      <xdr:row>222</xdr:row>
      <xdr:rowOff>86591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112818" y="43087637"/>
          <a:ext cx="1584613" cy="1645227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380999</xdr:colOff>
      <xdr:row>214</xdr:row>
      <xdr:rowOff>34862</xdr:rowOff>
    </xdr:from>
    <xdr:to>
      <xdr:col>6</xdr:col>
      <xdr:colOff>450272</xdr:colOff>
      <xdr:row>222</xdr:row>
      <xdr:rowOff>86816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32067" y="43087862"/>
          <a:ext cx="1627910" cy="1645227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199159</xdr:colOff>
      <xdr:row>221</xdr:row>
      <xdr:rowOff>25978</xdr:rowOff>
    </xdr:from>
    <xdr:to>
      <xdr:col>3</xdr:col>
      <xdr:colOff>917864</xdr:colOff>
      <xdr:row>222</xdr:row>
      <xdr:rowOff>112569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06386" y="44473092"/>
          <a:ext cx="71870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FF00"/>
              </a:solidFill>
            </a:rPr>
            <a:t>Wing A</a:t>
          </a:r>
        </a:p>
      </xdr:txBody>
    </xdr:sp>
    <xdr:clientData/>
  </xdr:twoCellAnchor>
  <xdr:twoCellAnchor>
    <xdr:from>
      <xdr:col>4</xdr:col>
      <xdr:colOff>762000</xdr:colOff>
      <xdr:row>221</xdr:row>
      <xdr:rowOff>26204</xdr:rowOff>
    </xdr:from>
    <xdr:to>
      <xdr:col>5</xdr:col>
      <xdr:colOff>675410</xdr:colOff>
      <xdr:row>222</xdr:row>
      <xdr:rowOff>112795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13068" y="44473318"/>
          <a:ext cx="69272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FF00"/>
              </a:solidFill>
            </a:rPr>
            <a:t>Wing B</a:t>
          </a:r>
        </a:p>
      </xdr:txBody>
    </xdr:sp>
    <xdr:clientData/>
  </xdr:twoCellAnchor>
  <xdr:twoCellAnchor>
    <xdr:from>
      <xdr:col>8</xdr:col>
      <xdr:colOff>222250</xdr:colOff>
      <xdr:row>168</xdr:row>
      <xdr:rowOff>184150</xdr:rowOff>
    </xdr:from>
    <xdr:to>
      <xdr:col>16</xdr:col>
      <xdr:colOff>270467</xdr:colOff>
      <xdr:row>208</xdr:row>
      <xdr:rowOff>127000</xdr:rowOff>
    </xdr:to>
    <xdr:grpSp>
      <xdr:nvGrpSpPr>
        <xdr:cNvPr id="18" name="Group 17"/>
        <xdr:cNvGrpSpPr/>
      </xdr:nvGrpSpPr>
      <xdr:grpSpPr>
        <a:xfrm>
          <a:off x="7029450" y="33686750"/>
          <a:ext cx="6753817" cy="7810500"/>
          <a:chOff x="50800" y="34175700"/>
          <a:chExt cx="6725242" cy="7810500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4920" y="40663098"/>
            <a:ext cx="2149041" cy="13231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935" y="36998166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00" y="38920632"/>
            <a:ext cx="214904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1827" y="34175700"/>
            <a:ext cx="203064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42230" y="36998166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1592" y="34175700"/>
            <a:ext cx="203064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9042" y="38920632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1357" y="34175700"/>
            <a:ext cx="203064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4921" y="38920632"/>
            <a:ext cx="214904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57611" y="36998166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7" name="TextBox 16"/>
          <xdr:cNvSpPr txBox="1"/>
        </xdr:nvSpPr>
        <xdr:spPr>
          <a:xfrm>
            <a:off x="5175250" y="36290250"/>
            <a:ext cx="722442" cy="311496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43" name="TextBox 42"/>
          <xdr:cNvSpPr txBox="1"/>
        </xdr:nvSpPr>
        <xdr:spPr>
          <a:xfrm>
            <a:off x="3303711" y="36979116"/>
            <a:ext cx="72244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969185" y="36909266"/>
            <a:ext cx="72244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5" name="TextBox 44"/>
          <xdr:cNvSpPr txBox="1"/>
        </xdr:nvSpPr>
        <xdr:spPr>
          <a:xfrm>
            <a:off x="1959785" y="37271216"/>
            <a:ext cx="72244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 Wing</a:t>
            </a:r>
          </a:p>
        </xdr:txBody>
      </xdr:sp>
    </xdr:grpSp>
    <xdr:clientData/>
  </xdr:twoCellAnchor>
  <xdr:twoCellAnchor>
    <xdr:from>
      <xdr:col>0</xdr:col>
      <xdr:colOff>146050</xdr:colOff>
      <xdr:row>169</xdr:row>
      <xdr:rowOff>69850</xdr:rowOff>
    </xdr:from>
    <xdr:to>
      <xdr:col>7</xdr:col>
      <xdr:colOff>612540</xdr:colOff>
      <xdr:row>209</xdr:row>
      <xdr:rowOff>75814</xdr:rowOff>
    </xdr:to>
    <xdr:grpSp>
      <xdr:nvGrpSpPr>
        <xdr:cNvPr id="10" name="Group 9"/>
        <xdr:cNvGrpSpPr/>
      </xdr:nvGrpSpPr>
      <xdr:grpSpPr>
        <a:xfrm>
          <a:off x="146050" y="33769300"/>
          <a:ext cx="6467240" cy="7873614"/>
          <a:chOff x="146050" y="33769300"/>
          <a:chExt cx="6467240" cy="7873614"/>
        </a:xfrm>
      </xdr:grpSpPr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33769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3662610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5566" y="33769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5566" y="3662610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0808" y="3662610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8532" y="3948291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5426" y="39482914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36979" y="39482914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0808" y="33769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3" name="TextBox 62"/>
          <xdr:cNvSpPr txBox="1"/>
        </xdr:nvSpPr>
        <xdr:spPr>
          <a:xfrm>
            <a:off x="806450" y="33915350"/>
            <a:ext cx="72551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64" name="TextBox 63"/>
          <xdr:cNvSpPr txBox="1"/>
        </xdr:nvSpPr>
        <xdr:spPr>
          <a:xfrm>
            <a:off x="2350808" y="33769300"/>
            <a:ext cx="72551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65" name="TextBox 64"/>
          <xdr:cNvSpPr txBox="1"/>
        </xdr:nvSpPr>
        <xdr:spPr>
          <a:xfrm>
            <a:off x="5203266" y="33801050"/>
            <a:ext cx="72551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5sDXiohNYd1aux8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53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81640625" style="39" customWidth="1"/>
    <col min="4" max="4" width="14.1796875" style="39" customWidth="1"/>
    <col min="5" max="7" width="11.81640625" style="39" customWidth="1"/>
    <col min="8" max="8" width="11.54296875" style="39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81640625" style="20" customWidth="1"/>
    <col min="17" max="247" width="9.1796875" style="20"/>
    <col min="248" max="248" width="8.81640625" style="20" customWidth="1"/>
    <col min="249" max="249" width="9.81640625" style="20" customWidth="1"/>
    <col min="250" max="250" width="14.453125" style="20" customWidth="1"/>
    <col min="251" max="251" width="7.179687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81640625" style="20" customWidth="1"/>
    <col min="505" max="505" width="9.81640625" style="20" customWidth="1"/>
    <col min="506" max="506" width="14.453125" style="20" customWidth="1"/>
    <col min="507" max="507" width="7.179687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81640625" style="20" customWidth="1"/>
    <col min="761" max="761" width="9.81640625" style="20" customWidth="1"/>
    <col min="762" max="762" width="14.453125" style="20" customWidth="1"/>
    <col min="763" max="763" width="7.179687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81640625" style="20" customWidth="1"/>
    <col min="1017" max="1017" width="9.81640625" style="20" customWidth="1"/>
    <col min="1018" max="1018" width="14.453125" style="20" customWidth="1"/>
    <col min="1019" max="1019" width="7.179687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81640625" style="20" customWidth="1"/>
    <col min="1273" max="1273" width="9.81640625" style="20" customWidth="1"/>
    <col min="1274" max="1274" width="14.453125" style="20" customWidth="1"/>
    <col min="1275" max="1275" width="7.179687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81640625" style="20" customWidth="1"/>
    <col min="1529" max="1529" width="9.81640625" style="20" customWidth="1"/>
    <col min="1530" max="1530" width="14.453125" style="20" customWidth="1"/>
    <col min="1531" max="1531" width="7.179687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81640625" style="20" customWidth="1"/>
    <col min="1785" max="1785" width="9.81640625" style="20" customWidth="1"/>
    <col min="1786" max="1786" width="14.453125" style="20" customWidth="1"/>
    <col min="1787" max="1787" width="7.179687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81640625" style="20" customWidth="1"/>
    <col min="2041" max="2041" width="9.81640625" style="20" customWidth="1"/>
    <col min="2042" max="2042" width="14.453125" style="20" customWidth="1"/>
    <col min="2043" max="2043" width="7.179687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81640625" style="20" customWidth="1"/>
    <col min="2297" max="2297" width="9.81640625" style="20" customWidth="1"/>
    <col min="2298" max="2298" width="14.453125" style="20" customWidth="1"/>
    <col min="2299" max="2299" width="7.179687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81640625" style="20" customWidth="1"/>
    <col min="2553" max="2553" width="9.81640625" style="20" customWidth="1"/>
    <col min="2554" max="2554" width="14.453125" style="20" customWidth="1"/>
    <col min="2555" max="2555" width="7.179687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81640625" style="20" customWidth="1"/>
    <col min="2809" max="2809" width="9.81640625" style="20" customWidth="1"/>
    <col min="2810" max="2810" width="14.453125" style="20" customWidth="1"/>
    <col min="2811" max="2811" width="7.179687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81640625" style="20" customWidth="1"/>
    <col min="3065" max="3065" width="9.81640625" style="20" customWidth="1"/>
    <col min="3066" max="3066" width="14.453125" style="20" customWidth="1"/>
    <col min="3067" max="3067" width="7.179687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81640625" style="20" customWidth="1"/>
    <col min="3321" max="3321" width="9.81640625" style="20" customWidth="1"/>
    <col min="3322" max="3322" width="14.453125" style="20" customWidth="1"/>
    <col min="3323" max="3323" width="7.179687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81640625" style="20" customWidth="1"/>
    <col min="3577" max="3577" width="9.81640625" style="20" customWidth="1"/>
    <col min="3578" max="3578" width="14.453125" style="20" customWidth="1"/>
    <col min="3579" max="3579" width="7.179687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81640625" style="20" customWidth="1"/>
    <col min="3833" max="3833" width="9.81640625" style="20" customWidth="1"/>
    <col min="3834" max="3834" width="14.453125" style="20" customWidth="1"/>
    <col min="3835" max="3835" width="7.179687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81640625" style="20" customWidth="1"/>
    <col min="4089" max="4089" width="9.81640625" style="20" customWidth="1"/>
    <col min="4090" max="4090" width="14.453125" style="20" customWidth="1"/>
    <col min="4091" max="4091" width="7.179687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81640625" style="20" customWidth="1"/>
    <col min="4345" max="4345" width="9.81640625" style="20" customWidth="1"/>
    <col min="4346" max="4346" width="14.453125" style="20" customWidth="1"/>
    <col min="4347" max="4347" width="7.179687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81640625" style="20" customWidth="1"/>
    <col min="4601" max="4601" width="9.81640625" style="20" customWidth="1"/>
    <col min="4602" max="4602" width="14.453125" style="20" customWidth="1"/>
    <col min="4603" max="4603" width="7.179687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81640625" style="20" customWidth="1"/>
    <col min="4857" max="4857" width="9.81640625" style="20" customWidth="1"/>
    <col min="4858" max="4858" width="14.453125" style="20" customWidth="1"/>
    <col min="4859" max="4859" width="7.179687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81640625" style="20" customWidth="1"/>
    <col min="5113" max="5113" width="9.81640625" style="20" customWidth="1"/>
    <col min="5114" max="5114" width="14.453125" style="20" customWidth="1"/>
    <col min="5115" max="5115" width="7.179687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81640625" style="20" customWidth="1"/>
    <col min="5369" max="5369" width="9.81640625" style="20" customWidth="1"/>
    <col min="5370" max="5370" width="14.453125" style="20" customWidth="1"/>
    <col min="5371" max="5371" width="7.179687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81640625" style="20" customWidth="1"/>
    <col min="5625" max="5625" width="9.81640625" style="20" customWidth="1"/>
    <col min="5626" max="5626" width="14.453125" style="20" customWidth="1"/>
    <col min="5627" max="5627" width="7.179687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81640625" style="20" customWidth="1"/>
    <col min="5881" max="5881" width="9.81640625" style="20" customWidth="1"/>
    <col min="5882" max="5882" width="14.453125" style="20" customWidth="1"/>
    <col min="5883" max="5883" width="7.179687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81640625" style="20" customWidth="1"/>
    <col min="6137" max="6137" width="9.81640625" style="20" customWidth="1"/>
    <col min="6138" max="6138" width="14.453125" style="20" customWidth="1"/>
    <col min="6139" max="6139" width="7.179687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81640625" style="20" customWidth="1"/>
    <col min="6393" max="6393" width="9.81640625" style="20" customWidth="1"/>
    <col min="6394" max="6394" width="14.453125" style="20" customWidth="1"/>
    <col min="6395" max="6395" width="7.179687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81640625" style="20" customWidth="1"/>
    <col min="6649" max="6649" width="9.81640625" style="20" customWidth="1"/>
    <col min="6650" max="6650" width="14.453125" style="20" customWidth="1"/>
    <col min="6651" max="6651" width="7.179687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81640625" style="20" customWidth="1"/>
    <col min="6905" max="6905" width="9.81640625" style="20" customWidth="1"/>
    <col min="6906" max="6906" width="14.453125" style="20" customWidth="1"/>
    <col min="6907" max="6907" width="7.179687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81640625" style="20" customWidth="1"/>
    <col min="7161" max="7161" width="9.81640625" style="20" customWidth="1"/>
    <col min="7162" max="7162" width="14.453125" style="20" customWidth="1"/>
    <col min="7163" max="7163" width="7.179687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81640625" style="20" customWidth="1"/>
    <col min="7417" max="7417" width="9.81640625" style="20" customWidth="1"/>
    <col min="7418" max="7418" width="14.453125" style="20" customWidth="1"/>
    <col min="7419" max="7419" width="7.179687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81640625" style="20" customWidth="1"/>
    <col min="7673" max="7673" width="9.81640625" style="20" customWidth="1"/>
    <col min="7674" max="7674" width="14.453125" style="20" customWidth="1"/>
    <col min="7675" max="7675" width="7.179687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81640625" style="20" customWidth="1"/>
    <col min="7929" max="7929" width="9.81640625" style="20" customWidth="1"/>
    <col min="7930" max="7930" width="14.453125" style="20" customWidth="1"/>
    <col min="7931" max="7931" width="7.179687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81640625" style="20" customWidth="1"/>
    <col min="8185" max="8185" width="9.81640625" style="20" customWidth="1"/>
    <col min="8186" max="8186" width="14.453125" style="20" customWidth="1"/>
    <col min="8187" max="8187" width="7.179687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81640625" style="20" customWidth="1"/>
    <col min="8441" max="8441" width="9.81640625" style="20" customWidth="1"/>
    <col min="8442" max="8442" width="14.453125" style="20" customWidth="1"/>
    <col min="8443" max="8443" width="7.179687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81640625" style="20" customWidth="1"/>
    <col min="8697" max="8697" width="9.81640625" style="20" customWidth="1"/>
    <col min="8698" max="8698" width="14.453125" style="20" customWidth="1"/>
    <col min="8699" max="8699" width="7.179687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81640625" style="20" customWidth="1"/>
    <col min="8953" max="8953" width="9.81640625" style="20" customWidth="1"/>
    <col min="8954" max="8954" width="14.453125" style="20" customWidth="1"/>
    <col min="8955" max="8955" width="7.179687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81640625" style="20" customWidth="1"/>
    <col min="9209" max="9209" width="9.81640625" style="20" customWidth="1"/>
    <col min="9210" max="9210" width="14.453125" style="20" customWidth="1"/>
    <col min="9211" max="9211" width="7.179687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81640625" style="20" customWidth="1"/>
    <col min="9465" max="9465" width="9.81640625" style="20" customWidth="1"/>
    <col min="9466" max="9466" width="14.453125" style="20" customWidth="1"/>
    <col min="9467" max="9467" width="7.179687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81640625" style="20" customWidth="1"/>
    <col min="9721" max="9721" width="9.81640625" style="20" customWidth="1"/>
    <col min="9722" max="9722" width="14.453125" style="20" customWidth="1"/>
    <col min="9723" max="9723" width="7.179687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81640625" style="20" customWidth="1"/>
    <col min="9977" max="9977" width="9.81640625" style="20" customWidth="1"/>
    <col min="9978" max="9978" width="14.453125" style="20" customWidth="1"/>
    <col min="9979" max="9979" width="7.179687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81640625" style="20" customWidth="1"/>
    <col min="10233" max="10233" width="9.81640625" style="20" customWidth="1"/>
    <col min="10234" max="10234" width="14.453125" style="20" customWidth="1"/>
    <col min="10235" max="10235" width="7.179687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81640625" style="20" customWidth="1"/>
    <col min="10489" max="10489" width="9.81640625" style="20" customWidth="1"/>
    <col min="10490" max="10490" width="14.453125" style="20" customWidth="1"/>
    <col min="10491" max="10491" width="7.179687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81640625" style="20" customWidth="1"/>
    <col min="10745" max="10745" width="9.81640625" style="20" customWidth="1"/>
    <col min="10746" max="10746" width="14.453125" style="20" customWidth="1"/>
    <col min="10747" max="10747" width="7.179687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81640625" style="20" customWidth="1"/>
    <col min="11001" max="11001" width="9.81640625" style="20" customWidth="1"/>
    <col min="11002" max="11002" width="14.453125" style="20" customWidth="1"/>
    <col min="11003" max="11003" width="7.179687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81640625" style="20" customWidth="1"/>
    <col min="11257" max="11257" width="9.81640625" style="20" customWidth="1"/>
    <col min="11258" max="11258" width="14.453125" style="20" customWidth="1"/>
    <col min="11259" max="11259" width="7.179687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81640625" style="20" customWidth="1"/>
    <col min="11513" max="11513" width="9.81640625" style="20" customWidth="1"/>
    <col min="11514" max="11514" width="14.453125" style="20" customWidth="1"/>
    <col min="11515" max="11515" width="7.179687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81640625" style="20" customWidth="1"/>
    <col min="11769" max="11769" width="9.81640625" style="20" customWidth="1"/>
    <col min="11770" max="11770" width="14.453125" style="20" customWidth="1"/>
    <col min="11771" max="11771" width="7.179687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81640625" style="20" customWidth="1"/>
    <col min="12025" max="12025" width="9.81640625" style="20" customWidth="1"/>
    <col min="12026" max="12026" width="14.453125" style="20" customWidth="1"/>
    <col min="12027" max="12027" width="7.179687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81640625" style="20" customWidth="1"/>
    <col min="12281" max="12281" width="9.81640625" style="20" customWidth="1"/>
    <col min="12282" max="12282" width="14.453125" style="20" customWidth="1"/>
    <col min="12283" max="12283" width="7.179687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81640625" style="20" customWidth="1"/>
    <col min="12537" max="12537" width="9.81640625" style="20" customWidth="1"/>
    <col min="12538" max="12538" width="14.453125" style="20" customWidth="1"/>
    <col min="12539" max="12539" width="7.179687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81640625" style="20" customWidth="1"/>
    <col min="12793" max="12793" width="9.81640625" style="20" customWidth="1"/>
    <col min="12794" max="12794" width="14.453125" style="20" customWidth="1"/>
    <col min="12795" max="12795" width="7.179687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81640625" style="20" customWidth="1"/>
    <col min="13049" max="13049" width="9.81640625" style="20" customWidth="1"/>
    <col min="13050" max="13050" width="14.453125" style="20" customWidth="1"/>
    <col min="13051" max="13051" width="7.179687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81640625" style="20" customWidth="1"/>
    <col min="13305" max="13305" width="9.81640625" style="20" customWidth="1"/>
    <col min="13306" max="13306" width="14.453125" style="20" customWidth="1"/>
    <col min="13307" max="13307" width="7.179687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81640625" style="20" customWidth="1"/>
    <col min="13561" max="13561" width="9.81640625" style="20" customWidth="1"/>
    <col min="13562" max="13562" width="14.453125" style="20" customWidth="1"/>
    <col min="13563" max="13563" width="7.179687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81640625" style="20" customWidth="1"/>
    <col min="13817" max="13817" width="9.81640625" style="20" customWidth="1"/>
    <col min="13818" max="13818" width="14.453125" style="20" customWidth="1"/>
    <col min="13819" max="13819" width="7.179687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81640625" style="20" customWidth="1"/>
    <col min="14073" max="14073" width="9.81640625" style="20" customWidth="1"/>
    <col min="14074" max="14074" width="14.453125" style="20" customWidth="1"/>
    <col min="14075" max="14075" width="7.179687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81640625" style="20" customWidth="1"/>
    <col min="14329" max="14329" width="9.81640625" style="20" customWidth="1"/>
    <col min="14330" max="14330" width="14.453125" style="20" customWidth="1"/>
    <col min="14331" max="14331" width="7.179687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81640625" style="20" customWidth="1"/>
    <col min="14585" max="14585" width="9.81640625" style="20" customWidth="1"/>
    <col min="14586" max="14586" width="14.453125" style="20" customWidth="1"/>
    <col min="14587" max="14587" width="7.179687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81640625" style="20" customWidth="1"/>
    <col min="14841" max="14841" width="9.81640625" style="20" customWidth="1"/>
    <col min="14842" max="14842" width="14.453125" style="20" customWidth="1"/>
    <col min="14843" max="14843" width="7.179687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81640625" style="20" customWidth="1"/>
    <col min="15097" max="15097" width="9.81640625" style="20" customWidth="1"/>
    <col min="15098" max="15098" width="14.453125" style="20" customWidth="1"/>
    <col min="15099" max="15099" width="7.179687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81640625" style="20" customWidth="1"/>
    <col min="15353" max="15353" width="9.81640625" style="20" customWidth="1"/>
    <col min="15354" max="15354" width="14.453125" style="20" customWidth="1"/>
    <col min="15355" max="15355" width="7.179687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81640625" style="20" customWidth="1"/>
    <col min="15609" max="15609" width="9.81640625" style="20" customWidth="1"/>
    <col min="15610" max="15610" width="14.453125" style="20" customWidth="1"/>
    <col min="15611" max="15611" width="7.179687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81640625" style="20" customWidth="1"/>
    <col min="15865" max="15865" width="9.81640625" style="20" customWidth="1"/>
    <col min="15866" max="15866" width="14.453125" style="20" customWidth="1"/>
    <col min="15867" max="15867" width="7.179687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81640625" style="20" customWidth="1"/>
    <col min="16121" max="16121" width="9.81640625" style="20" customWidth="1"/>
    <col min="16122" max="16122" width="14.453125" style="20" customWidth="1"/>
    <col min="16123" max="16123" width="7.179687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21" t="s">
        <v>168</v>
      </c>
      <c r="B1" s="121"/>
      <c r="C1" s="121"/>
      <c r="D1" s="121"/>
      <c r="E1" s="121"/>
      <c r="F1" s="121"/>
      <c r="G1" s="121"/>
      <c r="H1" s="121"/>
    </row>
    <row r="2" spans="1:8" ht="16.5" customHeight="1" x14ac:dyDescent="0.35">
      <c r="A2" s="122" t="s">
        <v>0</v>
      </c>
      <c r="B2" s="122"/>
      <c r="C2" s="122"/>
      <c r="D2" s="122"/>
      <c r="E2" s="122"/>
      <c r="F2" s="122"/>
      <c r="G2" s="122"/>
      <c r="H2" s="122"/>
    </row>
    <row r="3" spans="1:8" x14ac:dyDescent="0.35">
      <c r="A3" s="69" t="s">
        <v>1</v>
      </c>
      <c r="B3" s="69"/>
      <c r="C3" s="69"/>
      <c r="D3" s="69"/>
      <c r="E3" s="69" t="str">
        <f ca="1">TEXT(TODAY(),"DD/MM/YYYY")</f>
        <v>09/07/2025</v>
      </c>
      <c r="F3" s="69"/>
      <c r="G3" s="69"/>
      <c r="H3" s="69"/>
    </row>
    <row r="4" spans="1:8" x14ac:dyDescent="0.35">
      <c r="A4" s="69" t="s">
        <v>2</v>
      </c>
      <c r="B4" s="69"/>
      <c r="C4" s="69"/>
      <c r="D4" s="69"/>
      <c r="E4" s="69" t="s">
        <v>173</v>
      </c>
      <c r="F4" s="69"/>
      <c r="G4" s="69"/>
      <c r="H4" s="69"/>
    </row>
    <row r="5" spans="1:8" x14ac:dyDescent="0.35">
      <c r="A5" s="69" t="s">
        <v>3</v>
      </c>
      <c r="B5" s="69"/>
      <c r="C5" s="69"/>
      <c r="D5" s="69"/>
      <c r="E5" s="123">
        <v>45846</v>
      </c>
      <c r="F5" s="69"/>
      <c r="G5" s="69"/>
      <c r="H5" s="69"/>
    </row>
    <row r="6" spans="1:8" ht="16.5" customHeight="1" x14ac:dyDescent="0.35">
      <c r="A6" s="69" t="s">
        <v>4</v>
      </c>
      <c r="B6" s="69"/>
      <c r="C6" s="69"/>
      <c r="D6" s="69"/>
      <c r="E6" s="69" t="s">
        <v>174</v>
      </c>
      <c r="F6" s="69"/>
      <c r="G6" s="69"/>
      <c r="H6" s="69"/>
    </row>
    <row r="7" spans="1:8" x14ac:dyDescent="0.35">
      <c r="A7" s="69" t="s">
        <v>5</v>
      </c>
      <c r="B7" s="69"/>
      <c r="C7" s="69"/>
      <c r="D7" s="69"/>
      <c r="E7" s="69" t="str">
        <f>E6</f>
        <v>Gagangiri Infra</v>
      </c>
      <c r="F7" s="69"/>
      <c r="G7" s="69"/>
      <c r="H7" s="69"/>
    </row>
    <row r="8" spans="1:8" x14ac:dyDescent="0.35">
      <c r="A8" s="69" t="s">
        <v>6</v>
      </c>
      <c r="B8" s="69"/>
      <c r="C8" s="69"/>
      <c r="D8" s="69"/>
      <c r="E8" s="106" t="s">
        <v>175</v>
      </c>
      <c r="F8" s="106"/>
      <c r="G8" s="106"/>
      <c r="H8" s="106"/>
    </row>
    <row r="9" spans="1:8" x14ac:dyDescent="0.35">
      <c r="A9" s="69" t="s">
        <v>170</v>
      </c>
      <c r="B9" s="69"/>
      <c r="C9" s="69"/>
      <c r="D9" s="69"/>
      <c r="E9" s="69" t="s">
        <v>172</v>
      </c>
      <c r="F9" s="69"/>
      <c r="G9" s="69"/>
      <c r="H9" s="69"/>
    </row>
    <row r="10" spans="1:8" hidden="1" x14ac:dyDescent="0.35">
      <c r="A10" s="69" t="s">
        <v>171</v>
      </c>
      <c r="B10" s="69"/>
      <c r="C10" s="69"/>
      <c r="D10" s="69"/>
      <c r="E10" s="69" t="s">
        <v>207</v>
      </c>
      <c r="F10" s="69"/>
      <c r="G10" s="69"/>
      <c r="H10" s="69"/>
    </row>
    <row r="11" spans="1:8" x14ac:dyDescent="0.35">
      <c r="A11" s="69" t="s">
        <v>7</v>
      </c>
      <c r="B11" s="69"/>
      <c r="C11" s="69"/>
      <c r="D11" s="69"/>
      <c r="E11" s="69" t="s">
        <v>176</v>
      </c>
      <c r="F11" s="69"/>
      <c r="G11" s="69"/>
      <c r="H11" s="69"/>
    </row>
    <row r="12" spans="1:8" x14ac:dyDescent="0.35">
      <c r="A12" s="57" t="s">
        <v>8</v>
      </c>
      <c r="B12" s="57"/>
      <c r="C12" s="57"/>
      <c r="D12" s="57"/>
      <c r="E12" s="59" t="s">
        <v>177</v>
      </c>
      <c r="F12" s="59"/>
      <c r="G12" s="59"/>
      <c r="H12" s="59"/>
    </row>
    <row r="13" spans="1:8" x14ac:dyDescent="0.35">
      <c r="A13" s="57" t="s">
        <v>9</v>
      </c>
      <c r="B13" s="57"/>
      <c r="C13" s="57"/>
      <c r="D13" s="57"/>
      <c r="E13" s="59" t="s">
        <v>178</v>
      </c>
      <c r="F13" s="69"/>
      <c r="G13" s="69"/>
      <c r="H13" s="69"/>
    </row>
    <row r="14" spans="1:8" ht="33.75" customHeight="1" x14ac:dyDescent="0.35">
      <c r="A14" s="59" t="s">
        <v>10</v>
      </c>
      <c r="B14" s="59"/>
      <c r="C14" s="5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Vastu Rachana, Survey No.69, H.No. 9, near Gayatri Complex, Internal road, Bhosale Nagar, Shirgaon, Badlapur (East), Ambarnath, Thane - 421503.</v>
      </c>
      <c r="D14" s="59"/>
      <c r="E14" s="59"/>
      <c r="F14" s="59"/>
      <c r="G14" s="59"/>
      <c r="H14" s="59"/>
    </row>
    <row r="15" spans="1:8" x14ac:dyDescent="0.35">
      <c r="A15" s="59" t="s">
        <v>179</v>
      </c>
      <c r="B15" s="59"/>
      <c r="C15" s="59" t="s">
        <v>180</v>
      </c>
      <c r="D15" s="59"/>
      <c r="E15" s="59"/>
      <c r="F15" s="59"/>
      <c r="G15" s="59"/>
      <c r="H15" s="59"/>
    </row>
    <row r="16" spans="1:8" ht="15.75" customHeight="1" x14ac:dyDescent="0.35">
      <c r="A16" s="59" t="s">
        <v>166</v>
      </c>
      <c r="B16" s="59"/>
      <c r="C16" s="59" t="s">
        <v>203</v>
      </c>
      <c r="D16" s="59"/>
      <c r="E16" s="59"/>
      <c r="F16" s="59"/>
      <c r="G16" s="59"/>
      <c r="H16" s="59"/>
    </row>
    <row r="17" spans="1:8" ht="15.75" customHeight="1" x14ac:dyDescent="0.35">
      <c r="A17" s="59" t="s">
        <v>11</v>
      </c>
      <c r="B17" s="59"/>
      <c r="C17" s="69" t="s">
        <v>202</v>
      </c>
      <c r="D17" s="69"/>
      <c r="E17" s="59" t="s">
        <v>75</v>
      </c>
      <c r="F17" s="59"/>
      <c r="G17" s="59" t="s">
        <v>183</v>
      </c>
      <c r="H17" s="59"/>
    </row>
    <row r="18" spans="1:8" x14ac:dyDescent="0.35">
      <c r="A18" s="69" t="s">
        <v>13</v>
      </c>
      <c r="B18" s="69"/>
      <c r="C18" s="59" t="s">
        <v>201</v>
      </c>
      <c r="D18" s="59"/>
      <c r="E18" s="59" t="s">
        <v>12</v>
      </c>
      <c r="F18" s="59"/>
      <c r="G18" s="120" t="s">
        <v>181</v>
      </c>
      <c r="H18" s="120"/>
    </row>
    <row r="19" spans="1:8" x14ac:dyDescent="0.35">
      <c r="A19" s="69" t="s">
        <v>76</v>
      </c>
      <c r="B19" s="69"/>
      <c r="C19" s="59" t="s">
        <v>182</v>
      </c>
      <c r="D19" s="59"/>
      <c r="E19" s="59" t="s">
        <v>14</v>
      </c>
      <c r="F19" s="59"/>
      <c r="G19" s="59">
        <v>421503</v>
      </c>
      <c r="H19" s="59"/>
    </row>
    <row r="20" spans="1:8" ht="32.25" customHeight="1" x14ac:dyDescent="0.35">
      <c r="A20" s="69" t="s">
        <v>124</v>
      </c>
      <c r="B20" s="69"/>
      <c r="C20" s="59" t="s">
        <v>198</v>
      </c>
      <c r="D20" s="59"/>
      <c r="E20" s="59" t="s">
        <v>15</v>
      </c>
      <c r="F20" s="59"/>
      <c r="G20" s="59" t="s">
        <v>200</v>
      </c>
      <c r="H20" s="59"/>
    </row>
    <row r="21" spans="1:8" ht="15" customHeight="1" x14ac:dyDescent="0.35">
      <c r="A21" s="59" t="s">
        <v>78</v>
      </c>
      <c r="B21" s="59"/>
      <c r="C21" s="59"/>
      <c r="D21" s="59"/>
      <c r="E21" s="69" t="s">
        <v>16</v>
      </c>
      <c r="F21" s="69"/>
      <c r="G21" s="69"/>
      <c r="H21" s="69"/>
    </row>
    <row r="22" spans="1:8" ht="18.75" customHeight="1" x14ac:dyDescent="0.35">
      <c r="A22" s="59"/>
      <c r="B22" s="59"/>
      <c r="C22" s="59"/>
      <c r="D22" s="59"/>
      <c r="E22" s="69"/>
      <c r="F22" s="69"/>
      <c r="G22" s="69"/>
      <c r="H22" s="69"/>
    </row>
    <row r="23" spans="1:8" ht="15" customHeight="1" x14ac:dyDescent="0.35">
      <c r="A23" s="98" t="s">
        <v>17</v>
      </c>
      <c r="B23" s="98"/>
      <c r="C23" s="98"/>
      <c r="D23" s="98"/>
      <c r="E23" s="59" t="s">
        <v>18</v>
      </c>
      <c r="F23" s="59"/>
      <c r="G23" s="59"/>
      <c r="H23" s="59"/>
    </row>
    <row r="24" spans="1:8" ht="15" customHeight="1" x14ac:dyDescent="0.35">
      <c r="A24" s="57" t="s">
        <v>19</v>
      </c>
      <c r="B24" s="57"/>
      <c r="C24" s="57"/>
      <c r="D24" s="57"/>
      <c r="E24" s="59" t="str">
        <f>IF(AND(G18="Mumbai"),"Upper Class","Middle Class")</f>
        <v>Middle Class</v>
      </c>
      <c r="F24" s="59"/>
      <c r="G24" s="59"/>
      <c r="H24" s="59"/>
    </row>
    <row r="25" spans="1:8" x14ac:dyDescent="0.35">
      <c r="A25" s="57" t="s">
        <v>20</v>
      </c>
      <c r="B25" s="57"/>
      <c r="C25" s="57"/>
      <c r="D25" s="57"/>
      <c r="E25" s="59" t="s">
        <v>21</v>
      </c>
      <c r="F25" s="59"/>
      <c r="G25" s="59"/>
      <c r="H25" s="59"/>
    </row>
    <row r="26" spans="1:8" ht="15.75" customHeight="1" x14ac:dyDescent="0.35">
      <c r="A26" s="57" t="s">
        <v>22</v>
      </c>
      <c r="B26" s="57"/>
      <c r="C26" s="57"/>
      <c r="D26" s="57"/>
      <c r="E26" s="59" t="str">
        <f>IF(AND(G18="Mumbai"),"Developed","Developing")</f>
        <v>Developing</v>
      </c>
      <c r="F26" s="59"/>
      <c r="G26" s="59"/>
      <c r="H26" s="59"/>
    </row>
    <row r="27" spans="1:8" x14ac:dyDescent="0.35">
      <c r="A27" s="57" t="s">
        <v>23</v>
      </c>
      <c r="B27" s="57"/>
      <c r="C27" s="57"/>
      <c r="D27" s="57"/>
      <c r="E27" s="59" t="s">
        <v>24</v>
      </c>
      <c r="F27" s="59"/>
      <c r="G27" s="59"/>
      <c r="H27" s="59"/>
    </row>
    <row r="28" spans="1:8" ht="15.75" customHeight="1" x14ac:dyDescent="0.35">
      <c r="A28" s="57" t="s">
        <v>83</v>
      </c>
      <c r="B28" s="57"/>
      <c r="C28" s="57"/>
      <c r="D28" s="57"/>
      <c r="E28" s="59" t="s">
        <v>84</v>
      </c>
      <c r="F28" s="59"/>
      <c r="G28" s="59"/>
      <c r="H28" s="59"/>
    </row>
    <row r="29" spans="1:8" ht="15" customHeight="1" x14ac:dyDescent="0.35">
      <c r="A29" s="57" t="s">
        <v>33</v>
      </c>
      <c r="B29" s="57"/>
      <c r="C29" s="57"/>
      <c r="D29" s="57"/>
      <c r="E29" s="5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59"/>
      <c r="G29" s="59"/>
      <c r="H29" s="59"/>
    </row>
    <row r="30" spans="1:8" ht="15.75" customHeight="1" x14ac:dyDescent="0.35">
      <c r="A30" s="57" t="s">
        <v>95</v>
      </c>
      <c r="B30" s="57"/>
      <c r="C30" s="57"/>
      <c r="D30" s="57"/>
      <c r="E30" s="59" t="s">
        <v>34</v>
      </c>
      <c r="F30" s="59"/>
      <c r="G30" s="59"/>
      <c r="H30" s="59"/>
    </row>
    <row r="31" spans="1:8" s="21" customFormat="1" x14ac:dyDescent="0.35">
      <c r="A31" s="119" t="s">
        <v>96</v>
      </c>
      <c r="B31" s="119"/>
      <c r="C31" s="118" t="s">
        <v>29</v>
      </c>
      <c r="D31" s="118"/>
      <c r="E31" s="118"/>
      <c r="F31" s="118" t="s">
        <v>31</v>
      </c>
      <c r="G31" s="118"/>
      <c r="H31" s="118"/>
    </row>
    <row r="32" spans="1:8" s="21" customFormat="1" x14ac:dyDescent="0.35">
      <c r="A32" s="102" t="s">
        <v>25</v>
      </c>
      <c r="B32" s="102" t="s">
        <v>30</v>
      </c>
      <c r="C32" s="103" t="s">
        <v>30</v>
      </c>
      <c r="D32" s="103"/>
      <c r="E32" s="103"/>
      <c r="F32" s="103" t="s">
        <v>202</v>
      </c>
      <c r="G32" s="103"/>
      <c r="H32" s="103"/>
    </row>
    <row r="33" spans="1:8" x14ac:dyDescent="0.35">
      <c r="A33" s="102" t="s">
        <v>26</v>
      </c>
      <c r="B33" s="102" t="s">
        <v>30</v>
      </c>
      <c r="C33" s="103" t="s">
        <v>30</v>
      </c>
      <c r="D33" s="103"/>
      <c r="E33" s="103"/>
      <c r="F33" s="103" t="s">
        <v>204</v>
      </c>
      <c r="G33" s="103"/>
      <c r="H33" s="103"/>
    </row>
    <row r="34" spans="1:8" s="21" customFormat="1" x14ac:dyDescent="0.35">
      <c r="A34" s="102" t="s">
        <v>28</v>
      </c>
      <c r="B34" s="102" t="s">
        <v>30</v>
      </c>
      <c r="C34" s="103" t="s">
        <v>30</v>
      </c>
      <c r="D34" s="103"/>
      <c r="E34" s="103"/>
      <c r="F34" s="103" t="s">
        <v>204</v>
      </c>
      <c r="G34" s="103"/>
      <c r="H34" s="103"/>
    </row>
    <row r="35" spans="1:8" x14ac:dyDescent="0.35">
      <c r="A35" s="102" t="s">
        <v>27</v>
      </c>
      <c r="B35" s="102" t="s">
        <v>30</v>
      </c>
      <c r="C35" s="103" t="s">
        <v>30</v>
      </c>
      <c r="D35" s="103"/>
      <c r="E35" s="103"/>
      <c r="F35" s="103" t="s">
        <v>204</v>
      </c>
      <c r="G35" s="103"/>
      <c r="H35" s="103"/>
    </row>
    <row r="36" spans="1:8" x14ac:dyDescent="0.35">
      <c r="A36" s="57" t="s">
        <v>32</v>
      </c>
      <c r="B36" s="57"/>
      <c r="C36" s="57"/>
      <c r="D36" s="57"/>
      <c r="E36" s="57"/>
      <c r="F36" s="57"/>
      <c r="G36" s="57"/>
      <c r="H36" s="57"/>
    </row>
    <row r="37" spans="1:8" ht="15.75" customHeight="1" x14ac:dyDescent="0.35">
      <c r="A37" s="57" t="s">
        <v>169</v>
      </c>
      <c r="B37" s="57"/>
      <c r="C37" s="105" t="s">
        <v>199</v>
      </c>
      <c r="D37" s="105"/>
      <c r="E37" s="105"/>
      <c r="F37" s="105"/>
      <c r="G37" s="105"/>
      <c r="H37" s="105"/>
    </row>
    <row r="38" spans="1:8" x14ac:dyDescent="0.35">
      <c r="A38" s="57" t="s">
        <v>165</v>
      </c>
      <c r="B38" s="57"/>
      <c r="C38" s="58" t="s">
        <v>197</v>
      </c>
      <c r="D38" s="59"/>
      <c r="E38" s="59"/>
      <c r="F38" s="59"/>
      <c r="G38" s="59"/>
      <c r="H38" s="59"/>
    </row>
    <row r="39" spans="1:8" x14ac:dyDescent="0.35">
      <c r="A39" s="105" t="s">
        <v>35</v>
      </c>
      <c r="B39" s="105"/>
      <c r="C39" s="105"/>
      <c r="D39" s="105"/>
      <c r="E39" s="105"/>
      <c r="F39" s="105"/>
      <c r="G39" s="105"/>
      <c r="H39" s="105"/>
    </row>
    <row r="40" spans="1:8" x14ac:dyDescent="0.35">
      <c r="A40" s="57" t="s">
        <v>36</v>
      </c>
      <c r="B40" s="57"/>
      <c r="C40" s="57"/>
      <c r="D40" s="57"/>
      <c r="E40" s="104">
        <v>2000</v>
      </c>
      <c r="F40" s="104"/>
      <c r="G40" s="104"/>
      <c r="H40" s="104"/>
    </row>
    <row r="41" spans="1:8" x14ac:dyDescent="0.35">
      <c r="A41" s="57" t="s">
        <v>37</v>
      </c>
      <c r="B41" s="57"/>
      <c r="C41" s="57"/>
      <c r="D41" s="57"/>
      <c r="E41" s="85">
        <v>1.1000000000000001</v>
      </c>
      <c r="F41" s="85"/>
      <c r="G41" s="85"/>
      <c r="H41" s="85"/>
    </row>
    <row r="42" spans="1:8" x14ac:dyDescent="0.35">
      <c r="A42" s="57" t="s">
        <v>38</v>
      </c>
      <c r="B42" s="57"/>
      <c r="C42" s="57"/>
      <c r="D42" s="57"/>
      <c r="E42" s="85">
        <f>E44/E40-E41</f>
        <v>1.4612799999999999</v>
      </c>
      <c r="F42" s="85"/>
      <c r="G42" s="85"/>
      <c r="H42" s="85"/>
    </row>
    <row r="43" spans="1:8" x14ac:dyDescent="0.35">
      <c r="A43" s="57" t="s">
        <v>39</v>
      </c>
      <c r="B43" s="57"/>
      <c r="C43" s="57"/>
      <c r="D43" s="57"/>
      <c r="E43" s="85">
        <f>E41+E42</f>
        <v>2.56128</v>
      </c>
      <c r="F43" s="85"/>
      <c r="G43" s="85"/>
      <c r="H43" s="85"/>
    </row>
    <row r="44" spans="1:8" x14ac:dyDescent="0.35">
      <c r="A44" s="69" t="s">
        <v>94</v>
      </c>
      <c r="B44" s="69"/>
      <c r="C44" s="69"/>
      <c r="D44" s="69"/>
      <c r="E44" s="86">
        <v>5122.5600000000004</v>
      </c>
      <c r="F44" s="86"/>
      <c r="G44" s="86"/>
      <c r="H44" s="86"/>
    </row>
    <row r="45" spans="1:8" x14ac:dyDescent="0.35">
      <c r="A45" s="69" t="s">
        <v>40</v>
      </c>
      <c r="B45" s="69"/>
      <c r="C45" s="69"/>
      <c r="D45" s="69"/>
      <c r="E45" s="69" t="s">
        <v>123</v>
      </c>
      <c r="F45" s="69"/>
      <c r="G45" s="69"/>
      <c r="H45" s="69"/>
    </row>
    <row r="46" spans="1:8" x14ac:dyDescent="0.35">
      <c r="A46" s="106" t="s">
        <v>41</v>
      </c>
      <c r="B46" s="106"/>
      <c r="C46" s="106"/>
      <c r="D46" s="106"/>
      <c r="E46" s="106"/>
      <c r="F46" s="106"/>
      <c r="G46" s="106"/>
      <c r="H46" s="106"/>
    </row>
    <row r="47" spans="1:8" ht="33.75" customHeight="1" x14ac:dyDescent="0.35">
      <c r="A47" s="63" t="s">
        <v>153</v>
      </c>
      <c r="B47" s="64"/>
      <c r="C47" s="65" t="s">
        <v>194</v>
      </c>
      <c r="D47" s="66"/>
      <c r="E47" s="66"/>
      <c r="F47" s="66"/>
      <c r="G47" s="66"/>
      <c r="H47" s="67"/>
    </row>
    <row r="48" spans="1:8" ht="15.75" customHeight="1" x14ac:dyDescent="0.35">
      <c r="A48" s="63" t="s">
        <v>42</v>
      </c>
      <c r="B48" s="64"/>
      <c r="C48" s="63" t="s">
        <v>195</v>
      </c>
      <c r="D48" s="101"/>
      <c r="E48" s="64"/>
      <c r="F48" s="54" t="s">
        <v>43</v>
      </c>
      <c r="G48" s="112">
        <v>44833</v>
      </c>
      <c r="H48" s="64"/>
    </row>
    <row r="49" spans="1:14" x14ac:dyDescent="0.35">
      <c r="A49" s="63" t="s">
        <v>44</v>
      </c>
      <c r="B49" s="64"/>
      <c r="C49" s="63" t="str">
        <f>C48</f>
        <v>KBNP/NRV/BD/334-139</v>
      </c>
      <c r="D49" s="101"/>
      <c r="E49" s="64"/>
      <c r="F49" s="54" t="s">
        <v>43</v>
      </c>
      <c r="G49" s="112">
        <f>G48</f>
        <v>44833</v>
      </c>
      <c r="H49" s="113"/>
    </row>
    <row r="50" spans="1:14" s="22" customFormat="1" ht="31.5" customHeight="1" x14ac:dyDescent="0.35">
      <c r="A50" s="109" t="s">
        <v>157</v>
      </c>
      <c r="B50" s="111"/>
      <c r="C50" s="63" t="s">
        <v>196</v>
      </c>
      <c r="D50" s="101"/>
      <c r="E50" s="64"/>
      <c r="F50" s="54" t="s">
        <v>43</v>
      </c>
      <c r="G50" s="112">
        <f>G49</f>
        <v>44833</v>
      </c>
      <c r="H50" s="113"/>
    </row>
    <row r="51" spans="1:14" s="22" customFormat="1" x14ac:dyDescent="0.35">
      <c r="A51" s="114"/>
      <c r="B51" s="115"/>
      <c r="C51" s="63" t="s">
        <v>208</v>
      </c>
      <c r="D51" s="101"/>
      <c r="E51" s="101"/>
      <c r="F51" s="101"/>
      <c r="G51" s="101"/>
      <c r="H51" s="64"/>
    </row>
    <row r="52" spans="1:14" ht="33" customHeight="1" x14ac:dyDescent="0.35">
      <c r="A52" s="149" t="s">
        <v>45</v>
      </c>
      <c r="B52" s="150"/>
      <c r="C52" s="149" t="s">
        <v>107</v>
      </c>
      <c r="D52" s="151"/>
      <c r="E52" s="150"/>
      <c r="F52" s="44" t="s">
        <v>43</v>
      </c>
      <c r="G52" s="116" t="s">
        <v>30</v>
      </c>
      <c r="H52" s="117"/>
    </row>
    <row r="53" spans="1:14" x14ac:dyDescent="0.35">
      <c r="A53" s="131" t="s">
        <v>47</v>
      </c>
      <c r="B53" s="131"/>
      <c r="C53" s="131"/>
      <c r="D53" s="131"/>
      <c r="E53" s="131"/>
      <c r="F53" s="131"/>
      <c r="G53" s="131"/>
      <c r="H53" s="131"/>
    </row>
    <row r="54" spans="1:14" x14ac:dyDescent="0.35">
      <c r="A54" s="59" t="s">
        <v>93</v>
      </c>
      <c r="B54" s="59"/>
      <c r="C54" s="59"/>
      <c r="D54" s="69">
        <f>E44</f>
        <v>5122.5600000000004</v>
      </c>
      <c r="E54" s="69"/>
      <c r="F54" s="69"/>
      <c r="G54" s="69"/>
      <c r="H54" s="69"/>
    </row>
    <row r="55" spans="1:14" x14ac:dyDescent="0.35">
      <c r="A55" s="59" t="s">
        <v>48</v>
      </c>
      <c r="B55" s="69"/>
      <c r="C55" s="69"/>
      <c r="D55" s="69" t="s">
        <v>192</v>
      </c>
      <c r="E55" s="69"/>
      <c r="F55" s="69"/>
      <c r="G55" s="69"/>
      <c r="H55" s="69"/>
      <c r="I55" s="23"/>
    </row>
    <row r="56" spans="1:14" x14ac:dyDescent="0.35">
      <c r="A56" s="109" t="s">
        <v>49</v>
      </c>
      <c r="B56" s="110"/>
      <c r="C56" s="111"/>
      <c r="D56" s="107" t="s">
        <v>208</v>
      </c>
      <c r="E56" s="108"/>
      <c r="F56" s="108"/>
      <c r="G56" s="108"/>
      <c r="H56" s="108"/>
    </row>
    <row r="57" spans="1:14" ht="15.75" customHeight="1" x14ac:dyDescent="0.35">
      <c r="A57" s="109" t="s">
        <v>91</v>
      </c>
      <c r="B57" s="110"/>
      <c r="C57" s="110"/>
      <c r="D57" s="69" t="s">
        <v>208</v>
      </c>
      <c r="E57" s="69"/>
      <c r="F57" s="69"/>
      <c r="G57" s="69"/>
      <c r="H57" s="69"/>
    </row>
    <row r="58" spans="1:14" ht="15.75" customHeight="1" x14ac:dyDescent="0.35">
      <c r="A58" s="69" t="s">
        <v>46</v>
      </c>
      <c r="B58" s="69"/>
      <c r="C58" s="69"/>
      <c r="D58" s="70" t="s">
        <v>193</v>
      </c>
      <c r="E58" s="70"/>
      <c r="F58" s="70"/>
      <c r="G58" s="70"/>
      <c r="H58" s="70"/>
      <c r="J58" s="24"/>
      <c r="K58" s="23"/>
      <c r="N58" s="23"/>
    </row>
    <row r="59" spans="1:14" ht="15.75" customHeight="1" x14ac:dyDescent="0.35">
      <c r="A59" s="69" t="s">
        <v>89</v>
      </c>
      <c r="B59" s="69"/>
      <c r="C59" s="69"/>
      <c r="D59" s="84" t="str">
        <f>(IF(G52="NA","60 Years After Completion",IF(G52&lt;&gt;"NA",""&amp;60-ROUNDDOWN((E3-G52)/360,0)&amp;" Years"," ")))</f>
        <v>60 Years After Completion</v>
      </c>
      <c r="E59" s="84"/>
      <c r="F59" s="84"/>
      <c r="G59" s="84"/>
      <c r="H59" s="84"/>
      <c r="N59" s="23"/>
    </row>
    <row r="60" spans="1:14" ht="15.75" customHeight="1" x14ac:dyDescent="0.35">
      <c r="A60" s="57" t="s">
        <v>90</v>
      </c>
      <c r="B60" s="57"/>
      <c r="C60" s="57"/>
      <c r="D60" s="98" t="s">
        <v>24</v>
      </c>
      <c r="E60" s="98"/>
      <c r="F60" s="98"/>
      <c r="G60" s="98"/>
      <c r="H60" s="98"/>
      <c r="J60" s="25"/>
      <c r="K60" s="25"/>
    </row>
    <row r="61" spans="1:14" ht="33" customHeight="1" x14ac:dyDescent="0.35">
      <c r="A61" s="57" t="s">
        <v>77</v>
      </c>
      <c r="B61" s="57"/>
      <c r="C61" s="57"/>
      <c r="D61" s="59" t="s">
        <v>205</v>
      </c>
      <c r="E61" s="98"/>
      <c r="F61" s="98"/>
      <c r="G61" s="98"/>
      <c r="H61" s="98"/>
    </row>
    <row r="62" spans="1:14" x14ac:dyDescent="0.35">
      <c r="A62" s="98" t="s">
        <v>150</v>
      </c>
      <c r="B62" s="98"/>
      <c r="C62" s="98"/>
      <c r="D62" s="98" t="s">
        <v>30</v>
      </c>
      <c r="E62" s="98"/>
      <c r="F62" s="98"/>
      <c r="G62" s="98"/>
      <c r="H62" s="98"/>
      <c r="I62" s="26"/>
      <c r="J62" s="26"/>
      <c r="K62" s="26"/>
      <c r="L62" s="26"/>
      <c r="M62" s="26"/>
      <c r="N62" s="26"/>
    </row>
    <row r="63" spans="1:14" ht="15.75" customHeight="1" x14ac:dyDescent="0.35">
      <c r="A63" s="125" t="s">
        <v>88</v>
      </c>
      <c r="B63" s="125"/>
      <c r="C63" s="125"/>
      <c r="D63" s="107" t="str">
        <f ca="1">(IF(G83&gt;95%,"Nothing",IF(G83&gt;0%,"Cement, Aggregate, Steel, etc",IF(G83=0%,"Work not yet Started"))))</f>
        <v>Cement, Aggregate, Steel, etc</v>
      </c>
      <c r="E63" s="107"/>
      <c r="F63" s="107"/>
      <c r="G63" s="107"/>
      <c r="H63" s="107"/>
      <c r="J63" s="25"/>
    </row>
    <row r="64" spans="1:14" ht="33.75" customHeight="1" thickBot="1" x14ac:dyDescent="0.4">
      <c r="A64" s="124" t="s">
        <v>120</v>
      </c>
      <c r="B64" s="124"/>
      <c r="C64" s="124"/>
      <c r="D64" s="107" t="str">
        <f ca="1">(IF(D63="Nothing","Yes",IF(D63="Cement, Aggregate, Steel, etc","Under Construction",IF(D63="Work not yet Started","Work not yet Started"))))</f>
        <v>Under Construction</v>
      </c>
      <c r="E64" s="107"/>
      <c r="F64" s="107" t="str">
        <f ca="1">(IF(D63="Nothing","Yes",IF(D63="Cement, Aggregate, Steel, etc","Under Construction",IF(D63="Work not yet Started","Work not yet Started"))))</f>
        <v>Under Construction</v>
      </c>
      <c r="G64" s="107"/>
      <c r="H64" s="107"/>
    </row>
    <row r="65" spans="1:10" ht="15.75" customHeight="1" x14ac:dyDescent="0.35">
      <c r="A65" s="163" t="s">
        <v>142</v>
      </c>
      <c r="B65" s="163"/>
      <c r="C65" s="163" t="s">
        <v>209</v>
      </c>
      <c r="D65" s="163"/>
      <c r="E65" s="163"/>
      <c r="F65" s="163"/>
      <c r="G65" s="163"/>
      <c r="H65" s="163"/>
      <c r="I65" s="156" t="str">
        <f ca="1">IF(D78=100%,"All work Completed. Possession granted to the Building.",IF(D77=100%,"All work Completed, Waiting for OC",I66&amp;""&amp;I67&amp;""&amp;J66&amp;""&amp;J65&amp;" "&amp;J67))</f>
        <v>Excavation, Plinth, RCC Slab Completed, Brickwork upto 5 Floor Completed</v>
      </c>
      <c r="J65" s="47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Brickwork upto 5 Floor</v>
      </c>
    </row>
    <row r="66" spans="1:10" x14ac:dyDescent="0.35">
      <c r="A66" s="56" t="s">
        <v>144</v>
      </c>
      <c r="B66" s="56">
        <f>IF(AND(ISNUMBER(SEARCH("1B",C65))),1,IF(AND(ISNUMBER(SEARCH("2B",C65))),2,IF(AND(ISNUMBER(SEARCH("3B",C65))),3,IF(AND(ISNUMBER(SEARCH("4B",C65))),4,IF(ISNUMBER(SEARCH("5B",C65)),5,0)))))</f>
        <v>0</v>
      </c>
      <c r="C66" s="56" t="s">
        <v>74</v>
      </c>
      <c r="D66" s="56">
        <v>1</v>
      </c>
      <c r="E66" s="56" t="s">
        <v>73</v>
      </c>
      <c r="F66" s="56">
        <v>0</v>
      </c>
      <c r="G66" s="56" t="s">
        <v>82</v>
      </c>
      <c r="H66" s="56">
        <f ca="1">--TRIM(RIGHT(SUBSTITUTE(LEFT(C65,_xlfn.AGGREGATE(16,6,FIND({0,1,2,3,4,5,6,7,8,9},C65,ROW(INDIRECT("1:"&amp;LEN(C65)))),1))," ",REPT(" ",LEN(C65))),LEN(C65)))</f>
        <v>7</v>
      </c>
      <c r="I66" s="157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</v>
      </c>
      <c r="J66" s="49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35">
      <c r="A67" s="106" t="s">
        <v>92</v>
      </c>
      <c r="B67" s="106"/>
      <c r="C67" s="99" t="str">
        <f ca="1">I65</f>
        <v>Excavation, Plinth, RCC Slab Completed, Brickwork upto 5 Floor Completed</v>
      </c>
      <c r="D67" s="99"/>
      <c r="E67" s="99"/>
      <c r="F67" s="99"/>
      <c r="G67" s="99"/>
      <c r="H67" s="99"/>
      <c r="I67" s="157" t="str">
        <f ca="1">IF(I66&lt;&gt;""," Completed","")</f>
        <v xml:space="preserve"> Completed</v>
      </c>
      <c r="J67" s="49" t="str">
        <f ca="1">IF(J65&lt;&gt;"","Completed","")</f>
        <v>Completed</v>
      </c>
    </row>
    <row r="68" spans="1:10" ht="15.75" customHeight="1" x14ac:dyDescent="0.35">
      <c r="A68" s="81" t="s">
        <v>50</v>
      </c>
      <c r="B68" s="81"/>
      <c r="C68" s="55" t="s">
        <v>141</v>
      </c>
      <c r="D68" s="55" t="s">
        <v>85</v>
      </c>
      <c r="E68" s="81" t="s">
        <v>87</v>
      </c>
      <c r="F68" s="81"/>
      <c r="G68" s="81" t="s">
        <v>86</v>
      </c>
      <c r="H68" s="81"/>
      <c r="I68" s="14" t="s">
        <v>143</v>
      </c>
      <c r="J68" s="27">
        <f ca="1">H66*25%</f>
        <v>1.75</v>
      </c>
    </row>
    <row r="69" spans="1:10" x14ac:dyDescent="0.35">
      <c r="A69" s="81" t="s">
        <v>130</v>
      </c>
      <c r="B69" s="81"/>
      <c r="C69" s="55">
        <f ca="1">J70</f>
        <v>7</v>
      </c>
      <c r="D69" s="18">
        <f ca="1">((100/H66)*C69)/100</f>
        <v>1</v>
      </c>
      <c r="E69" s="164">
        <f ca="1">(((C70/H66*10)+(40/(D66+F66+H66)*C71)+(7.5/(H66)*C72)+(7.5/(H66)*C73)+(10/H66*C74)+(10/H66*C75)+(5/H66*C76)+(5/H66*C77)+(5/H66*C78))/100)</f>
        <v>0.55357142857142849</v>
      </c>
      <c r="F69" s="164"/>
      <c r="G69" s="164">
        <f ca="1">((((C69/H66)*20)+((C70/H66)*25)+(30/(H66+F66+D66)*C71)+(5/H66*C72)+(5/H66*C73)+(5/H66*C74)+(5/H66*C75)+(0/H66*C76)+(0/H66*C77)+(5/H66*C78))/100)</f>
        <v>0.7857142857142857</v>
      </c>
      <c r="H69" s="164"/>
      <c r="I69" s="14" t="s">
        <v>102</v>
      </c>
      <c r="J69" s="28">
        <f ca="1">H66*50%</f>
        <v>3.5</v>
      </c>
    </row>
    <row r="70" spans="1:10" x14ac:dyDescent="0.35">
      <c r="A70" s="81" t="s">
        <v>51</v>
      </c>
      <c r="B70" s="81"/>
      <c r="C70" s="50">
        <f ca="1">J78</f>
        <v>7</v>
      </c>
      <c r="D70" s="18">
        <f ca="1">((100/H66)*C70)/100</f>
        <v>1</v>
      </c>
      <c r="E70" s="164"/>
      <c r="F70" s="164"/>
      <c r="G70" s="164"/>
      <c r="H70" s="164"/>
      <c r="I70" s="14" t="s">
        <v>103</v>
      </c>
      <c r="J70" s="28">
        <f ca="1">H66</f>
        <v>7</v>
      </c>
    </row>
    <row r="71" spans="1:10" ht="15.75" customHeight="1" x14ac:dyDescent="0.35">
      <c r="A71" s="81" t="s">
        <v>131</v>
      </c>
      <c r="B71" s="81"/>
      <c r="C71" s="55">
        <v>8</v>
      </c>
      <c r="D71" s="18">
        <f ca="1">((100/(D66+F66+H66))*C71)/100</f>
        <v>1</v>
      </c>
      <c r="E71" s="164"/>
      <c r="F71" s="164"/>
      <c r="G71" s="164"/>
      <c r="H71" s="164"/>
      <c r="I71" s="14" t="s">
        <v>104</v>
      </c>
      <c r="J71" s="29">
        <f ca="1">(IF(B66&gt;1,(H66/(B66+2)),H66/4))</f>
        <v>1.75</v>
      </c>
    </row>
    <row r="72" spans="1:10" ht="15.75" customHeight="1" x14ac:dyDescent="0.35">
      <c r="A72" s="81" t="s">
        <v>138</v>
      </c>
      <c r="B72" s="81" t="s">
        <v>132</v>
      </c>
      <c r="C72" s="55">
        <v>5</v>
      </c>
      <c r="D72" s="18">
        <f ca="1">((100/H66)*C72)/100</f>
        <v>0.7142857142857143</v>
      </c>
      <c r="E72" s="164"/>
      <c r="F72" s="164"/>
      <c r="G72" s="164"/>
      <c r="H72" s="164"/>
      <c r="I72" s="14" t="s">
        <v>105</v>
      </c>
      <c r="J72" s="29">
        <f ca="1">(IF(B66&gt;1,(H66/(B66+2)+J71),H66/4+J71))</f>
        <v>3.5</v>
      </c>
    </row>
    <row r="73" spans="1:10" ht="15.75" customHeight="1" x14ac:dyDescent="0.35">
      <c r="A73" s="81" t="s">
        <v>139</v>
      </c>
      <c r="B73" s="81" t="s">
        <v>132</v>
      </c>
      <c r="C73" s="55">
        <v>0</v>
      </c>
      <c r="D73" s="18">
        <f ca="1">((100/H66)*C73)/100</f>
        <v>0</v>
      </c>
      <c r="E73" s="164"/>
      <c r="F73" s="164"/>
      <c r="G73" s="164"/>
      <c r="H73" s="164"/>
      <c r="I73" s="14" t="s">
        <v>148</v>
      </c>
      <c r="J73" s="29">
        <f>(IF(B66&gt;1,(H66/(B66+2)+J72),0))</f>
        <v>0</v>
      </c>
    </row>
    <row r="74" spans="1:10" ht="15" customHeight="1" x14ac:dyDescent="0.35">
      <c r="A74" s="81" t="s">
        <v>137</v>
      </c>
      <c r="B74" s="81" t="s">
        <v>134</v>
      </c>
      <c r="C74" s="55">
        <v>0</v>
      </c>
      <c r="D74" s="18">
        <f ca="1">((100/(H66))*C74)/100</f>
        <v>0</v>
      </c>
      <c r="E74" s="164"/>
      <c r="F74" s="164"/>
      <c r="G74" s="164"/>
      <c r="H74" s="164"/>
      <c r="I74" s="14" t="s">
        <v>145</v>
      </c>
      <c r="J74" s="29">
        <f>(IF(B66&gt;2,(H66/(B66+2)+J73),0))</f>
        <v>0</v>
      </c>
    </row>
    <row r="75" spans="1:10" ht="15.75" customHeight="1" x14ac:dyDescent="0.35">
      <c r="A75" s="81" t="s">
        <v>133</v>
      </c>
      <c r="B75" s="81" t="s">
        <v>133</v>
      </c>
      <c r="C75" s="55">
        <v>0</v>
      </c>
      <c r="D75" s="18">
        <f ca="1">((100/H66)*C75)/100</f>
        <v>0</v>
      </c>
      <c r="E75" s="164"/>
      <c r="F75" s="164"/>
      <c r="G75" s="164"/>
      <c r="H75" s="164"/>
      <c r="I75" s="14" t="s">
        <v>146</v>
      </c>
      <c r="J75" s="30">
        <f>(IF(B66&gt;3,(H66/(B66+2)+J74),0))</f>
        <v>0</v>
      </c>
    </row>
    <row r="76" spans="1:10" ht="15.75" customHeight="1" x14ac:dyDescent="0.35">
      <c r="A76" s="81" t="s">
        <v>140</v>
      </c>
      <c r="B76" s="81"/>
      <c r="C76" s="55">
        <v>0</v>
      </c>
      <c r="D76" s="18">
        <f ca="1">((100/H66)*C76)/100</f>
        <v>0</v>
      </c>
      <c r="E76" s="164"/>
      <c r="F76" s="164"/>
      <c r="G76" s="164"/>
      <c r="H76" s="164"/>
      <c r="I76" s="14" t="s">
        <v>147</v>
      </c>
      <c r="J76" s="29">
        <f>(IF(B66&gt;4,(H66/(B66+2)+J75),0))</f>
        <v>0</v>
      </c>
    </row>
    <row r="77" spans="1:10" ht="15.75" customHeight="1" x14ac:dyDescent="0.35">
      <c r="A77" s="81" t="s">
        <v>135</v>
      </c>
      <c r="B77" s="81" t="s">
        <v>135</v>
      </c>
      <c r="C77" s="55">
        <v>0</v>
      </c>
      <c r="D77" s="18">
        <f ca="1">((100/(H66))*C77)/100</f>
        <v>0</v>
      </c>
      <c r="E77" s="164"/>
      <c r="F77" s="164"/>
      <c r="G77" s="164"/>
      <c r="H77" s="164"/>
      <c r="I77" s="14" t="s">
        <v>149</v>
      </c>
      <c r="J77" s="29">
        <f ca="1">(IF(B66=1,(H66/(B66+3)+J72),IF(B66=0,(H66/4+J72),IF(B66&gt;1,0))))</f>
        <v>5.25</v>
      </c>
    </row>
    <row r="78" spans="1:10" ht="16" thickBot="1" x14ac:dyDescent="0.4">
      <c r="A78" s="81" t="s">
        <v>136</v>
      </c>
      <c r="B78" s="81"/>
      <c r="C78" s="55">
        <v>0</v>
      </c>
      <c r="D78" s="18">
        <f ca="1">((100/(H66))*C78)/100</f>
        <v>0</v>
      </c>
      <c r="E78" s="164"/>
      <c r="F78" s="164"/>
      <c r="G78" s="164"/>
      <c r="H78" s="164"/>
      <c r="I78" s="15" t="s">
        <v>106</v>
      </c>
      <c r="J78" s="31">
        <f ca="1">(IF(B66&gt;1.5,(H66/(B66+2)+J72+MAX(0,J73-J72)+MAX(0,J74-J73)+MAX(0,J75-J74)+MAX(0,J76-J75)+MAX(0,J77-J76)),IF(B66=1,(H66/(B66+3)+J77),IF(B66=0,H66/4+J77))))</f>
        <v>7</v>
      </c>
    </row>
    <row r="79" spans="1:10" ht="15.75" customHeight="1" x14ac:dyDescent="0.35">
      <c r="A79" s="158" t="s">
        <v>142</v>
      </c>
      <c r="B79" s="159"/>
      <c r="C79" s="160" t="s">
        <v>210</v>
      </c>
      <c r="D79" s="161"/>
      <c r="E79" s="161"/>
      <c r="F79" s="161"/>
      <c r="G79" s="161"/>
      <c r="H79" s="162"/>
      <c r="I79" s="46" t="str">
        <f ca="1">IF(D92=100%,"All work Completed. Possession granted to the Building.",IF(D91=100%,"All work Completed, Waiting for OC",I80&amp;""&amp;I81&amp;""&amp;J80&amp;""&amp;J79&amp;" "&amp;J81))</f>
        <v xml:space="preserve">Excavation, Plinth, RCC Slab, Brickwork, Internal Plaster Completed </v>
      </c>
      <c r="J79" s="47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/>
      </c>
    </row>
    <row r="80" spans="1:10" x14ac:dyDescent="0.35">
      <c r="A80" s="16" t="s">
        <v>144</v>
      </c>
      <c r="B80" s="51">
        <f>IF(AND(ISNUMBER(SEARCH("1B",C79))),1,IF(AND(ISNUMBER(SEARCH("2B",C79))),2,IF(AND(ISNUMBER(SEARCH("3B",C79))),3,IF(AND(ISNUMBER(SEARCH("4B",C79))),4,IF(ISNUMBER(SEARCH("5B",C79)),5,0)))))</f>
        <v>0</v>
      </c>
      <c r="C80" s="51" t="s">
        <v>74</v>
      </c>
      <c r="D80" s="51">
        <v>1</v>
      </c>
      <c r="E80" s="51" t="s">
        <v>73</v>
      </c>
      <c r="F80" s="51">
        <v>0</v>
      </c>
      <c r="G80" s="51" t="s">
        <v>82</v>
      </c>
      <c r="H80" s="17">
        <f ca="1">--TRIM(RIGHT(SUBSTITUTE(LEFT(C79,_xlfn.AGGREGATE(16,6,FIND({0,1,2,3,4,5,6,7,8,9},C79,ROW(INDIRECT("1:"&amp;LEN(C79)))),1))," ",REPT(" ",LEN(C79))),LEN(C79)))</f>
        <v>7</v>
      </c>
      <c r="I80" s="48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Brickwork, Internal Plaster</v>
      </c>
      <c r="J80" s="49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x14ac:dyDescent="0.35">
      <c r="A81" s="126" t="s">
        <v>92</v>
      </c>
      <c r="B81" s="106"/>
      <c r="C81" s="99" t="str">
        <f ca="1">I79</f>
        <v xml:space="preserve">Excavation, Plinth, RCC Slab, Brickwork, Internal Plaster Completed </v>
      </c>
      <c r="D81" s="99"/>
      <c r="E81" s="99"/>
      <c r="F81" s="99"/>
      <c r="G81" s="99"/>
      <c r="H81" s="100"/>
      <c r="I81" s="48" t="str">
        <f ca="1">IF(I80&lt;&gt;""," Completed","")</f>
        <v xml:space="preserve"> Completed</v>
      </c>
      <c r="J81" s="49" t="str">
        <f ca="1">IF(J79&lt;&gt;"","Completed","")</f>
        <v/>
      </c>
    </row>
    <row r="82" spans="1:10" ht="15.75" customHeight="1" x14ac:dyDescent="0.35">
      <c r="A82" s="80" t="s">
        <v>50</v>
      </c>
      <c r="B82" s="81"/>
      <c r="C82" s="42" t="s">
        <v>141</v>
      </c>
      <c r="D82" s="42" t="s">
        <v>85</v>
      </c>
      <c r="E82" s="81" t="s">
        <v>87</v>
      </c>
      <c r="F82" s="81"/>
      <c r="G82" s="81" t="s">
        <v>86</v>
      </c>
      <c r="H82" s="127"/>
      <c r="I82" s="14" t="s">
        <v>143</v>
      </c>
      <c r="J82" s="27">
        <f ca="1">H80*25%</f>
        <v>1.75</v>
      </c>
    </row>
    <row r="83" spans="1:10" x14ac:dyDescent="0.35">
      <c r="A83" s="80" t="s">
        <v>130</v>
      </c>
      <c r="B83" s="81"/>
      <c r="C83" s="42">
        <f ca="1">J84</f>
        <v>7</v>
      </c>
      <c r="D83" s="18">
        <f ca="1">((100/H80)*C83)/100</f>
        <v>1</v>
      </c>
      <c r="E83" s="71">
        <f ca="1">(((C84/H80*10)+(40/(D80+F80+H80)*C85)+(7.5/(H80)*C86)+(7.5/(H80)*C87)+(10/H80*C88)+(10/H80*C89)+(5/H80*C90)+(5/H80*C91)+(5/H80*C92))/100)</f>
        <v>0.65</v>
      </c>
      <c r="F83" s="72"/>
      <c r="G83" s="71">
        <f ca="1">((((C83/H80)*20)+((C84/H80)*25)+(30/(H80+F80+D80)*C85)+(5/H80*C86)+(5/H80*C87)+(5/H80*C88)+(5/H80*C89)+(0/H80*C90)+(0/H80*C91)+(5/H80*C92))/100)</f>
        <v>0.85</v>
      </c>
      <c r="H83" s="77"/>
      <c r="I83" s="14" t="s">
        <v>102</v>
      </c>
      <c r="J83" s="28">
        <f ca="1">H80*50%</f>
        <v>3.5</v>
      </c>
    </row>
    <row r="84" spans="1:10" x14ac:dyDescent="0.35">
      <c r="A84" s="80" t="s">
        <v>51</v>
      </c>
      <c r="B84" s="81"/>
      <c r="C84" s="50">
        <f ca="1">J92</f>
        <v>7</v>
      </c>
      <c r="D84" s="18">
        <f ca="1">((100/H80)*C84)/100</f>
        <v>1</v>
      </c>
      <c r="E84" s="73"/>
      <c r="F84" s="74"/>
      <c r="G84" s="73"/>
      <c r="H84" s="78"/>
      <c r="I84" s="14" t="s">
        <v>103</v>
      </c>
      <c r="J84" s="28">
        <f ca="1">H80</f>
        <v>7</v>
      </c>
    </row>
    <row r="85" spans="1:10" ht="15.75" customHeight="1" x14ac:dyDescent="0.35">
      <c r="A85" s="80" t="s">
        <v>131</v>
      </c>
      <c r="B85" s="81"/>
      <c r="C85" s="42">
        <v>8</v>
      </c>
      <c r="D85" s="18">
        <f ca="1">((100/(D80+F80+H80))*C85)/100</f>
        <v>1</v>
      </c>
      <c r="E85" s="73"/>
      <c r="F85" s="74"/>
      <c r="G85" s="73"/>
      <c r="H85" s="78"/>
      <c r="I85" s="14" t="s">
        <v>104</v>
      </c>
      <c r="J85" s="29">
        <f ca="1">(IF(B80&gt;1,(H80/(B80+2)),H80/4))</f>
        <v>1.75</v>
      </c>
    </row>
    <row r="86" spans="1:10" ht="15.75" customHeight="1" x14ac:dyDescent="0.35">
      <c r="A86" s="80" t="s">
        <v>138</v>
      </c>
      <c r="B86" s="81" t="s">
        <v>132</v>
      </c>
      <c r="C86" s="42">
        <v>7</v>
      </c>
      <c r="D86" s="18">
        <f ca="1">((100/H80)*C86)/100</f>
        <v>1</v>
      </c>
      <c r="E86" s="73"/>
      <c r="F86" s="74"/>
      <c r="G86" s="73"/>
      <c r="H86" s="78"/>
      <c r="I86" s="14" t="s">
        <v>105</v>
      </c>
      <c r="J86" s="29">
        <f ca="1">(IF(B80&gt;1,(H80/(B80+2)+J85),H80/4+J85))</f>
        <v>3.5</v>
      </c>
    </row>
    <row r="87" spans="1:10" ht="15.75" customHeight="1" x14ac:dyDescent="0.35">
      <c r="A87" s="80" t="s">
        <v>139</v>
      </c>
      <c r="B87" s="81" t="s">
        <v>132</v>
      </c>
      <c r="C87" s="42">
        <v>7</v>
      </c>
      <c r="D87" s="18">
        <f ca="1">((100/H80)*C87)/100</f>
        <v>1</v>
      </c>
      <c r="E87" s="73"/>
      <c r="F87" s="74"/>
      <c r="G87" s="73"/>
      <c r="H87" s="78"/>
      <c r="I87" s="14" t="s">
        <v>148</v>
      </c>
      <c r="J87" s="29">
        <f>(IF(B80&gt;1,(H80/(B80+2)+J86),0))</f>
        <v>0</v>
      </c>
    </row>
    <row r="88" spans="1:10" ht="15" customHeight="1" x14ac:dyDescent="0.35">
      <c r="A88" s="80" t="s">
        <v>137</v>
      </c>
      <c r="B88" s="81" t="s">
        <v>134</v>
      </c>
      <c r="C88" s="42">
        <v>0</v>
      </c>
      <c r="D88" s="18">
        <f ca="1">((100/(H80))*C88)/100</f>
        <v>0</v>
      </c>
      <c r="E88" s="73"/>
      <c r="F88" s="74"/>
      <c r="G88" s="73"/>
      <c r="H88" s="78"/>
      <c r="I88" s="14" t="s">
        <v>145</v>
      </c>
      <c r="J88" s="29">
        <f>(IF(B80&gt;2,(H80/(B80+2)+J87),0))</f>
        <v>0</v>
      </c>
    </row>
    <row r="89" spans="1:10" ht="15.75" customHeight="1" x14ac:dyDescent="0.35">
      <c r="A89" s="80" t="s">
        <v>133</v>
      </c>
      <c r="B89" s="81" t="s">
        <v>133</v>
      </c>
      <c r="C89" s="42">
        <v>0</v>
      </c>
      <c r="D89" s="18">
        <f ca="1">((100/H80)*C89)/100</f>
        <v>0</v>
      </c>
      <c r="E89" s="73"/>
      <c r="F89" s="74"/>
      <c r="G89" s="73"/>
      <c r="H89" s="78"/>
      <c r="I89" s="14" t="s">
        <v>146</v>
      </c>
      <c r="J89" s="30">
        <f>(IF(B80&gt;3,(H80/(B80+2)+J88),0))</f>
        <v>0</v>
      </c>
    </row>
    <row r="90" spans="1:10" ht="15.75" customHeight="1" x14ac:dyDescent="0.35">
      <c r="A90" s="80" t="s">
        <v>140</v>
      </c>
      <c r="B90" s="81"/>
      <c r="C90" s="42">
        <v>0</v>
      </c>
      <c r="D90" s="18">
        <f ca="1">((100/H80)*C90)/100</f>
        <v>0</v>
      </c>
      <c r="E90" s="73"/>
      <c r="F90" s="74"/>
      <c r="G90" s="73"/>
      <c r="H90" s="78"/>
      <c r="I90" s="14" t="s">
        <v>147</v>
      </c>
      <c r="J90" s="29">
        <f>(IF(B80&gt;4,(H80/(B80+2)+J89),0))</f>
        <v>0</v>
      </c>
    </row>
    <row r="91" spans="1:10" ht="15.75" customHeight="1" x14ac:dyDescent="0.35">
      <c r="A91" s="80" t="s">
        <v>135</v>
      </c>
      <c r="B91" s="81" t="s">
        <v>135</v>
      </c>
      <c r="C91" s="42">
        <v>0</v>
      </c>
      <c r="D91" s="18">
        <f ca="1">((100/(H80))*C91)/100</f>
        <v>0</v>
      </c>
      <c r="E91" s="73"/>
      <c r="F91" s="74"/>
      <c r="G91" s="73"/>
      <c r="H91" s="78"/>
      <c r="I91" s="14" t="s">
        <v>149</v>
      </c>
      <c r="J91" s="29">
        <f ca="1">(IF(B80=1,(H80/(B80+3)+J86),IF(B80=0,(H80/4+J86),IF(B80&gt;1,0))))</f>
        <v>5.25</v>
      </c>
    </row>
    <row r="92" spans="1:10" ht="16" thickBot="1" x14ac:dyDescent="0.4">
      <c r="A92" s="82" t="s">
        <v>136</v>
      </c>
      <c r="B92" s="83"/>
      <c r="C92" s="43">
        <v>0</v>
      </c>
      <c r="D92" s="19">
        <f ca="1">((100/(H80))*C92)/100</f>
        <v>0</v>
      </c>
      <c r="E92" s="75"/>
      <c r="F92" s="76"/>
      <c r="G92" s="75"/>
      <c r="H92" s="79"/>
      <c r="I92" s="15" t="s">
        <v>106</v>
      </c>
      <c r="J92" s="31">
        <f ca="1">(IF(B80&gt;1.5,(H80/(B80+2)+J86+MAX(0,J87-J86)+MAX(0,J88-J87)+MAX(0,J89-J88)+MAX(0,J90-J89)+MAX(0,J91-J90)),IF(B80=1,(H80/(B80+3)+J91),IF(B80=0,H80/4+J91))))</f>
        <v>7</v>
      </c>
    </row>
    <row r="93" spans="1:10" x14ac:dyDescent="0.35">
      <c r="A93" s="137" t="s">
        <v>158</v>
      </c>
      <c r="B93" s="137"/>
      <c r="C93" s="137"/>
      <c r="D93" s="137"/>
      <c r="E93" s="137"/>
      <c r="F93" s="136" t="s">
        <v>163</v>
      </c>
      <c r="G93" s="136"/>
      <c r="H93" s="136"/>
    </row>
    <row r="94" spans="1:10" x14ac:dyDescent="0.35">
      <c r="A94" s="57" t="s">
        <v>161</v>
      </c>
      <c r="B94" s="57"/>
      <c r="C94" s="57"/>
      <c r="D94" s="57"/>
      <c r="E94" s="57"/>
      <c r="F94" s="68">
        <v>4000</v>
      </c>
      <c r="G94" s="68"/>
      <c r="H94" s="68"/>
    </row>
    <row r="95" spans="1:10" hidden="1" x14ac:dyDescent="0.35">
      <c r="A95" s="57" t="s">
        <v>160</v>
      </c>
      <c r="B95" s="57"/>
      <c r="C95" s="57"/>
      <c r="D95" s="57"/>
      <c r="E95" s="57"/>
      <c r="F95" s="68"/>
      <c r="G95" s="68"/>
      <c r="H95" s="68"/>
    </row>
    <row r="96" spans="1:10" hidden="1" x14ac:dyDescent="0.35">
      <c r="A96" s="57" t="s">
        <v>162</v>
      </c>
      <c r="B96" s="57"/>
      <c r="C96" s="57"/>
      <c r="D96" s="57"/>
      <c r="E96" s="57"/>
      <c r="F96" s="68"/>
      <c r="G96" s="68"/>
      <c r="H96" s="68"/>
    </row>
    <row r="97" spans="1:8" s="32" customFormat="1" hidden="1" x14ac:dyDescent="0.3">
      <c r="A97" s="57" t="s">
        <v>159</v>
      </c>
      <c r="B97" s="57"/>
      <c r="C97" s="57"/>
      <c r="D97" s="57"/>
      <c r="E97" s="57"/>
      <c r="F97" s="68"/>
      <c r="G97" s="68"/>
      <c r="H97" s="68"/>
    </row>
    <row r="98" spans="1:8" s="32" customFormat="1" x14ac:dyDescent="0.3">
      <c r="A98" s="57" t="s">
        <v>97</v>
      </c>
      <c r="B98" s="57"/>
      <c r="C98" s="57"/>
      <c r="D98" s="57"/>
      <c r="E98" s="57"/>
      <c r="F98" s="68">
        <v>200000</v>
      </c>
      <c r="G98" s="68"/>
      <c r="H98" s="68"/>
    </row>
    <row r="99" spans="1:8" s="32" customFormat="1" hidden="1" x14ac:dyDescent="0.3">
      <c r="A99" s="57" t="s">
        <v>98</v>
      </c>
      <c r="B99" s="57"/>
      <c r="C99" s="57"/>
      <c r="D99" s="57"/>
      <c r="E99" s="57"/>
      <c r="F99" s="68"/>
      <c r="G99" s="68"/>
      <c r="H99" s="68"/>
    </row>
    <row r="100" spans="1:8" s="32" customFormat="1" hidden="1" x14ac:dyDescent="0.3">
      <c r="A100" s="57" t="s">
        <v>164</v>
      </c>
      <c r="B100" s="57"/>
      <c r="C100" s="57"/>
      <c r="D100" s="57"/>
      <c r="E100" s="57"/>
      <c r="F100" s="68"/>
      <c r="G100" s="68"/>
      <c r="H100" s="68"/>
    </row>
    <row r="101" spans="1:8" s="32" customFormat="1" hidden="1" x14ac:dyDescent="0.3">
      <c r="A101" s="57" t="s">
        <v>99</v>
      </c>
      <c r="B101" s="57"/>
      <c r="C101" s="57"/>
      <c r="D101" s="57"/>
      <c r="E101" s="57"/>
      <c r="F101" s="68"/>
      <c r="G101" s="68"/>
      <c r="H101" s="68"/>
    </row>
    <row r="102" spans="1:8" s="32" customFormat="1" hidden="1" x14ac:dyDescent="0.3">
      <c r="A102" s="57" t="s">
        <v>100</v>
      </c>
      <c r="B102" s="57"/>
      <c r="C102" s="57"/>
      <c r="D102" s="57"/>
      <c r="E102" s="57"/>
      <c r="F102" s="68"/>
      <c r="G102" s="68"/>
      <c r="H102" s="68"/>
    </row>
    <row r="103" spans="1:8" s="32" customFormat="1" x14ac:dyDescent="0.3">
      <c r="A103" s="57" t="s">
        <v>206</v>
      </c>
      <c r="B103" s="57"/>
      <c r="C103" s="57"/>
      <c r="D103" s="57"/>
      <c r="E103" s="57"/>
      <c r="F103" s="68">
        <v>210000</v>
      </c>
      <c r="G103" s="68"/>
      <c r="H103" s="68"/>
    </row>
    <row r="104" spans="1:8" s="32" customFormat="1" x14ac:dyDescent="0.3">
      <c r="A104" s="57" t="s">
        <v>101</v>
      </c>
      <c r="B104" s="57"/>
      <c r="C104" s="57"/>
      <c r="D104" s="57"/>
      <c r="E104" s="57"/>
      <c r="F104" s="68">
        <v>72000</v>
      </c>
      <c r="G104" s="68"/>
      <c r="H104" s="68"/>
    </row>
    <row r="105" spans="1:8" x14ac:dyDescent="0.35">
      <c r="A105" s="57" t="s">
        <v>52</v>
      </c>
      <c r="B105" s="57"/>
      <c r="C105" s="57"/>
      <c r="D105" s="57"/>
      <c r="E105" s="57"/>
      <c r="F105" s="68">
        <v>200000</v>
      </c>
      <c r="G105" s="68"/>
      <c r="H105" s="68"/>
    </row>
    <row r="106" spans="1:8" s="33" customFormat="1" x14ac:dyDescent="0.35">
      <c r="A106" s="105" t="s">
        <v>53</v>
      </c>
      <c r="B106" s="105"/>
      <c r="C106" s="105"/>
      <c r="D106" s="105"/>
      <c r="E106" s="105"/>
      <c r="F106" s="68">
        <f>F94*0.8</f>
        <v>3200</v>
      </c>
      <c r="G106" s="68"/>
      <c r="H106" s="68"/>
    </row>
    <row r="107" spans="1:8" s="34" customFormat="1" x14ac:dyDescent="0.35">
      <c r="A107" s="97" t="s">
        <v>72</v>
      </c>
      <c r="B107" s="97"/>
      <c r="C107" s="97"/>
      <c r="D107" s="97"/>
      <c r="E107" s="97"/>
      <c r="F107" s="97"/>
      <c r="G107" s="97"/>
      <c r="H107" s="97"/>
    </row>
    <row r="108" spans="1:8" s="34" customFormat="1" ht="15.75" customHeight="1" x14ac:dyDescent="0.35">
      <c r="A108" s="132" t="s">
        <v>54</v>
      </c>
      <c r="B108" s="132"/>
      <c r="C108" s="92" t="s">
        <v>80</v>
      </c>
      <c r="D108" s="92"/>
      <c r="E108" s="96" t="s">
        <v>55</v>
      </c>
      <c r="F108" s="96"/>
      <c r="G108" s="132" t="s">
        <v>56</v>
      </c>
      <c r="H108" s="132"/>
    </row>
    <row r="109" spans="1:8" s="34" customFormat="1" x14ac:dyDescent="0.35">
      <c r="A109" s="130" t="s">
        <v>185</v>
      </c>
      <c r="B109" s="130"/>
      <c r="C109" s="133">
        <f>COUNT(D119:D124)+COUNT(D126:D131)*6</f>
        <v>42</v>
      </c>
      <c r="D109" s="133"/>
      <c r="E109" s="134">
        <f>SUM(D119:D124)+SUM(D126:D131)*6</f>
        <v>16501.64256</v>
      </c>
      <c r="F109" s="134"/>
      <c r="G109" s="134">
        <f>SUM(F119:F124)+SUM(F126:F131)*6</f>
        <v>24154.394471999996</v>
      </c>
      <c r="H109" s="134"/>
    </row>
    <row r="110" spans="1:8" s="34" customFormat="1" x14ac:dyDescent="0.35">
      <c r="A110" s="148" t="s">
        <v>186</v>
      </c>
      <c r="B110" s="148"/>
      <c r="C110" s="94">
        <f>COUNT(D135:D140)+COUNT(D142:D147)*6</f>
        <v>42</v>
      </c>
      <c r="D110" s="94"/>
      <c r="E110" s="93">
        <f>SUM(D135:D140)+SUM(D142:D147)*6</f>
        <v>15645.823829999999</v>
      </c>
      <c r="F110" s="93"/>
      <c r="G110" s="93">
        <f>SUM(F135:F140)+SUM(F142:F147)*6</f>
        <v>22951.292773500001</v>
      </c>
      <c r="H110" s="93"/>
    </row>
    <row r="111" spans="1:8" s="34" customFormat="1" x14ac:dyDescent="0.35">
      <c r="A111" s="97" t="s">
        <v>152</v>
      </c>
      <c r="B111" s="97"/>
      <c r="C111" s="91">
        <f>SUM(C109:C110)</f>
        <v>84</v>
      </c>
      <c r="D111" s="92"/>
      <c r="E111" s="91">
        <f t="shared" ref="E111" si="0">SUM(E109:E110)</f>
        <v>32147.466390000001</v>
      </c>
      <c r="F111" s="92"/>
      <c r="G111" s="91">
        <f t="shared" ref="G111" si="1">SUM(G109:G110)</f>
        <v>47105.687245499998</v>
      </c>
      <c r="H111" s="92"/>
    </row>
    <row r="112" spans="1:8" s="33" customFormat="1" x14ac:dyDescent="0.35">
      <c r="A112" s="122" t="s">
        <v>57</v>
      </c>
      <c r="B112" s="122"/>
      <c r="C112" s="122"/>
      <c r="D112" s="122"/>
      <c r="E112" s="122"/>
      <c r="F112" s="122"/>
      <c r="G112" s="122"/>
      <c r="H112" s="122"/>
    </row>
    <row r="113" spans="1:14" x14ac:dyDescent="0.35">
      <c r="A113" s="145" t="s">
        <v>58</v>
      </c>
      <c r="B113" s="146"/>
      <c r="C113" s="146"/>
      <c r="D113" s="146"/>
      <c r="E113" s="146"/>
      <c r="F113" s="146"/>
      <c r="G113" s="146"/>
      <c r="H113" s="147"/>
    </row>
    <row r="114" spans="1:14" ht="47.25" customHeight="1" x14ac:dyDescent="0.35">
      <c r="A114" s="88" t="s">
        <v>121</v>
      </c>
      <c r="B114" s="88" t="s">
        <v>122</v>
      </c>
      <c r="C114" s="139" t="s">
        <v>59</v>
      </c>
      <c r="D114" s="139" t="s">
        <v>60</v>
      </c>
      <c r="E114" s="141" t="s">
        <v>61</v>
      </c>
      <c r="F114" s="41" t="s">
        <v>151</v>
      </c>
      <c r="G114" s="88" t="s">
        <v>62</v>
      </c>
      <c r="H114" s="143"/>
      <c r="I114" s="35"/>
    </row>
    <row r="115" spans="1:14" s="36" customFormat="1" x14ac:dyDescent="0.35">
      <c r="A115" s="89"/>
      <c r="B115" s="89"/>
      <c r="C115" s="140"/>
      <c r="D115" s="140"/>
      <c r="E115" s="142"/>
      <c r="F115" s="13">
        <v>0.45</v>
      </c>
      <c r="G115" s="89"/>
      <c r="H115" s="144"/>
      <c r="I115" s="35"/>
    </row>
    <row r="116" spans="1:14" s="36" customFormat="1" x14ac:dyDescent="0.35">
      <c r="A116" s="95" t="s">
        <v>184</v>
      </c>
      <c r="B116" s="95"/>
      <c r="C116" s="95"/>
      <c r="D116" s="95"/>
      <c r="E116" s="95"/>
      <c r="F116" s="95"/>
      <c r="G116" s="95"/>
      <c r="H116" s="95"/>
    </row>
    <row r="117" spans="1:14" s="36" customFormat="1" x14ac:dyDescent="0.35">
      <c r="A117" s="95" t="s">
        <v>185</v>
      </c>
      <c r="B117" s="95"/>
      <c r="C117" s="95"/>
      <c r="D117" s="95"/>
      <c r="E117" s="95"/>
      <c r="F117" s="95"/>
      <c r="G117" s="95"/>
      <c r="H117" s="95"/>
      <c r="J117" s="35"/>
    </row>
    <row r="118" spans="1:14" s="36" customFormat="1" x14ac:dyDescent="0.35">
      <c r="A118" s="95" t="s">
        <v>189</v>
      </c>
      <c r="B118" s="95"/>
      <c r="C118" s="95"/>
      <c r="D118" s="95"/>
      <c r="E118" s="95"/>
      <c r="F118" s="95"/>
      <c r="G118" s="95"/>
      <c r="H118" s="95"/>
      <c r="I118" s="35"/>
      <c r="J118" s="53">
        <f>10.764</f>
        <v>10.763999999999999</v>
      </c>
      <c r="L118" s="87"/>
      <c r="M118" s="87"/>
    </row>
    <row r="119" spans="1:14" s="36" customFormat="1" ht="15.75" customHeight="1" x14ac:dyDescent="0.35">
      <c r="A119" s="90">
        <v>1</v>
      </c>
      <c r="B119" s="90"/>
      <c r="C119" s="52" t="s">
        <v>187</v>
      </c>
      <c r="D119" s="53">
        <f>(30.88+0.75*(2.1+2.74))*(10.764)</f>
        <v>371.46563999999995</v>
      </c>
      <c r="E119" s="53">
        <f>(2.6*1.9)*(10.764)</f>
        <v>53.174159999999993</v>
      </c>
      <c r="F119" s="52">
        <f t="shared" ref="F119:F120" si="2">D119*(($F$115)+1)+(IF(E119&lt;101,E119,IF(E119&lt;201,E119/2,IF(E119&lt;=301,E119/3,E119/4))))</f>
        <v>591.79933799999992</v>
      </c>
      <c r="G119" s="90" t="str">
        <f>A118</f>
        <v>1st Floor For Residential</v>
      </c>
      <c r="H119" s="90"/>
      <c r="I119" s="35">
        <f>4.05*2.85+2.1*2.4+2.74*3.2+1.5*1.2+1.2*1+1.5*1</f>
        <v>29.8505</v>
      </c>
      <c r="J119" s="35"/>
      <c r="N119" s="35"/>
    </row>
    <row r="120" spans="1:14" s="36" customFormat="1" ht="15.75" customHeight="1" x14ac:dyDescent="0.35">
      <c r="A120" s="90">
        <f>A119+1</f>
        <v>2</v>
      </c>
      <c r="B120" s="90"/>
      <c r="C120" s="52" t="s">
        <v>187</v>
      </c>
      <c r="D120" s="53">
        <f>(33.28+0.75*(2.1+2.74))*(10.764)</f>
        <v>397.29924</v>
      </c>
      <c r="E120" s="53">
        <f>(2.6*1.9)*(10.764)</f>
        <v>53.174159999999993</v>
      </c>
      <c r="F120" s="52">
        <f t="shared" si="2"/>
        <v>629.25805800000001</v>
      </c>
      <c r="G120" s="90"/>
      <c r="H120" s="90"/>
      <c r="I120" s="35"/>
      <c r="J120" s="35"/>
      <c r="N120" s="35"/>
    </row>
    <row r="121" spans="1:14" s="36" customFormat="1" ht="15.75" customHeight="1" x14ac:dyDescent="0.35">
      <c r="A121" s="90">
        <f>A120+1</f>
        <v>3</v>
      </c>
      <c r="B121" s="90"/>
      <c r="C121" s="52" t="s">
        <v>187</v>
      </c>
      <c r="D121" s="53">
        <f>(29.63+0.75*(2.74+2.74)+1*2.5)*(10.764)</f>
        <v>390.08735999999999</v>
      </c>
      <c r="E121" s="52">
        <v>0</v>
      </c>
      <c r="F121" s="52">
        <f>D121*(($F$115)+1)+(IF(E121&lt;101,E121,IF(E121&lt;201,E121/2,IF(E121&lt;=301,E121/3,E121/4))))</f>
        <v>565.62667199999999</v>
      </c>
      <c r="G121" s="90"/>
      <c r="H121" s="90"/>
      <c r="I121" s="35"/>
      <c r="J121" s="35"/>
      <c r="N121" s="35"/>
    </row>
    <row r="122" spans="1:14" s="36" customFormat="1" ht="15.75" customHeight="1" x14ac:dyDescent="0.35">
      <c r="A122" s="90">
        <f>A121+1</f>
        <v>4</v>
      </c>
      <c r="B122" s="90"/>
      <c r="C122" s="52" t="s">
        <v>187</v>
      </c>
      <c r="D122" s="53">
        <f>(30.86+0.75*(2.74+2.74)+1*2.1)*(10.764)</f>
        <v>399.02148</v>
      </c>
      <c r="E122" s="52">
        <v>0</v>
      </c>
      <c r="F122" s="52">
        <f>D122*(($F$115)+1)+(IF(E122&lt;101,E122,IF(E122&lt;201,E122/2,IF(E122&lt;=301,E122/3,E122/4))))</f>
        <v>578.58114599999999</v>
      </c>
      <c r="G122" s="90"/>
      <c r="H122" s="90"/>
      <c r="I122" s="35"/>
      <c r="J122" s="35"/>
      <c r="N122" s="35"/>
    </row>
    <row r="123" spans="1:14" s="36" customFormat="1" ht="15.75" customHeight="1" x14ac:dyDescent="0.35">
      <c r="A123" s="90">
        <f>A122+1</f>
        <v>5</v>
      </c>
      <c r="B123" s="90"/>
      <c r="C123" s="52" t="s">
        <v>187</v>
      </c>
      <c r="D123" s="53">
        <f>(31.25+0.75*(2.1+2.74))*(10.764)</f>
        <v>375.44832000000002</v>
      </c>
      <c r="E123" s="53">
        <f>(2.6*1.9)*(10.764)</f>
        <v>53.174159999999993</v>
      </c>
      <c r="F123" s="52">
        <f>D123*(($F$115)+1)+(IF(E123&lt;101,E123,IF(E123&lt;201,E123/2,IF(E123&lt;=301,E123/3,E123/4))))</f>
        <v>597.57422400000007</v>
      </c>
      <c r="G123" s="90"/>
      <c r="H123" s="90"/>
      <c r="I123" s="35"/>
      <c r="N123" s="35"/>
    </row>
    <row r="124" spans="1:14" s="36" customFormat="1" ht="15.75" customHeight="1" x14ac:dyDescent="0.35">
      <c r="A124" s="90">
        <f>A123+1</f>
        <v>6</v>
      </c>
      <c r="B124" s="90"/>
      <c r="C124" s="52" t="s">
        <v>187</v>
      </c>
      <c r="D124" s="53">
        <f>(30.88+0.75*(2.1+2.74))*(10.764)</f>
        <v>371.46563999999995</v>
      </c>
      <c r="E124" s="53">
        <f>(1.9*3.3)*(10.764)</f>
        <v>67.490279999999984</v>
      </c>
      <c r="F124" s="52">
        <f>D124*(($F$115)+1)+(IF(E124&lt;101,E124,IF(E124&lt;201,E124/2,IF(E124&lt;=301,E124/3,E124/4))))</f>
        <v>606.11545799999988</v>
      </c>
      <c r="G124" s="90"/>
      <c r="H124" s="90"/>
      <c r="I124" s="35"/>
      <c r="N124" s="35"/>
    </row>
    <row r="125" spans="1:14" s="36" customFormat="1" x14ac:dyDescent="0.35">
      <c r="A125" s="95" t="s">
        <v>188</v>
      </c>
      <c r="B125" s="95"/>
      <c r="C125" s="95"/>
      <c r="D125" s="95"/>
      <c r="E125" s="95"/>
      <c r="F125" s="95"/>
      <c r="G125" s="95"/>
      <c r="H125" s="95"/>
      <c r="I125" s="35"/>
      <c r="J125" s="35"/>
      <c r="L125" s="87"/>
      <c r="M125" s="87"/>
    </row>
    <row r="126" spans="1:14" s="36" customFormat="1" ht="15.75" customHeight="1" x14ac:dyDescent="0.35">
      <c r="A126" s="90">
        <v>1</v>
      </c>
      <c r="B126" s="90"/>
      <c r="C126" s="52" t="s">
        <v>187</v>
      </c>
      <c r="D126" s="53">
        <f>(30.88+0.75*(1.9+2.1+2.74))*(10.764)</f>
        <v>386.80434000000002</v>
      </c>
      <c r="E126" s="52">
        <v>0</v>
      </c>
      <c r="F126" s="52">
        <f t="shared" ref="F126:F127" si="3">D126*(($F$115)+1)+(IF(E126&lt;101,E126,IF(E126&lt;201,E126/2,IF(E126&lt;=301,E126/3,E126/4))))</f>
        <v>560.86629300000004</v>
      </c>
      <c r="G126" s="90" t="str">
        <f>A125</f>
        <v>2nd to 7th Floor</v>
      </c>
      <c r="H126" s="90"/>
      <c r="I126" s="35"/>
      <c r="J126" s="35"/>
      <c r="N126" s="35"/>
    </row>
    <row r="127" spans="1:14" s="36" customFormat="1" ht="15.75" customHeight="1" x14ac:dyDescent="0.35">
      <c r="A127" s="90">
        <f>A126+1</f>
        <v>2</v>
      </c>
      <c r="B127" s="90"/>
      <c r="C127" s="52" t="s">
        <v>187</v>
      </c>
      <c r="D127" s="53">
        <f>(33.28+0.75*(1.9+2.1+2.74))*(10.764)</f>
        <v>412.63793999999996</v>
      </c>
      <c r="E127" s="52">
        <v>0</v>
      </c>
      <c r="F127" s="52">
        <f t="shared" si="3"/>
        <v>598.3250129999999</v>
      </c>
      <c r="G127" s="90"/>
      <c r="H127" s="90"/>
      <c r="I127" s="35"/>
      <c r="J127" s="35"/>
      <c r="N127" s="35"/>
    </row>
    <row r="128" spans="1:14" s="36" customFormat="1" ht="15.75" customHeight="1" x14ac:dyDescent="0.35">
      <c r="A128" s="90">
        <f>A127+1</f>
        <v>3</v>
      </c>
      <c r="B128" s="90"/>
      <c r="C128" s="52" t="s">
        <v>187</v>
      </c>
      <c r="D128" s="53">
        <f>(29.63+0.75*(2.74+2.74)+1*2.5)*(10.764)</f>
        <v>390.08735999999999</v>
      </c>
      <c r="E128" s="52">
        <v>0</v>
      </c>
      <c r="F128" s="52">
        <f>D128*(($F$115)+1)+(IF(E128&lt;101,E128,IF(E128&lt;201,E128/2,IF(E128&lt;=301,E128/3,E128/4))))</f>
        <v>565.62667199999999</v>
      </c>
      <c r="G128" s="90"/>
      <c r="H128" s="90"/>
      <c r="I128" s="35"/>
      <c r="J128" s="35"/>
      <c r="N128" s="35"/>
    </row>
    <row r="129" spans="1:14" s="36" customFormat="1" ht="15.75" customHeight="1" x14ac:dyDescent="0.35">
      <c r="A129" s="90">
        <f>A128+1</f>
        <v>4</v>
      </c>
      <c r="B129" s="90"/>
      <c r="C129" s="52" t="s">
        <v>187</v>
      </c>
      <c r="D129" s="53">
        <f>(30.86+0.75*(2.74+2.74)+1*2.1)*(10.764)</f>
        <v>399.02148</v>
      </c>
      <c r="E129" s="52">
        <v>0</v>
      </c>
      <c r="F129" s="52">
        <f>D129*(($F$115)+1)+(IF(E129&lt;101,E129,IF(E129&lt;201,E129/2,IF(E129&lt;=301,E129/3,E129/4))))</f>
        <v>578.58114599999999</v>
      </c>
      <c r="G129" s="90"/>
      <c r="H129" s="90"/>
      <c r="I129" s="35"/>
      <c r="J129" s="35"/>
      <c r="N129" s="35"/>
    </row>
    <row r="130" spans="1:14" s="36" customFormat="1" ht="15.75" customHeight="1" x14ac:dyDescent="0.35">
      <c r="A130" s="90">
        <f>A129+1</f>
        <v>5</v>
      </c>
      <c r="B130" s="90"/>
      <c r="C130" s="52" t="s">
        <v>187</v>
      </c>
      <c r="D130" s="53">
        <f>(31.25+0.75*(1.9+2.1+2.74))*(10.764)</f>
        <v>390.78701999999998</v>
      </c>
      <c r="E130" s="52">
        <v>0</v>
      </c>
      <c r="F130" s="52">
        <f>D130*(($F$115)+1)+(IF(E130&lt;101,E130,IF(E130&lt;201,E130/2,IF(E130&lt;=301,E130/3,E130/4))))</f>
        <v>566.64117899999997</v>
      </c>
      <c r="G130" s="90"/>
      <c r="H130" s="90"/>
      <c r="I130" s="35"/>
      <c r="N130" s="35"/>
    </row>
    <row r="131" spans="1:14" s="36" customFormat="1" ht="15.75" customHeight="1" x14ac:dyDescent="0.35">
      <c r="A131" s="90">
        <f>A130+1</f>
        <v>6</v>
      </c>
      <c r="B131" s="90"/>
      <c r="C131" s="52" t="s">
        <v>187</v>
      </c>
      <c r="D131" s="53">
        <f>(30.88+0.75*(1.9+2.1+2.74))*(10.764)</f>
        <v>386.80434000000002</v>
      </c>
      <c r="E131" s="52">
        <v>0</v>
      </c>
      <c r="F131" s="52">
        <f>D131*(($F$115)+1)+(IF(E131&lt;101,E131,IF(E131&lt;201,E131/2,IF(E131&lt;=301,E131/3,E131/4))))</f>
        <v>560.86629300000004</v>
      </c>
      <c r="G131" s="90"/>
      <c r="H131" s="90"/>
      <c r="I131" s="35"/>
      <c r="N131" s="35"/>
    </row>
    <row r="132" spans="1:14" s="36" customFormat="1" x14ac:dyDescent="0.35">
      <c r="A132" s="95" t="s">
        <v>186</v>
      </c>
      <c r="B132" s="95"/>
      <c r="C132" s="95"/>
      <c r="D132" s="95"/>
      <c r="E132" s="95"/>
      <c r="F132" s="95"/>
      <c r="G132" s="95"/>
      <c r="H132" s="95"/>
      <c r="J132" s="35"/>
    </row>
    <row r="133" spans="1:14" s="36" customFormat="1" x14ac:dyDescent="0.35">
      <c r="A133" s="95" t="s">
        <v>184</v>
      </c>
      <c r="B133" s="95"/>
      <c r="C133" s="95"/>
      <c r="D133" s="95"/>
      <c r="E133" s="95"/>
      <c r="F133" s="95"/>
      <c r="G133" s="95"/>
      <c r="H133" s="95"/>
      <c r="J133" s="35"/>
    </row>
    <row r="134" spans="1:14" s="36" customFormat="1" x14ac:dyDescent="0.35">
      <c r="A134" s="95" t="s">
        <v>189</v>
      </c>
      <c r="B134" s="95"/>
      <c r="C134" s="95"/>
      <c r="D134" s="95"/>
      <c r="E134" s="95"/>
      <c r="F134" s="95"/>
      <c r="G134" s="95"/>
      <c r="H134" s="95"/>
      <c r="I134" s="35"/>
      <c r="L134" s="87"/>
      <c r="M134" s="87"/>
    </row>
    <row r="135" spans="1:14" s="36" customFormat="1" ht="15.75" customHeight="1" x14ac:dyDescent="0.35">
      <c r="A135" s="90">
        <v>1</v>
      </c>
      <c r="B135" s="90"/>
      <c r="C135" s="52" t="s">
        <v>187</v>
      </c>
      <c r="D135" s="53">
        <f>(30.88+0.75*(2.1+2.74))*(10.764)</f>
        <v>371.46563999999995</v>
      </c>
      <c r="E135" s="53">
        <f>(1.9*3)*(10.764)</f>
        <v>61.35479999999999</v>
      </c>
      <c r="F135" s="52">
        <f t="shared" ref="F135:F136" si="4">D135*(($F$115)+1)+(IF(E135&lt;101,E135,IF(E135&lt;201,E135/2,IF(E135&lt;=301,E135/3,E135/4))))</f>
        <v>599.97997799999985</v>
      </c>
      <c r="G135" s="90" t="str">
        <f>A134</f>
        <v>1st Floor For Residential</v>
      </c>
      <c r="H135" s="90"/>
      <c r="I135" s="35">
        <f>2800000/F135</f>
        <v>4666.8223985301065</v>
      </c>
      <c r="J135" s="36">
        <f>482000/F135</f>
        <v>803.3601414612541</v>
      </c>
      <c r="K135" s="35">
        <f>I135-J135</f>
        <v>3863.4622570688525</v>
      </c>
      <c r="N135" s="35"/>
    </row>
    <row r="136" spans="1:14" s="36" customFormat="1" ht="15.75" customHeight="1" x14ac:dyDescent="0.35">
      <c r="A136" s="90">
        <f>A135+1</f>
        <v>2</v>
      </c>
      <c r="B136" s="90"/>
      <c r="C136" s="52" t="s">
        <v>190</v>
      </c>
      <c r="D136" s="53">
        <f>(22.7+0.75*3.1+1*2.55)*(10.764)</f>
        <v>296.81729999999999</v>
      </c>
      <c r="E136" s="52">
        <v>0</v>
      </c>
      <c r="F136" s="52">
        <f t="shared" si="4"/>
        <v>430.38508499999995</v>
      </c>
      <c r="G136" s="90"/>
      <c r="H136" s="90"/>
      <c r="I136" s="35">
        <f>2000000/F136</f>
        <v>4647.0011849969205</v>
      </c>
      <c r="J136" s="36">
        <f>482000/F136</f>
        <v>1119.9272855842578</v>
      </c>
      <c r="N136" s="35"/>
    </row>
    <row r="137" spans="1:14" s="36" customFormat="1" ht="15.75" customHeight="1" x14ac:dyDescent="0.35">
      <c r="A137" s="90">
        <f>A136+1</f>
        <v>3</v>
      </c>
      <c r="B137" s="90"/>
      <c r="C137" s="52" t="s">
        <v>187</v>
      </c>
      <c r="D137" s="53">
        <f>(30.1+0.75*(2.55+2.74))*(10.764)</f>
        <v>366.70256999999998</v>
      </c>
      <c r="E137" s="53">
        <f>(2.4*1.9)*(10.764)</f>
        <v>49.083839999999995</v>
      </c>
      <c r="F137" s="52">
        <f>D137*(($F$115)+1)+(IF(E137&lt;101,E137,IF(E137&lt;201,E137/2,IF(E137&lt;=301,E137/3,E137/4))))</f>
        <v>580.80256650000001</v>
      </c>
      <c r="G137" s="90"/>
      <c r="H137" s="90"/>
      <c r="I137" s="35"/>
      <c r="N137" s="35"/>
    </row>
    <row r="138" spans="1:14" s="36" customFormat="1" ht="15.75" customHeight="1" x14ac:dyDescent="0.35">
      <c r="A138" s="90">
        <f>A137+1</f>
        <v>4</v>
      </c>
      <c r="B138" s="90"/>
      <c r="C138" s="52" t="s">
        <v>187</v>
      </c>
      <c r="D138" s="53">
        <f>(31.38+0.75*(2.74+2.5))*(10.764)</f>
        <v>380.07684</v>
      </c>
      <c r="E138" s="53">
        <f>(2.55*1.9)*(10.764)</f>
        <v>52.151579999999996</v>
      </c>
      <c r="F138" s="52">
        <f>D138*(($F$115)+1)+(IF(E138&lt;101,E138,IF(E138&lt;201,E138/2,IF(E138&lt;=301,E138/3,E138/4))))</f>
        <v>603.26299799999993</v>
      </c>
      <c r="G138" s="90"/>
      <c r="H138" s="90"/>
      <c r="I138" s="35"/>
      <c r="N138" s="35"/>
    </row>
    <row r="139" spans="1:14" s="36" customFormat="1" ht="15.75" customHeight="1" x14ac:dyDescent="0.35">
      <c r="A139" s="90">
        <f>A138+1</f>
        <v>5</v>
      </c>
      <c r="B139" s="90"/>
      <c r="C139" s="52" t="s">
        <v>187</v>
      </c>
      <c r="D139" s="53">
        <f>(31.7+0.75*(2.1+2.5))*(10.764)</f>
        <v>378.35459999999995</v>
      </c>
      <c r="E139" s="53">
        <f>(1.9*2.5)*(10.764)</f>
        <v>51.128999999999998</v>
      </c>
      <c r="F139" s="52">
        <f>D139*(($F$115)+1)+(IF(E139&lt;101,E139,IF(E139&lt;201,E139/2,IF(E139&lt;=301,E139/3,E139/4))))</f>
        <v>599.74316999999996</v>
      </c>
      <c r="G139" s="90"/>
      <c r="H139" s="90"/>
      <c r="I139" s="35"/>
      <c r="N139" s="35"/>
    </row>
    <row r="140" spans="1:14" s="36" customFormat="1" ht="15.75" customHeight="1" x14ac:dyDescent="0.35">
      <c r="A140" s="90">
        <f>A139+1</f>
        <v>6</v>
      </c>
      <c r="B140" s="90"/>
      <c r="C140" s="52" t="s">
        <v>187</v>
      </c>
      <c r="D140" s="53">
        <f>(30.88+0.75*(2.74+2.1))*(10.764)</f>
        <v>371.46563999999995</v>
      </c>
      <c r="E140" s="53">
        <f>(1.9*2.5)*(10.764)</f>
        <v>51.128999999999998</v>
      </c>
      <c r="F140" s="52">
        <f>D140*(($F$115)+1)+(IF(E140&lt;101,E140,IF(E140&lt;201,E140/2,IF(E140&lt;=301,E140/3,E140/4))))</f>
        <v>589.75417799999991</v>
      </c>
      <c r="G140" s="90"/>
      <c r="H140" s="90"/>
      <c r="I140" s="35"/>
      <c r="N140" s="35"/>
    </row>
    <row r="141" spans="1:14" s="36" customFormat="1" x14ac:dyDescent="0.35">
      <c r="A141" s="95" t="s">
        <v>188</v>
      </c>
      <c r="B141" s="95"/>
      <c r="C141" s="95"/>
      <c r="D141" s="95"/>
      <c r="E141" s="95"/>
      <c r="F141" s="95"/>
      <c r="G141" s="95"/>
      <c r="H141" s="95"/>
      <c r="I141" s="35"/>
      <c r="L141" s="87"/>
      <c r="M141" s="87"/>
    </row>
    <row r="142" spans="1:14" s="36" customFormat="1" ht="15.75" customHeight="1" x14ac:dyDescent="0.35">
      <c r="A142" s="90">
        <v>1</v>
      </c>
      <c r="B142" s="90"/>
      <c r="C142" s="52" t="s">
        <v>187</v>
      </c>
      <c r="D142" s="53">
        <f>(30.88+0.75*(1.9+2.1+2.74))*(10.764)</f>
        <v>386.80434000000002</v>
      </c>
      <c r="E142" s="52">
        <v>0</v>
      </c>
      <c r="F142" s="52">
        <f t="shared" ref="F142:F143" si="5">D142*(($F$115)+1)+(IF(E142&lt;101,E142,IF(E142&lt;201,E142/2,IF(E142&lt;=301,E142/3,E142/4))))</f>
        <v>560.86629300000004</v>
      </c>
      <c r="G142" s="90" t="str">
        <f>A141</f>
        <v>2nd to 7th Floor</v>
      </c>
      <c r="H142" s="90"/>
      <c r="I142" s="35"/>
      <c r="N142" s="35"/>
    </row>
    <row r="143" spans="1:14" s="36" customFormat="1" ht="15.75" customHeight="1" x14ac:dyDescent="0.35">
      <c r="A143" s="90">
        <f>A142+1</f>
        <v>2</v>
      </c>
      <c r="B143" s="90"/>
      <c r="C143" s="52" t="s">
        <v>190</v>
      </c>
      <c r="D143" s="53">
        <f>(22.7+0.75*3.1+1*2.55)*(10.764)</f>
        <v>296.81729999999999</v>
      </c>
      <c r="E143" s="52">
        <v>0</v>
      </c>
      <c r="F143" s="52">
        <f t="shared" si="5"/>
        <v>430.38508499999995</v>
      </c>
      <c r="G143" s="90"/>
      <c r="H143" s="90"/>
      <c r="I143" s="35"/>
      <c r="N143" s="35"/>
    </row>
    <row r="144" spans="1:14" s="36" customFormat="1" ht="15.75" customHeight="1" x14ac:dyDescent="0.35">
      <c r="A144" s="90">
        <f>A143+1</f>
        <v>3</v>
      </c>
      <c r="B144" s="90"/>
      <c r="C144" s="52" t="s">
        <v>187</v>
      </c>
      <c r="D144" s="53">
        <f>(30.1+0.75*(1.9+2.55+2.74))*(10.764)</f>
        <v>382.04127</v>
      </c>
      <c r="E144" s="52">
        <v>0</v>
      </c>
      <c r="F144" s="52">
        <f>D144*(($F$115)+1)+(IF(E144&lt;101,E144,IF(E144&lt;201,E144/2,IF(E144&lt;=301,E144/3,E144/4))))</f>
        <v>553.95984149999992</v>
      </c>
      <c r="G144" s="90"/>
      <c r="H144" s="90"/>
      <c r="I144" s="35"/>
      <c r="N144" s="35"/>
    </row>
    <row r="145" spans="1:14" s="36" customFormat="1" ht="15.75" customHeight="1" x14ac:dyDescent="0.35">
      <c r="A145" s="90">
        <f>A144+1</f>
        <v>4</v>
      </c>
      <c r="B145" s="90"/>
      <c r="C145" s="52" t="s">
        <v>187</v>
      </c>
      <c r="D145" s="53">
        <f>(31.38+0.75*(2.74+2.55+2.5))*(10.764)</f>
        <v>400.66298999999992</v>
      </c>
      <c r="E145" s="52">
        <v>0</v>
      </c>
      <c r="F145" s="52">
        <f>D145*(($F$115)+1)+(IF(E145&lt;101,E145,IF(E145&lt;201,E145/2,IF(E145&lt;=301,E145/3,E145/4))))</f>
        <v>580.9613354999999</v>
      </c>
      <c r="G145" s="90"/>
      <c r="H145" s="90"/>
      <c r="I145" s="35"/>
      <c r="N145" s="35"/>
    </row>
    <row r="146" spans="1:14" s="36" customFormat="1" ht="15.75" customHeight="1" x14ac:dyDescent="0.35">
      <c r="A146" s="90">
        <f>A145+1</f>
        <v>5</v>
      </c>
      <c r="B146" s="90"/>
      <c r="C146" s="52" t="s">
        <v>187</v>
      </c>
      <c r="D146" s="53">
        <f>(31.7+0.75*(1.9+2.1+2.5))*(10.764)</f>
        <v>393.69330000000002</v>
      </c>
      <c r="E146" s="52">
        <v>0</v>
      </c>
      <c r="F146" s="52">
        <f>D146*(($F$115)+1)+(IF(E146&lt;101,E146,IF(E146&lt;201,E146/2,IF(E146&lt;=301,E146/3,E146/4))))</f>
        <v>570.85528499999998</v>
      </c>
      <c r="G146" s="90"/>
      <c r="H146" s="90"/>
      <c r="I146" s="35"/>
      <c r="N146" s="35"/>
    </row>
    <row r="147" spans="1:14" s="36" customFormat="1" ht="15.75" customHeight="1" x14ac:dyDescent="0.35">
      <c r="A147" s="90">
        <f>A146+1</f>
        <v>6</v>
      </c>
      <c r="B147" s="90"/>
      <c r="C147" s="52" t="s">
        <v>187</v>
      </c>
      <c r="D147" s="53">
        <f>(30.88+0.75*(1.9+2.74+2.1))*(10.764)</f>
        <v>386.80434000000002</v>
      </c>
      <c r="E147" s="52">
        <v>0</v>
      </c>
      <c r="F147" s="52">
        <f>D147*(($F$115)+1)+(IF(E147&lt;101,E147,IF(E147&lt;201,E147/2,IF(E147&lt;=301,E147/3,E147/4))))</f>
        <v>560.86629300000004</v>
      </c>
      <c r="G147" s="90"/>
      <c r="H147" s="90"/>
      <c r="I147" s="35"/>
      <c r="N147" s="35"/>
    </row>
    <row r="148" spans="1:14" s="34" customFormat="1" ht="16" customHeight="1" x14ac:dyDescent="0.35">
      <c r="A148" s="135" t="s">
        <v>70</v>
      </c>
      <c r="B148" s="135"/>
      <c r="C148" s="135"/>
      <c r="D148" s="135"/>
      <c r="E148" s="135"/>
      <c r="F148" s="135"/>
      <c r="G148" s="135"/>
      <c r="H148" s="135"/>
    </row>
    <row r="149" spans="1:14" s="34" customFormat="1" x14ac:dyDescent="0.35">
      <c r="A149" s="45" t="s">
        <v>155</v>
      </c>
      <c r="B149" s="152" t="s">
        <v>214</v>
      </c>
      <c r="C149" s="153"/>
      <c r="D149" s="153"/>
      <c r="E149" s="153"/>
      <c r="F149" s="153"/>
      <c r="G149" s="153"/>
      <c r="H149" s="154"/>
    </row>
    <row r="150" spans="1:14" s="34" customFormat="1" x14ac:dyDescent="0.35">
      <c r="A150" s="45" t="s">
        <v>155</v>
      </c>
      <c r="B150" s="152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50" s="153"/>
      <c r="D150" s="153"/>
      <c r="E150" s="153"/>
      <c r="F150" s="153"/>
      <c r="G150" s="153"/>
      <c r="H150" s="154"/>
    </row>
    <row r="151" spans="1:14" s="34" customFormat="1" x14ac:dyDescent="0.35">
      <c r="A151" s="45" t="s">
        <v>155</v>
      </c>
      <c r="B151" s="60" t="s">
        <v>125</v>
      </c>
      <c r="C151" s="61"/>
      <c r="D151" s="61"/>
      <c r="E151" s="61"/>
      <c r="F151" s="61"/>
      <c r="G151" s="61"/>
      <c r="H151" s="62"/>
      <c r="I151" s="34" t="s">
        <v>213</v>
      </c>
    </row>
    <row r="152" spans="1:14" s="34" customFormat="1" x14ac:dyDescent="0.35">
      <c r="A152" s="45" t="s">
        <v>155</v>
      </c>
      <c r="B152" s="60" t="s">
        <v>191</v>
      </c>
      <c r="C152" s="61"/>
      <c r="D152" s="61"/>
      <c r="E152" s="61"/>
      <c r="F152" s="61"/>
      <c r="G152" s="61"/>
      <c r="H152" s="62"/>
    </row>
    <row r="153" spans="1:14" s="34" customFormat="1" x14ac:dyDescent="0.35">
      <c r="A153" s="45" t="s">
        <v>155</v>
      </c>
      <c r="B153" s="60" t="s">
        <v>154</v>
      </c>
      <c r="C153" s="61"/>
      <c r="D153" s="61"/>
      <c r="E153" s="61"/>
      <c r="F153" s="61"/>
      <c r="G153" s="61"/>
      <c r="H153" s="62"/>
    </row>
    <row r="154" spans="1:14" s="34" customFormat="1" x14ac:dyDescent="0.35">
      <c r="A154" s="45" t="s">
        <v>155</v>
      </c>
      <c r="B154" s="60" t="s">
        <v>126</v>
      </c>
      <c r="C154" s="61"/>
      <c r="D154" s="61"/>
      <c r="E154" s="61"/>
      <c r="F154" s="61"/>
      <c r="G154" s="61"/>
      <c r="H154" s="62"/>
    </row>
    <row r="155" spans="1:14" s="34" customFormat="1" ht="32.5" customHeight="1" x14ac:dyDescent="0.35">
      <c r="A155" s="45" t="s">
        <v>155</v>
      </c>
      <c r="B155" s="60" t="s">
        <v>156</v>
      </c>
      <c r="C155" s="61"/>
      <c r="D155" s="61"/>
      <c r="E155" s="61"/>
      <c r="F155" s="61"/>
      <c r="G155" s="61"/>
      <c r="H155" s="62"/>
    </row>
    <row r="156" spans="1:14" s="34" customFormat="1" x14ac:dyDescent="0.35">
      <c r="A156" s="45" t="s">
        <v>155</v>
      </c>
      <c r="B156" s="60" t="s">
        <v>127</v>
      </c>
      <c r="C156" s="61"/>
      <c r="D156" s="61"/>
      <c r="E156" s="61"/>
      <c r="F156" s="61"/>
      <c r="G156" s="61"/>
      <c r="H156" s="62"/>
    </row>
    <row r="157" spans="1:14" s="34" customFormat="1" hidden="1" x14ac:dyDescent="0.35">
      <c r="A157" s="45" t="s">
        <v>155</v>
      </c>
      <c r="B157" s="60" t="s">
        <v>211</v>
      </c>
      <c r="C157" s="61"/>
      <c r="D157" s="61"/>
      <c r="E157" s="61"/>
      <c r="F157" s="61"/>
      <c r="G157" s="61"/>
      <c r="H157" s="62"/>
    </row>
    <row r="158" spans="1:14" x14ac:dyDescent="0.35">
      <c r="A158" s="131" t="s">
        <v>63</v>
      </c>
      <c r="B158" s="131"/>
      <c r="C158" s="131"/>
      <c r="D158" s="131"/>
      <c r="E158" s="131"/>
      <c r="F158" s="131"/>
      <c r="G158" s="131"/>
      <c r="H158" s="131"/>
    </row>
    <row r="159" spans="1:14" x14ac:dyDescent="0.35">
      <c r="A159" s="57" t="s">
        <v>64</v>
      </c>
      <c r="B159" s="57"/>
      <c r="C159" s="57"/>
      <c r="D159" s="57"/>
      <c r="E159" s="57"/>
      <c r="F159" s="57"/>
      <c r="G159" s="57"/>
      <c r="H159" s="57"/>
    </row>
    <row r="160" spans="1:14" ht="15.75" customHeight="1" x14ac:dyDescent="0.35">
      <c r="A160" s="138" t="s">
        <v>65</v>
      </c>
      <c r="B160" s="138"/>
      <c r="C160" s="138"/>
      <c r="D160" s="138"/>
      <c r="E160" s="138"/>
      <c r="F160" s="138"/>
      <c r="G160" s="138"/>
      <c r="H160" s="138"/>
    </row>
    <row r="161" spans="1:8" x14ac:dyDescent="0.35">
      <c r="A161" s="57" t="s">
        <v>66</v>
      </c>
      <c r="B161" s="57"/>
      <c r="C161" s="57"/>
      <c r="D161" s="57"/>
      <c r="E161" s="57"/>
      <c r="F161" s="57"/>
      <c r="G161" s="57"/>
      <c r="H161" s="57"/>
    </row>
    <row r="162" spans="1:8" x14ac:dyDescent="0.35">
      <c r="A162" s="57" t="s">
        <v>67</v>
      </c>
      <c r="B162" s="57"/>
      <c r="C162" s="57"/>
      <c r="D162" s="57"/>
      <c r="E162" s="57"/>
      <c r="F162" s="57"/>
      <c r="G162" s="57"/>
      <c r="H162" s="57"/>
    </row>
    <row r="163" spans="1:8" hidden="1" x14ac:dyDescent="0.35">
      <c r="A163" s="57" t="s">
        <v>128</v>
      </c>
      <c r="B163" s="57"/>
      <c r="C163" s="57"/>
      <c r="D163" s="57"/>
      <c r="E163" s="57"/>
      <c r="F163" s="57"/>
      <c r="G163" s="57"/>
      <c r="H163" s="57"/>
    </row>
    <row r="164" spans="1:8" hidden="1" x14ac:dyDescent="0.35">
      <c r="A164" s="98" t="s">
        <v>129</v>
      </c>
      <c r="B164" s="98"/>
      <c r="C164" s="98"/>
      <c r="D164" s="98"/>
      <c r="E164" s="98"/>
      <c r="F164" s="98"/>
      <c r="G164" s="98"/>
      <c r="H164" s="98"/>
    </row>
    <row r="165" spans="1:8" x14ac:dyDescent="0.35">
      <c r="A165" s="129" t="s">
        <v>79</v>
      </c>
      <c r="B165" s="129"/>
      <c r="C165" s="129" t="s">
        <v>212</v>
      </c>
      <c r="D165" s="129"/>
      <c r="E165" s="129" t="s">
        <v>108</v>
      </c>
      <c r="F165" s="129"/>
      <c r="G165" s="129" t="s">
        <v>215</v>
      </c>
      <c r="H165" s="129"/>
    </row>
    <row r="166" spans="1:8" x14ac:dyDescent="0.35">
      <c r="A166" s="128" t="s">
        <v>81</v>
      </c>
      <c r="B166" s="128"/>
      <c r="C166" s="128"/>
      <c r="D166" s="128"/>
      <c r="E166" s="128"/>
      <c r="F166" s="128"/>
      <c r="G166" s="128"/>
      <c r="H166" s="128"/>
    </row>
    <row r="167" spans="1:8" x14ac:dyDescent="0.35">
      <c r="A167" s="128"/>
      <c r="B167" s="128"/>
      <c r="C167" s="128"/>
      <c r="D167" s="128"/>
      <c r="E167" s="128"/>
      <c r="F167" s="128"/>
      <c r="G167" s="128"/>
      <c r="H167" s="128"/>
    </row>
    <row r="168" spans="1:8" x14ac:dyDescent="0.35">
      <c r="A168" s="128"/>
      <c r="B168" s="128"/>
      <c r="C168" s="128"/>
      <c r="D168" s="128"/>
      <c r="E168" s="128"/>
      <c r="F168" s="128"/>
      <c r="G168" s="128"/>
      <c r="H168" s="128"/>
    </row>
    <row r="169" spans="1:8" x14ac:dyDescent="0.35">
      <c r="A169" s="37" t="s">
        <v>68</v>
      </c>
      <c r="B169" s="38"/>
      <c r="C169" s="38"/>
      <c r="D169" s="37" t="str">
        <f>E8</f>
        <v>Vastu Rachana</v>
      </c>
      <c r="F169" s="38"/>
      <c r="G169" s="38"/>
      <c r="H169" s="38"/>
    </row>
    <row r="170" spans="1:8" x14ac:dyDescent="0.35">
      <c r="A170" s="38"/>
      <c r="B170" s="38"/>
      <c r="C170" s="38"/>
      <c r="D170" s="38"/>
      <c r="E170" s="38"/>
      <c r="F170" s="38"/>
      <c r="G170" s="38"/>
      <c r="H170" s="38"/>
    </row>
    <row r="171" spans="1:8" x14ac:dyDescent="0.35">
      <c r="A171" s="38"/>
      <c r="B171" s="38"/>
      <c r="C171" s="38"/>
      <c r="D171" s="38"/>
      <c r="E171" s="38"/>
      <c r="F171" s="38"/>
      <c r="G171" s="38"/>
      <c r="H171" s="38"/>
    </row>
    <row r="172" spans="1:8" ht="15" customHeight="1" x14ac:dyDescent="0.35"/>
    <row r="211" spans="1:1" x14ac:dyDescent="0.35">
      <c r="A211" s="40" t="s">
        <v>167</v>
      </c>
    </row>
    <row r="253" spans="1:1" x14ac:dyDescent="0.35">
      <c r="A253" s="40" t="s">
        <v>69</v>
      </c>
    </row>
  </sheetData>
  <mergeCells count="289">
    <mergeCell ref="L134:M134"/>
    <mergeCell ref="A135:B135"/>
    <mergeCell ref="A136:B136"/>
    <mergeCell ref="A137:B137"/>
    <mergeCell ref="A138:B138"/>
    <mergeCell ref="A139:B139"/>
    <mergeCell ref="A140:B140"/>
    <mergeCell ref="A133:H133"/>
    <mergeCell ref="B156:H156"/>
    <mergeCell ref="B154:H154"/>
    <mergeCell ref="B149:H149"/>
    <mergeCell ref="B157:H157"/>
    <mergeCell ref="L141:M141"/>
    <mergeCell ref="A142:B142"/>
    <mergeCell ref="G142:H147"/>
    <mergeCell ref="A143:B143"/>
    <mergeCell ref="A144:B144"/>
    <mergeCell ref="A145:B145"/>
    <mergeCell ref="A146:B146"/>
    <mergeCell ref="A147:B147"/>
    <mergeCell ref="B150:H150"/>
    <mergeCell ref="E41:H41"/>
    <mergeCell ref="A41:D41"/>
    <mergeCell ref="A48:B48"/>
    <mergeCell ref="C48:E48"/>
    <mergeCell ref="G48:H48"/>
    <mergeCell ref="G50:H50"/>
    <mergeCell ref="D54:H54"/>
    <mergeCell ref="C50:E50"/>
    <mergeCell ref="A57:C57"/>
    <mergeCell ref="C49:E49"/>
    <mergeCell ref="A52:B52"/>
    <mergeCell ref="C52:E52"/>
    <mergeCell ref="A49:B49"/>
    <mergeCell ref="A53:H53"/>
    <mergeCell ref="A54:C54"/>
    <mergeCell ref="A55:C55"/>
    <mergeCell ref="D57:H57"/>
    <mergeCell ref="A163:H163"/>
    <mergeCell ref="A160:H160"/>
    <mergeCell ref="A126:B126"/>
    <mergeCell ref="A108:B108"/>
    <mergeCell ref="D114:D115"/>
    <mergeCell ref="E114:E115"/>
    <mergeCell ref="G114:H115"/>
    <mergeCell ref="A88:B88"/>
    <mergeCell ref="F94:H94"/>
    <mergeCell ref="G109:H109"/>
    <mergeCell ref="F102:H102"/>
    <mergeCell ref="A113:H113"/>
    <mergeCell ref="A103:E103"/>
    <mergeCell ref="C114:C115"/>
    <mergeCell ref="C111:D111"/>
    <mergeCell ref="A116:H116"/>
    <mergeCell ref="F103:H103"/>
    <mergeCell ref="A110:B110"/>
    <mergeCell ref="G135:H140"/>
    <mergeCell ref="A118:H118"/>
    <mergeCell ref="A119:B119"/>
    <mergeCell ref="G119:H124"/>
    <mergeCell ref="A120:B120"/>
    <mergeCell ref="A121:B121"/>
    <mergeCell ref="A102:E102"/>
    <mergeCell ref="A101:E101"/>
    <mergeCell ref="F101:H101"/>
    <mergeCell ref="F104:H104"/>
    <mergeCell ref="A122:B122"/>
    <mergeCell ref="A141:H141"/>
    <mergeCell ref="A131:B131"/>
    <mergeCell ref="G126:H131"/>
    <mergeCell ref="A132:H132"/>
    <mergeCell ref="A134:H134"/>
    <mergeCell ref="A112:H112"/>
    <mergeCell ref="A87:B87"/>
    <mergeCell ref="F97:H97"/>
    <mergeCell ref="A98:E98"/>
    <mergeCell ref="E69:F78"/>
    <mergeCell ref="G69:H78"/>
    <mergeCell ref="A70:B70"/>
    <mergeCell ref="A71:B71"/>
    <mergeCell ref="A72:B72"/>
    <mergeCell ref="A73:B73"/>
    <mergeCell ref="A74:B74"/>
    <mergeCell ref="A86:B86"/>
    <mergeCell ref="E82:F82"/>
    <mergeCell ref="A83:B83"/>
    <mergeCell ref="G82:H82"/>
    <mergeCell ref="A81:B81"/>
    <mergeCell ref="A79:B79"/>
    <mergeCell ref="C79:H79"/>
    <mergeCell ref="A82:B82"/>
    <mergeCell ref="A85:B85"/>
    <mergeCell ref="A69:B69"/>
    <mergeCell ref="F100:H100"/>
    <mergeCell ref="A94:E94"/>
    <mergeCell ref="F93:H93"/>
    <mergeCell ref="F98:H98"/>
    <mergeCell ref="A99:E99"/>
    <mergeCell ref="F99:H99"/>
    <mergeCell ref="A100:E100"/>
    <mergeCell ref="F96:H96"/>
    <mergeCell ref="A96:E96"/>
    <mergeCell ref="A93:E93"/>
    <mergeCell ref="A166:H168"/>
    <mergeCell ref="A165:B165"/>
    <mergeCell ref="E165:F165"/>
    <mergeCell ref="C165:D165"/>
    <mergeCell ref="G165:H165"/>
    <mergeCell ref="A105:E105"/>
    <mergeCell ref="F105:H105"/>
    <mergeCell ref="A106:E106"/>
    <mergeCell ref="F106:H106"/>
    <mergeCell ref="A125:H125"/>
    <mergeCell ref="A109:B109"/>
    <mergeCell ref="A161:H161"/>
    <mergeCell ref="A107:H107"/>
    <mergeCell ref="A164:H164"/>
    <mergeCell ref="A162:H162"/>
    <mergeCell ref="A158:H158"/>
    <mergeCell ref="C108:D108"/>
    <mergeCell ref="G108:H108"/>
    <mergeCell ref="C109:D109"/>
    <mergeCell ref="E109:F109"/>
    <mergeCell ref="B151:H151"/>
    <mergeCell ref="B152:H152"/>
    <mergeCell ref="A148:H148"/>
    <mergeCell ref="A159:H159"/>
    <mergeCell ref="A61:C61"/>
    <mergeCell ref="D61:H61"/>
    <mergeCell ref="A64:C64"/>
    <mergeCell ref="D64:H64"/>
    <mergeCell ref="A62:C62"/>
    <mergeCell ref="A75:B75"/>
    <mergeCell ref="A76:B76"/>
    <mergeCell ref="A77:B77"/>
    <mergeCell ref="A78:B78"/>
    <mergeCell ref="D62:H62"/>
    <mergeCell ref="A63:C63"/>
    <mergeCell ref="D63:H63"/>
    <mergeCell ref="A65:B65"/>
    <mergeCell ref="C65:H65"/>
    <mergeCell ref="A67:B67"/>
    <mergeCell ref="C67:H67"/>
    <mergeCell ref="A68:B68"/>
    <mergeCell ref="E68:F68"/>
    <mergeCell ref="G68:H68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60:C60"/>
    <mergeCell ref="D60:H60"/>
    <mergeCell ref="C81:H81"/>
    <mergeCell ref="A84:B84"/>
    <mergeCell ref="C51:H51"/>
    <mergeCell ref="D55:H55"/>
    <mergeCell ref="A36:H36"/>
    <mergeCell ref="A35:B35"/>
    <mergeCell ref="C35:E35"/>
    <mergeCell ref="A40:D40"/>
    <mergeCell ref="E40:H40"/>
    <mergeCell ref="A39:H39"/>
    <mergeCell ref="A58:C58"/>
    <mergeCell ref="A37:B37"/>
    <mergeCell ref="C37:H37"/>
    <mergeCell ref="A43:D43"/>
    <mergeCell ref="F35:H35"/>
    <mergeCell ref="A45:D45"/>
    <mergeCell ref="A46:H46"/>
    <mergeCell ref="D56:H56"/>
    <mergeCell ref="A56:C56"/>
    <mergeCell ref="G49:H49"/>
    <mergeCell ref="A50:B51"/>
    <mergeCell ref="G52:H52"/>
    <mergeCell ref="L125:M125"/>
    <mergeCell ref="A114:A115"/>
    <mergeCell ref="A130:B130"/>
    <mergeCell ref="A127:B127"/>
    <mergeCell ref="A128:B128"/>
    <mergeCell ref="A104:E104"/>
    <mergeCell ref="G111:H111"/>
    <mergeCell ref="G110:H110"/>
    <mergeCell ref="E111:F111"/>
    <mergeCell ref="C110:D110"/>
    <mergeCell ref="E110:F110"/>
    <mergeCell ref="A124:B124"/>
    <mergeCell ref="A117:H117"/>
    <mergeCell ref="L118:M118"/>
    <mergeCell ref="B114:B115"/>
    <mergeCell ref="A123:B123"/>
    <mergeCell ref="A129:B129"/>
    <mergeCell ref="E108:F108"/>
    <mergeCell ref="A111:B111"/>
    <mergeCell ref="A38:B38"/>
    <mergeCell ref="C38:H38"/>
    <mergeCell ref="B155:H155"/>
    <mergeCell ref="A47:B47"/>
    <mergeCell ref="C47:H47"/>
    <mergeCell ref="B153:H153"/>
    <mergeCell ref="F95:H95"/>
    <mergeCell ref="A95:E95"/>
    <mergeCell ref="A97:E97"/>
    <mergeCell ref="A59:C59"/>
    <mergeCell ref="D58:H58"/>
    <mergeCell ref="E83:F92"/>
    <mergeCell ref="G83:H92"/>
    <mergeCell ref="A91:B91"/>
    <mergeCell ref="A92:B92"/>
    <mergeCell ref="D59:H59"/>
    <mergeCell ref="A42:D42"/>
    <mergeCell ref="E42:H42"/>
    <mergeCell ref="E43:H43"/>
    <mergeCell ref="E44:H44"/>
    <mergeCell ref="E45:H45"/>
    <mergeCell ref="A44:D44"/>
    <mergeCell ref="A90:B90"/>
    <mergeCell ref="A89:B89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68" max="16383" man="1"/>
    <brk id="210" max="16383" man="1"/>
    <brk id="25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81640625" defaultRowHeight="14.5" x14ac:dyDescent="0.35"/>
  <cols>
    <col min="1" max="1" width="8.81640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81640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5" t="s">
        <v>109</v>
      </c>
      <c r="C3" s="155"/>
      <c r="D3" s="155"/>
      <c r="E3" s="155"/>
      <c r="F3" s="155"/>
      <c r="G3" s="155"/>
      <c r="H3" s="155"/>
    </row>
    <row r="4" spans="1:9" x14ac:dyDescent="0.3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2025-07-09T09:29:21Z</cp:lastPrinted>
  <dcterms:created xsi:type="dcterms:W3CDTF">2019-07-16T09:29:46Z</dcterms:created>
  <dcterms:modified xsi:type="dcterms:W3CDTF">2025-07-09T09:29:45Z</dcterms:modified>
</cp:coreProperties>
</file>