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July 25\Dump\New folder\"/>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Report!$A$1:$H$452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7" i="1" l="1"/>
  <c r="G255" i="1"/>
  <c r="I254" i="1"/>
  <c r="A271" i="1"/>
  <c r="A272" i="1" s="1"/>
  <c r="A273" i="1" s="1"/>
  <c r="A274" i="1" s="1"/>
  <c r="A275" i="1" s="1"/>
  <c r="A276" i="1" s="1"/>
  <c r="A277" i="1" s="1"/>
  <c r="A278" i="1" s="1"/>
  <c r="A279" i="1" s="1"/>
  <c r="J201" i="1" l="1"/>
  <c r="J197" i="1"/>
  <c r="J194" i="1"/>
  <c r="I234" i="1" l="1"/>
  <c r="J234" i="1"/>
  <c r="G253" i="1"/>
  <c r="G252" i="1"/>
  <c r="I244" i="1"/>
  <c r="I194" i="1"/>
  <c r="I237" i="1"/>
  <c r="I180" i="1"/>
  <c r="K234" i="1" l="1"/>
  <c r="D268" i="1"/>
  <c r="D267" i="1"/>
  <c r="D266" i="1"/>
  <c r="D265" i="1"/>
  <c r="D264" i="1"/>
  <c r="D263" i="1"/>
  <c r="D262" i="1"/>
  <c r="D261" i="1"/>
  <c r="D260" i="1"/>
  <c r="D259" i="1"/>
  <c r="D258" i="1"/>
  <c r="D256" i="1"/>
  <c r="D255" i="1"/>
  <c r="D254" i="1"/>
  <c r="D253" i="1"/>
  <c r="D252" i="1"/>
  <c r="D251" i="1"/>
  <c r="D250" i="1"/>
  <c r="D249" i="1"/>
  <c r="D248" i="1"/>
  <c r="D247" i="1"/>
  <c r="D246" i="1"/>
  <c r="D244" i="1"/>
  <c r="D243" i="1"/>
  <c r="D242" i="1"/>
  <c r="D241" i="1"/>
  <c r="D240" i="1"/>
  <c r="D239" i="1"/>
  <c r="D238" i="1"/>
  <c r="D237" i="1"/>
  <c r="D234" i="1"/>
  <c r="D233" i="1"/>
  <c r="D232" i="1"/>
  <c r="D231" i="1"/>
  <c r="D230" i="1"/>
  <c r="D229" i="1"/>
  <c r="D228" i="1"/>
  <c r="D227" i="1"/>
  <c r="D226" i="1"/>
  <c r="D225" i="1"/>
  <c r="D224" i="1"/>
  <c r="D223" i="1"/>
  <c r="D222" i="1"/>
  <c r="D220" i="1"/>
  <c r="D219" i="1"/>
  <c r="D218" i="1"/>
  <c r="D217" i="1"/>
  <c r="D216" i="1"/>
  <c r="D215" i="1"/>
  <c r="D214" i="1"/>
  <c r="D213" i="1"/>
  <c r="D212" i="1"/>
  <c r="D211" i="1"/>
  <c r="D210" i="1"/>
  <c r="D209" i="1"/>
  <c r="D208" i="1"/>
  <c r="D206" i="1"/>
  <c r="D205" i="1"/>
  <c r="D204" i="1"/>
  <c r="D203" i="1"/>
  <c r="D202" i="1"/>
  <c r="D201" i="1"/>
  <c r="D200" i="1"/>
  <c r="D199" i="1"/>
  <c r="D198" i="1"/>
  <c r="D197" i="1"/>
  <c r="D196" i="1"/>
  <c r="D195" i="1"/>
  <c r="D194" i="1"/>
  <c r="D188" i="1"/>
  <c r="D187" i="1"/>
  <c r="D186" i="1"/>
  <c r="D185" i="1"/>
  <c r="D184" i="1"/>
  <c r="D183" i="1"/>
  <c r="D182" i="1"/>
  <c r="D181" i="1"/>
  <c r="D180" i="1"/>
  <c r="D179" i="1"/>
  <c r="D178" i="1"/>
  <c r="D177" i="1"/>
  <c r="D176" i="1"/>
  <c r="D175" i="1"/>
  <c r="D174"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C123" i="1" l="1"/>
  <c r="C122" i="1"/>
  <c r="C124" i="1" s="1"/>
  <c r="C118" i="1"/>
  <c r="C117" i="1"/>
  <c r="C119" i="1" s="1"/>
  <c r="C125" i="1" s="1"/>
  <c r="I267" i="1"/>
  <c r="I201" i="1"/>
  <c r="I197" i="1"/>
  <c r="F268" i="1"/>
  <c r="H268" i="1" s="1"/>
  <c r="F267" i="1"/>
  <c r="H267" i="1" s="1"/>
  <c r="F266" i="1"/>
  <c r="H266" i="1" s="1"/>
  <c r="F265" i="1"/>
  <c r="H265" i="1" s="1"/>
  <c r="F264" i="1"/>
  <c r="H264" i="1" s="1"/>
  <c r="F263" i="1"/>
  <c r="H263" i="1" s="1"/>
  <c r="F262" i="1"/>
  <c r="H262" i="1" s="1"/>
  <c r="F261" i="1"/>
  <c r="H261" i="1" s="1"/>
  <c r="F260" i="1"/>
  <c r="H260" i="1" s="1"/>
  <c r="F259" i="1"/>
  <c r="H259" i="1" s="1"/>
  <c r="A259" i="1"/>
  <c r="A260" i="1" s="1"/>
  <c r="A261" i="1" s="1"/>
  <c r="A262" i="1" s="1"/>
  <c r="A263" i="1" s="1"/>
  <c r="A264" i="1" s="1"/>
  <c r="A265" i="1" s="1"/>
  <c r="A266" i="1" s="1"/>
  <c r="A267" i="1" s="1"/>
  <c r="A268" i="1" s="1"/>
  <c r="F258" i="1"/>
  <c r="H258" i="1" s="1"/>
  <c r="F234" i="1"/>
  <c r="H234" i="1" s="1"/>
  <c r="F233" i="1"/>
  <c r="H233" i="1" s="1"/>
  <c r="F232" i="1"/>
  <c r="H232" i="1" s="1"/>
  <c r="F231" i="1"/>
  <c r="H231" i="1" s="1"/>
  <c r="F230" i="1"/>
  <c r="H230" i="1" s="1"/>
  <c r="F229" i="1"/>
  <c r="H229" i="1" s="1"/>
  <c r="F228" i="1"/>
  <c r="H228" i="1" s="1"/>
  <c r="F227" i="1"/>
  <c r="H227" i="1" s="1"/>
  <c r="F226" i="1"/>
  <c r="H226" i="1" s="1"/>
  <c r="F225" i="1"/>
  <c r="H225" i="1" s="1"/>
  <c r="F224" i="1"/>
  <c r="H224" i="1" s="1"/>
  <c r="F223" i="1"/>
  <c r="H223" i="1" s="1"/>
  <c r="A223" i="1"/>
  <c r="A224" i="1" s="1"/>
  <c r="A225" i="1" s="1"/>
  <c r="A226" i="1" s="1"/>
  <c r="A227" i="1" s="1"/>
  <c r="A228" i="1" s="1"/>
  <c r="A229" i="1" s="1"/>
  <c r="A230" i="1" s="1"/>
  <c r="A231" i="1" s="1"/>
  <c r="A232" i="1" s="1"/>
  <c r="A233" i="1" s="1"/>
  <c r="A234" i="1" s="1"/>
  <c r="F222" i="1"/>
  <c r="H222" i="1" s="1"/>
  <c r="F256" i="1"/>
  <c r="H256" i="1" s="1"/>
  <c r="F255" i="1"/>
  <c r="H255" i="1" s="1"/>
  <c r="F254" i="1"/>
  <c r="H254" i="1" s="1"/>
  <c r="F253" i="1"/>
  <c r="H253" i="1" s="1"/>
  <c r="F251" i="1"/>
  <c r="H251" i="1" s="1"/>
  <c r="F250" i="1"/>
  <c r="H250" i="1" s="1"/>
  <c r="F249" i="1"/>
  <c r="H249" i="1" s="1"/>
  <c r="F246" i="1"/>
  <c r="H246" i="1" s="1"/>
  <c r="F220" i="1"/>
  <c r="H220" i="1" s="1"/>
  <c r="K220" i="1" s="1"/>
  <c r="F219" i="1"/>
  <c r="H219" i="1" s="1"/>
  <c r="K219" i="1" s="1"/>
  <c r="F218" i="1"/>
  <c r="H218" i="1" s="1"/>
  <c r="K218" i="1" s="1"/>
  <c r="F217" i="1"/>
  <c r="H217" i="1" s="1"/>
  <c r="K217" i="1" s="1"/>
  <c r="F216" i="1"/>
  <c r="H216" i="1" s="1"/>
  <c r="K216" i="1" s="1"/>
  <c r="F214" i="1"/>
  <c r="H214" i="1" s="1"/>
  <c r="K214" i="1" s="1"/>
  <c r="F213" i="1"/>
  <c r="H213" i="1" s="1"/>
  <c r="K213" i="1" s="1"/>
  <c r="F212" i="1"/>
  <c r="H212" i="1" s="1"/>
  <c r="K212" i="1" s="1"/>
  <c r="F210" i="1"/>
  <c r="H210" i="1" s="1"/>
  <c r="K210" i="1" s="1"/>
  <c r="F252" i="1"/>
  <c r="H252" i="1" s="1"/>
  <c r="F248" i="1"/>
  <c r="H248" i="1" s="1"/>
  <c r="F247" i="1"/>
  <c r="H247" i="1" s="1"/>
  <c r="A247" i="1"/>
  <c r="A248" i="1" s="1"/>
  <c r="A249" i="1" s="1"/>
  <c r="A250" i="1" s="1"/>
  <c r="A251" i="1" s="1"/>
  <c r="A252" i="1" s="1"/>
  <c r="A253" i="1" s="1"/>
  <c r="A254" i="1" s="1"/>
  <c r="A255" i="1" s="1"/>
  <c r="A256" i="1" s="1"/>
  <c r="F215" i="1"/>
  <c r="H215" i="1" s="1"/>
  <c r="K215" i="1" s="1"/>
  <c r="F211" i="1"/>
  <c r="H211" i="1" s="1"/>
  <c r="K211" i="1" s="1"/>
  <c r="F209" i="1"/>
  <c r="H209" i="1" s="1"/>
  <c r="K209" i="1" s="1"/>
  <c r="A209" i="1"/>
  <c r="A210" i="1" s="1"/>
  <c r="A211" i="1" s="1"/>
  <c r="A212" i="1" s="1"/>
  <c r="A213" i="1" s="1"/>
  <c r="A214" i="1" s="1"/>
  <c r="A215" i="1" s="1"/>
  <c r="A216" i="1" s="1"/>
  <c r="A217" i="1" s="1"/>
  <c r="A218" i="1" s="1"/>
  <c r="A219" i="1" s="1"/>
  <c r="A220" i="1" s="1"/>
  <c r="F208" i="1"/>
  <c r="H208" i="1" s="1"/>
  <c r="K208" i="1" s="1"/>
  <c r="F243" i="1"/>
  <c r="H243" i="1" s="1"/>
  <c r="F242" i="1"/>
  <c r="H242" i="1" s="1"/>
  <c r="F206" i="1"/>
  <c r="H206" i="1" s="1"/>
  <c r="K206" i="1" s="1"/>
  <c r="F205" i="1"/>
  <c r="H205" i="1" s="1"/>
  <c r="K205" i="1" s="1"/>
  <c r="F202" i="1"/>
  <c r="H202" i="1" s="1"/>
  <c r="K202" i="1" s="1"/>
  <c r="F201" i="1"/>
  <c r="H201" i="1" s="1"/>
  <c r="K201" i="1" s="1"/>
  <c r="F200" i="1"/>
  <c r="H200" i="1" s="1"/>
  <c r="K200" i="1" s="1"/>
  <c r="F199" i="1"/>
  <c r="H199" i="1" s="1"/>
  <c r="K199" i="1" s="1"/>
  <c r="F198" i="1"/>
  <c r="H198" i="1" s="1"/>
  <c r="K198" i="1" s="1"/>
  <c r="F244" i="1"/>
  <c r="H244" i="1" s="1"/>
  <c r="F204" i="1"/>
  <c r="H204" i="1" s="1"/>
  <c r="K204" i="1" s="1"/>
  <c r="F203" i="1"/>
  <c r="H203" i="1" s="1"/>
  <c r="K203" i="1" s="1"/>
  <c r="F187" i="1"/>
  <c r="H187" i="1" s="1"/>
  <c r="F185" i="1"/>
  <c r="H185" i="1" s="1"/>
  <c r="F183" i="1"/>
  <c r="H183" i="1" s="1"/>
  <c r="F182" i="1"/>
  <c r="H182" i="1" s="1"/>
  <c r="F181" i="1"/>
  <c r="H181" i="1" s="1"/>
  <c r="F179" i="1"/>
  <c r="H179" i="1" s="1"/>
  <c r="F178" i="1"/>
  <c r="H178" i="1" s="1"/>
  <c r="F177" i="1"/>
  <c r="H177" i="1" s="1"/>
  <c r="F176" i="1"/>
  <c r="H176" i="1" s="1"/>
  <c r="F175" i="1"/>
  <c r="H175" i="1" s="1"/>
  <c r="F174" i="1"/>
  <c r="F188" i="1"/>
  <c r="H188" i="1" s="1"/>
  <c r="I186" i="1"/>
  <c r="F186" i="1"/>
  <c r="H186" i="1" s="1"/>
  <c r="F184" i="1"/>
  <c r="H184" i="1" s="1"/>
  <c r="F180" i="1"/>
  <c r="H180" i="1" s="1"/>
  <c r="I179" i="1"/>
  <c r="I176" i="1"/>
  <c r="A175" i="1"/>
  <c r="A176" i="1" s="1"/>
  <c r="A177" i="1" s="1"/>
  <c r="A178" i="1" s="1"/>
  <c r="A179" i="1" s="1"/>
  <c r="A180" i="1" s="1"/>
  <c r="A182" i="1" s="1"/>
  <c r="A183" i="1" s="1"/>
  <c r="A184" i="1" s="1"/>
  <c r="A185" i="1" s="1"/>
  <c r="A186" i="1" s="1"/>
  <c r="A187" i="1" s="1"/>
  <c r="A188" i="1" s="1"/>
  <c r="I174" i="1"/>
  <c r="I160" i="1"/>
  <c r="I147" i="1"/>
  <c r="I144" i="1"/>
  <c r="I137" i="1"/>
  <c r="I134" i="1"/>
  <c r="I132" i="1"/>
  <c r="F170" i="1"/>
  <c r="H170" i="1" s="1"/>
  <c r="F169" i="1"/>
  <c r="H169" i="1" s="1"/>
  <c r="F168" i="1"/>
  <c r="H168" i="1" s="1"/>
  <c r="F166" i="1"/>
  <c r="H166" i="1" s="1"/>
  <c r="F165" i="1"/>
  <c r="H165" i="1" s="1"/>
  <c r="F164" i="1"/>
  <c r="H164" i="1" s="1"/>
  <c r="F163" i="1"/>
  <c r="H163" i="1" s="1"/>
  <c r="F162" i="1"/>
  <c r="H162" i="1" s="1"/>
  <c r="F161" i="1"/>
  <c r="H161" i="1" s="1"/>
  <c r="F160" i="1"/>
  <c r="H160" i="1" s="1"/>
  <c r="F159" i="1"/>
  <c r="H159" i="1" s="1"/>
  <c r="F158" i="1"/>
  <c r="H158" i="1" s="1"/>
  <c r="F157" i="1"/>
  <c r="H157" i="1" s="1"/>
  <c r="F156" i="1"/>
  <c r="H156" i="1" s="1"/>
  <c r="F155" i="1"/>
  <c r="H155" i="1" s="1"/>
  <c r="F154" i="1"/>
  <c r="H154" i="1" s="1"/>
  <c r="F153" i="1"/>
  <c r="H153" i="1" s="1"/>
  <c r="F152" i="1"/>
  <c r="H152" i="1" s="1"/>
  <c r="F150" i="1"/>
  <c r="H150" i="1" s="1"/>
  <c r="F149" i="1"/>
  <c r="H149" i="1" s="1"/>
  <c r="F148" i="1"/>
  <c r="H148" i="1" s="1"/>
  <c r="F147" i="1"/>
  <c r="H147" i="1" s="1"/>
  <c r="F146" i="1"/>
  <c r="H146" i="1" s="1"/>
  <c r="F145" i="1"/>
  <c r="H145" i="1" s="1"/>
  <c r="F144" i="1"/>
  <c r="H144" i="1" s="1"/>
  <c r="F142" i="1"/>
  <c r="H142" i="1" s="1"/>
  <c r="F141" i="1"/>
  <c r="H141" i="1" s="1"/>
  <c r="F140" i="1"/>
  <c r="H140" i="1" s="1"/>
  <c r="F139" i="1"/>
  <c r="H139" i="1" s="1"/>
  <c r="F138" i="1"/>
  <c r="H138" i="1" s="1"/>
  <c r="F137" i="1"/>
  <c r="H137" i="1" s="1"/>
  <c r="F136" i="1"/>
  <c r="H136" i="1" s="1"/>
  <c r="F171" i="1"/>
  <c r="H171" i="1" s="1"/>
  <c r="F167" i="1"/>
  <c r="H167" i="1" s="1"/>
  <c r="F151" i="1"/>
  <c r="H151" i="1" s="1"/>
  <c r="F143" i="1"/>
  <c r="H143" i="1" s="1"/>
  <c r="I42" i="1"/>
  <c r="H174" i="1" l="1"/>
  <c r="G118" i="1" s="1"/>
  <c r="E118" i="1"/>
  <c r="I45" i="1"/>
  <c r="B271" i="1" l="1"/>
  <c r="F133" i="1" l="1"/>
  <c r="H133" i="1" s="1"/>
  <c r="F134" i="1"/>
  <c r="H134" i="1" s="1"/>
  <c r="F135" i="1"/>
  <c r="H135" i="1" s="1"/>
  <c r="F132" i="1"/>
  <c r="H132" i="1" l="1"/>
  <c r="G117" i="1" s="1"/>
  <c r="G119" i="1" s="1"/>
  <c r="E117" i="1"/>
  <c r="E119" i="1" s="1"/>
  <c r="G58" i="1"/>
  <c r="C58" i="1"/>
  <c r="G56" i="1"/>
  <c r="C56" i="1"/>
  <c r="S33" i="1" l="1"/>
  <c r="F11" i="5" l="1"/>
  <c r="G11" i="5" s="1"/>
  <c r="F10" i="5"/>
  <c r="G10" i="5" s="1"/>
  <c r="F9" i="5"/>
  <c r="G9" i="5" s="1"/>
  <c r="F8" i="5"/>
  <c r="G8" i="5" s="1"/>
  <c r="G7" i="5"/>
  <c r="F7" i="5"/>
  <c r="G6" i="5"/>
  <c r="F6" i="5"/>
  <c r="F5" i="5"/>
  <c r="G5" i="5" s="1"/>
  <c r="G12" i="5" s="1"/>
  <c r="D294" i="1"/>
  <c r="B272" i="1"/>
  <c r="F241" i="1"/>
  <c r="H241" i="1" s="1"/>
  <c r="F240" i="1"/>
  <c r="H240" i="1" s="1"/>
  <c r="F239" i="1"/>
  <c r="H239" i="1" s="1"/>
  <c r="F238" i="1"/>
  <c r="H238" i="1" s="1"/>
  <c r="F237" i="1"/>
  <c r="A238" i="1"/>
  <c r="A239" i="1" s="1"/>
  <c r="A240" i="1" s="1"/>
  <c r="A241" i="1" s="1"/>
  <c r="A242" i="1" s="1"/>
  <c r="A243" i="1" s="1"/>
  <c r="A244" i="1" s="1"/>
  <c r="F197" i="1"/>
  <c r="H197" i="1" s="1"/>
  <c r="K197" i="1" s="1"/>
  <c r="F196" i="1"/>
  <c r="H196" i="1" s="1"/>
  <c r="K196" i="1" s="1"/>
  <c r="F195" i="1"/>
  <c r="H195" i="1" s="1"/>
  <c r="K195" i="1" s="1"/>
  <c r="A195" i="1"/>
  <c r="A196" i="1" s="1"/>
  <c r="A197" i="1" s="1"/>
  <c r="A198" i="1" s="1"/>
  <c r="A199" i="1" s="1"/>
  <c r="A200" i="1" s="1"/>
  <c r="A201" i="1" s="1"/>
  <c r="A202" i="1" s="1"/>
  <c r="A203" i="1" s="1"/>
  <c r="A204" i="1" s="1"/>
  <c r="A205" i="1" s="1"/>
  <c r="A206" i="1" s="1"/>
  <c r="F194" i="1"/>
  <c r="A133" i="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F114" i="1"/>
  <c r="C88" i="1"/>
  <c r="C74" i="1"/>
  <c r="D68" i="1"/>
  <c r="D62" i="1"/>
  <c r="G51" i="1"/>
  <c r="G52" i="1" s="1"/>
  <c r="C51" i="1"/>
  <c r="C52" i="1" s="1"/>
  <c r="E44" i="1"/>
  <c r="E45" i="1" s="1"/>
  <c r="E31" i="1"/>
  <c r="E28" i="1"/>
  <c r="E26" i="1"/>
  <c r="C16" i="1"/>
  <c r="I15" i="1"/>
  <c r="Z13" i="1"/>
  <c r="E3" i="1"/>
  <c r="H75" i="1"/>
  <c r="H89" i="1"/>
  <c r="H194" i="1" l="1"/>
  <c r="E122" i="1"/>
  <c r="H237" i="1"/>
  <c r="G123" i="1" s="1"/>
  <c r="E123" i="1"/>
  <c r="J74" i="1"/>
  <c r="J76" i="1" s="1"/>
  <c r="J77" i="1"/>
  <c r="J78" i="1"/>
  <c r="J79" i="1"/>
  <c r="C78" i="1" s="1"/>
  <c r="J93" i="1"/>
  <c r="C92" i="1" s="1"/>
  <c r="D97" i="1"/>
  <c r="D99" i="1"/>
  <c r="J92" i="1"/>
  <c r="D98" i="1"/>
  <c r="J88" i="1"/>
  <c r="J90" i="1" s="1"/>
  <c r="D96" i="1"/>
  <c r="J91" i="1"/>
  <c r="D95" i="1"/>
  <c r="D101" i="1"/>
  <c r="D100" i="1"/>
  <c r="D94" i="1"/>
  <c r="D82" i="1"/>
  <c r="D84" i="1"/>
  <c r="D83" i="1"/>
  <c r="D87" i="1"/>
  <c r="D81" i="1"/>
  <c r="D86" i="1"/>
  <c r="D80" i="1"/>
  <c r="D85" i="1"/>
  <c r="B89" i="1"/>
  <c r="B75" i="1"/>
  <c r="J80" i="1" s="1"/>
  <c r="E124" i="1" l="1"/>
  <c r="E125" i="1" s="1"/>
  <c r="G122" i="1"/>
  <c r="G124" i="1" s="1"/>
  <c r="G125" i="1" s="1"/>
  <c r="K194" i="1"/>
  <c r="D92" i="1"/>
  <c r="D78" i="1"/>
  <c r="J99" i="1"/>
  <c r="J96" i="1"/>
  <c r="J98" i="1"/>
  <c r="J97" i="1"/>
  <c r="J94" i="1"/>
  <c r="J95" i="1" s="1"/>
  <c r="J84" i="1"/>
  <c r="J82" i="1"/>
  <c r="J83" i="1"/>
  <c r="J81" i="1"/>
  <c r="J86" i="1" s="1"/>
  <c r="J87" i="1" s="1"/>
  <c r="C79" i="1" s="1"/>
  <c r="J85" i="1"/>
  <c r="J75" i="1" l="1"/>
  <c r="J100" i="1"/>
  <c r="J101" i="1" s="1"/>
  <c r="E78" i="1"/>
  <c r="D79" i="1"/>
  <c r="I75" i="1" s="1"/>
  <c r="G78" i="1"/>
  <c r="D72" i="1" s="1"/>
  <c r="C93" i="1" l="1"/>
  <c r="F73" i="1"/>
  <c r="D73" i="1"/>
  <c r="I76" i="1"/>
  <c r="I74" i="1" s="1"/>
  <c r="C76" i="1" s="1"/>
  <c r="E92" i="1" l="1"/>
  <c r="D93" i="1"/>
  <c r="I89" i="1" s="1"/>
  <c r="I90" i="1" s="1"/>
  <c r="G92" i="1"/>
  <c r="J89" i="1"/>
  <c r="I88" i="1" l="1"/>
  <c r="C90"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9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<sst xmlns="http://schemas.openxmlformats.org/spreadsheetml/2006/main" count="690" uniqueCount="362">
  <si>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</si>
  <si>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</si>
  <si>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</si>
  <si>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</si>
  <si>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</si>
  <si>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</si>
  <si>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</si>
  <si>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</si>
  <si>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</si>
  <si>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</si>
  <si>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</si>
  <si>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</si>
  <si>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</si>
  <si>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</si>
  <si>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</si>
  <si>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</si>
  <si>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</si>
  <si>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</si>
  <si>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</si>
  <si>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</si>
  <si>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</si>
  <si>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</si>
  <si>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</si>
  <si>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</si>
  <si>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</si>
  <si>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</si>
  <si>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</si>
  <si>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</si>
  <si>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</si>
  <si>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</si>
  <si>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</si>
  <si>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</si>
  <si>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</si>
  <si>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</si>
  <si>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</si>
  <si>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</si>
  <si>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</si>
  <si>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</si>
  <si>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</si>
  <si>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</si>
  <si>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</si>
  <si>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</si>
  <si>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</si>
  <si>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</si>
  <si>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</si>
  <si>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</si>
  <si>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</si>
  <si>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</si>
  <si>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</si>
  <si>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</si>
  <si>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</si>
  <si>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</si>
  <si>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</si>
  <si>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</si>
  <si>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</si>
  <si>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</si>
  <si>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</si>
  <si>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</si>
  <si>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</si>
  <si>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</si>
  <si>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</si>
  <si>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</si>
  <si>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</si>
  <si>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</si>
  <si>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</si>
  <si>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</si>
  <si>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</si>
  <si>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</si>
  <si>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</si>
  <si>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</si>
  <si>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</si>
  <si>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</si>
  <si>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</si>
  <si>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</si>
  <si>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</si>
  <si>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</si>
  <si>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</si>
  <si>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</si>
  <si>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</si>
  <si>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</si>
  <si>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</si>
  <si>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</si>
  <si>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</si>
  <si>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</si>
  <si>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</si>
  <si>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</si>
  <si>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</si>
  <si>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</si>
  <si>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</si>
  <si>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</si>
  <si>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</si>
  <si>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</si>
  <si>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</si>
  <si>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</si>
  <si>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</si>
  <si>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</si>
  <si>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</si>
  <si>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</si>
  <si>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</si>
  <si>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</si>
  <si>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</si>
  <si>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</si>
  <si>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</si>
  <si>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</si>
  <si>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</si>
  <si>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</si>
  <si>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</si>
  <si>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</si>
  <si>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</si>
  <si>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</si>
  <si>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</si>
  <si>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</si>
  <si>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</si>
  <si>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</si>
  <si>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</si>
  <si>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</si>
  <si>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</si>
  <si>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</si>
  <si>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</si>
  <si>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</si>
  <si>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</si>
  <si>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</si>
  <si>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</si>
  <si>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</si>
  <si>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</si>
  <si>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</si>
  <si>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</si>
  <si>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</si>
  <si>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</si>
  <si>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</si>
  <si>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</si>
  <si>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</si>
  <si>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</si>
  <si>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</si>
  <si>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</si>
  <si>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</si>
  <si>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</si>
  <si>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</si>
  <si>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</si>
  <si>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</si>
  <si>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</si>
  <si>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</si>
  <si>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</si>
  <si>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</si>
  <si>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</si>
  <si>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</si>
  <si>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</si>
  <si>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</si>
  <si>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</si>
  <si>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</si>
  <si>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</si>
  <si>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</si>
  <si>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</si>
  <si>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</si>
  <si>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</si>
  <si>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</si>
  <si>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</si>
  <si>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</si>
  <si>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</si>
  <si>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</si>
  <si>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</si>
  <si>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</si>
  <si>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</si>
  <si>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</si>
  <si>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</si>
  <si>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</si>
  <si>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</si>
  <si>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</si>
  <si>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</si>
  <si>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</si>
  <si>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</si>
  <si>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</si>
  <si>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</si>
  <si>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</si>
  <si>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</si>
  <si>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</si>
  <si>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</si>
  <si>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</si>
  <si>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</si>
  <si>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</si>
  <si>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</si>
  <si>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</si>
  <si>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</si>
  <si>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</si>
  <si>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</si>
  <si>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</si>
  <si>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</si>
  <si>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</si>
  <si>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</si>
  <si>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</si>
  <si>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</si>
  <si>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</si>
  <si>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</si>
  <si>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</si>
  <si>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</si>
  <si>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</si>
  <si>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</si>
  <si>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</si>
  <si>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</si>
  <si>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</si>
  <si>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</si>
  <si>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</si>
  <si>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</si>
  <si>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</si>
  <si>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</si>
  <si>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</si>
  <si>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</si>
  <si>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</si>
  <si>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</si>
  <si>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</si>
  <si>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</si>
  <si>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</si>
  <si>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</si>
  <si>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</si>
  <si>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</si>
  <si>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</si>
  <si>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</si>
  <si>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</si>
  <si>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</si>
  <si>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</si>
  <si>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</si>
  <si>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</si>
  <si>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</si>
  <si>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</si>
  <si>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</si>
  <si>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</si>
  <si>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</si>
  <si>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</si>
  <si>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</si>
  <si>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</si>
  <si>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</si>
  <si>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</si>
  <si>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</si>
  <si>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</si>
  <si>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</si>
  <si>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</si>
  <si>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</si>
  <si>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</si>
  <si>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</si>
  <si>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</si>
  <si>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</si>
  <si>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</si>
  <si>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</si>
  <si>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</si>
  <si>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</si>
  <si>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</si>
  <si>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</si>
  <si>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</si>
  <si>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</si>
  <si>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</si>
  <si>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</si>
  <si>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</si>
  <si>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</si>
  <si>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</si>
  <si>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</si>
  <si>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</si>
  <si>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</si>
  <si>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</si>
  <si>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</si>
  <si>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</si>
  <si>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</si>
  <si>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</si>
  <si>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</si>
  <si>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</si>
  <si>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</si>
  <si>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</si>
  <si>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</si>
  <si>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</si>
  <si>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</si>
  <si>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</si>
  <si>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</si>
  <si>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</si>
  <si>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</si>
  <si>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</si>
  <si>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</si>
  <si>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</si>
  <si>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</si>
  <si>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</si>
  <si>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</si>
  <si>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</si>
  <si>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</si>
  <si>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</si>
  <si>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</si>
  <si>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</si>
  <si>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</si>
  <si>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</si>
  <si>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</si>
  <si>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</si>
  <si>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</si>
  <si>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</si>
  <si>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</si>
  <si>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</si>
  <si>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</si>
  <si>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</si>
  <si>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</si>
  <si>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</si>
  <si>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</si>
  <si>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</si>
  <si>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</si>
  <si>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</si>
  <si>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Nilesh Satish Mehta</t>
  </si>
  <si>
    <t>Name of the builder</t>
  </si>
  <si>
    <t>Shree Swami Samarth Construction</t>
  </si>
  <si>
    <t>Siya 24 K Phase II</t>
  </si>
  <si>
    <t>P52000052223</t>
  </si>
  <si>
    <t>Survey No</t>
  </si>
  <si>
    <t>79/3, 79/4, 79/5</t>
  </si>
  <si>
    <t>Kakartale</t>
  </si>
  <si>
    <t>18.085346,73.425788</t>
  </si>
  <si>
    <t>https://maps.app.goo.gl/1rj3WYjaL857MC3z7</t>
  </si>
  <si>
    <t>Panchayat Samiti Office</t>
  </si>
  <si>
    <t>NH 66 Highway</t>
  </si>
  <si>
    <t>Other Plot</t>
  </si>
  <si>
    <t>9.00 m. Wide Road</t>
  </si>
  <si>
    <t>Panchayat Samiti Office Road</t>
  </si>
  <si>
    <t>Wing A &amp; B</t>
  </si>
  <si>
    <t>02 Wings</t>
  </si>
  <si>
    <t>Mahad Municipal Council</t>
  </si>
  <si>
    <t>CCRSM/RB/2024/APL/00043</t>
  </si>
  <si>
    <t>Ground + 1st to 6th Floor</t>
  </si>
  <si>
    <t>A Wing = Gr + 1st to 6th Floor</t>
  </si>
  <si>
    <t>B Wing = Gr + 1st to 6th Floor</t>
  </si>
  <si>
    <t>A &amp; B Wing = Gr + 1st to 6th Floor</t>
  </si>
  <si>
    <t>As per RERA - 31/12/2027</t>
  </si>
  <si>
    <t>Vitrified tiles flooring, Granite Kitchen Platform, Decorative Entrance, Landscaping &amp; Garden, etc.</t>
  </si>
  <si>
    <r>
      <t xml:space="preserve">Proposed Amenities :                                                                                                                                                                                                                         </t>
    </r>
    <r>
      <rPr>
        <b/>
        <sz val="12"/>
        <rFont val="Times New Roman"/>
        <family val="1"/>
      </rPr>
      <t xml:space="preserve">                                               </t>
    </r>
  </si>
  <si>
    <t>Wing A + B</t>
  </si>
  <si>
    <t>Ground Floor For Commercial, Entrance Lobby &amp; Parking</t>
  </si>
  <si>
    <t>Shop</t>
  </si>
  <si>
    <r>
      <t xml:space="preserve">Shop No.
</t>
    </r>
    <r>
      <rPr>
        <b/>
        <sz val="11"/>
        <rFont val="Times New Roman"/>
        <family val="1"/>
      </rPr>
      <t>(Approved Plan)</t>
    </r>
  </si>
  <si>
    <t>Wing B</t>
  </si>
  <si>
    <t>1st Floor For Commercial &amp; Residential</t>
  </si>
  <si>
    <t>Office</t>
  </si>
  <si>
    <t>Wing A</t>
  </si>
  <si>
    <t>1BHK</t>
  </si>
  <si>
    <t>1st Floor For Residential</t>
  </si>
  <si>
    <t>3rd to 6th Floor</t>
  </si>
  <si>
    <t>RERA Carpet area</t>
  </si>
  <si>
    <t>Wing A + B Shops</t>
  </si>
  <si>
    <t>Wing B Offices</t>
  </si>
  <si>
    <t>Flats - 141, Shops - 40, Offices - 15</t>
  </si>
  <si>
    <t>650M from Mahad Bus Depot</t>
  </si>
  <si>
    <t>Approved Plans, CC, Sale Plans &amp; Highway Noc.</t>
  </si>
  <si>
    <t>RMV/PEN/RCS/NHD/463/40</t>
  </si>
  <si>
    <t xml:space="preserve">Highway Noc No
</t>
  </si>
  <si>
    <t>2nd Floor For Residential &amp; Hall</t>
  </si>
  <si>
    <t>CA</t>
  </si>
  <si>
    <t>Terrace</t>
  </si>
  <si>
    <t>CA+Terr</t>
  </si>
  <si>
    <t>Panchat Samit to Hwy</t>
  </si>
  <si>
    <t>Internal Rd</t>
  </si>
  <si>
    <t>Open Plot</t>
  </si>
  <si>
    <t>2.5BHK</t>
  </si>
  <si>
    <t>1.5BHK</t>
  </si>
  <si>
    <t>We considered Gross carpet area = Net carpet.</t>
  </si>
  <si>
    <t>The terrace area is shown in the typical floor plan for all flats except for Flat No. 4 to 7 &amp; 17, but as per the site visit dtd 22/05/2024,  we observed that the terrace is used as a closed room on each floor.</t>
  </si>
  <si>
    <t>Remark No. 10:</t>
  </si>
  <si>
    <t>Nitesh patil</t>
  </si>
  <si>
    <t>Mr. Nilesh Mehta 9822355306</t>
  </si>
  <si>
    <t>Mr. Kisan Pawar 8087936630</t>
  </si>
  <si>
    <t>Shruti Tathare</t>
  </si>
  <si>
    <t>Construction work is in process at the time of Visit (Labour found). (Slow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</si>
</sst>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6" xfId="0" applyFont="1" applyFill="1" applyBorder="1"/>
    <xf numFmtId="0" fontId="26" fillId="0" borderId="27"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1"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64" fontId="7" fillId="0" borderId="0" xfId="1" applyNumberFormat="1"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25" fillId="2" borderId="13" xfId="0" applyFont="1" applyFill="1" applyBorder="1"/>
    <xf numFmtId="0" fontId="26" fillId="0" borderId="9" xfId="0" applyFont="1" applyBorder="1"/>
    <xf numFmtId="1" fontId="13"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7" fillId="0" borderId="21"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3" fillId="0" borderId="28"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9"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5"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1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1" applyNumberFormat="1" applyFont="1" applyFill="1" applyBorder="1" applyAlignment="1" applyProtection="1">
      <alignment horizontal="center" vertical="center" wrapText="1"/>
      <protection locked="0"/>
    </xf>
    <xf numFmtId="1" fontId="10" fillId="0" borderId="19" xfId="1" applyNumberFormat="1" applyFont="1" applyFill="1" applyBorder="1" applyAlignment="1" applyProtection="1">
      <alignment horizontal="center" vertical="center" wrapText="1"/>
      <protection locked="0"/>
    </xf>
    <xf numFmtId="1" fontId="10" fillId="0" borderId="9" xfId="1" applyNumberFormat="1" applyFont="1" applyFill="1" applyBorder="1" applyAlignment="1" applyProtection="1">
      <alignment horizontal="center" vertical="center" wrapText="1"/>
      <protection locked="0"/>
    </xf>
    <xf numFmtId="1" fontId="13" fillId="0" borderId="1" xfId="1" applyNumberFormat="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8" fillId="0" borderId="14" xfId="1" applyFont="1" applyBorder="1" applyAlignment="1" applyProtection="1">
      <alignment horizontal="center" vertical="top"/>
      <protection locked="0"/>
    </xf>
    <xf numFmtId="1" fontId="17" fillId="0" borderId="8" xfId="0" applyNumberFormat="1" applyFont="1" applyBorder="1" applyAlignment="1" applyProtection="1">
      <alignment vertical="top" wrapText="1"/>
      <protection locked="0"/>
    </xf>
    <xf numFmtId="1" fontId="17" fillId="0" borderId="19"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0" xfId="0" applyNumberFormat="1" applyFont="1" applyBorder="1" applyAlignment="1" applyProtection="1">
      <alignment horizontal="center" vertical="center" wrapText="1"/>
      <protection locked="0"/>
    </xf>
    <xf numFmtId="1" fontId="8" fillId="0" borderId="31" xfId="0" applyNumberFormat="1" applyFont="1" applyBorder="1" applyAlignment="1" applyProtection="1">
      <alignment horizontal="center" vertical="center" wrapText="1"/>
      <protection locked="0"/>
    </xf>
    <xf numFmtId="1" fontId="10" fillId="0" borderId="31" xfId="0" applyNumberFormat="1"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1" fontId="10" fillId="0" borderId="31" xfId="0" applyNumberFormat="1" applyFont="1" applyBorder="1" applyAlignment="1" applyProtection="1">
      <alignment horizontal="center" vertical="top" wrapText="1"/>
      <protection locked="0"/>
    </xf>
    <xf numFmtId="0" fontId="10" fillId="0" borderId="31" xfId="0"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19"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19"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0" xfId="1" applyFont="1" applyAlignment="1">
      <alignment horizontal="center" vertical="center"/>
    </xf>
    <xf numFmtId="1" fontId="31"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19"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9" fontId="12" fillId="0" borderId="23"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8" fillId="0" borderId="14"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1" fontId="13"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223631</xdr:colOff>
      <xdr:row>13</xdr:row>
      <xdr:rowOff>372724</xdr:rowOff>
    </xdr:from>
    <xdr:to>
      <xdr:col>12</xdr:col>
      <xdr:colOff>270391</xdr:colOff>
      <xdr:row>19</xdr:row>
      <xdr:rowOff>79325</xdr:rowOff>
    </xdr:to>
    <xdr:pic>
      <xdr:nvPicPr>
        <xdr:cNvPr id="2" name="Picture 1"/>
        <xdr:cNvPicPr>
          <a:picLocks noChangeAspect="1"/>
        </xdr:cNvPicPr>
      </xdr:nvPicPr>
      <xdr:blipFill>
        <a:blip xmlns:r="http://schemas.openxmlformats.org/officeDocument/2006/relationships" r:embed="rId1"/>
        <a:stretch>
          <a:fillRect/>
        </a:stretch>
      </xdr:blipFill>
      <xdr:spPr>
        <a:xfrm>
          <a:off x="6543261" y="3337898"/>
          <a:ext cx="3600000" cy="1279054"/>
        </a:xfrm>
        <a:prstGeom prst="rect">
          <a:avLst/>
        </a:prstGeom>
        <a:ln>
          <a:solidFill>
            <a:sysClr val="windowText" lastClr="000000"/>
          </a:solidFill>
        </a:ln>
      </xdr:spPr>
    </xdr:pic>
    <xdr:clientData/>
  </xdr:twoCellAnchor>
  <xdr:twoCellAnchor editAs="oneCell">
    <xdr:from>
      <xdr:col>8</xdr:col>
      <xdr:colOff>198784</xdr:colOff>
      <xdr:row>18</xdr:row>
      <xdr:rowOff>91119</xdr:rowOff>
    </xdr:from>
    <xdr:to>
      <xdr:col>13</xdr:col>
      <xdr:colOff>178697</xdr:colOff>
      <xdr:row>21</xdr:row>
      <xdr:rowOff>260941</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518414" y="4679684"/>
          <a:ext cx="4320000" cy="766170"/>
        </a:xfrm>
        <a:prstGeom prst="rect">
          <a:avLst/>
        </a:prstGeom>
        <a:ln>
          <a:solidFill>
            <a:sysClr val="windowText" lastClr="000000"/>
          </a:solidFill>
        </a:ln>
      </xdr:spPr>
    </xdr:pic>
    <xdr:clientData/>
  </xdr:twoCellAnchor>
  <xdr:twoCellAnchor>
    <xdr:from>
      <xdr:col>0</xdr:col>
      <xdr:colOff>238125</xdr:colOff>
      <xdr:row>338</xdr:row>
      <xdr:rowOff>19050</xdr:rowOff>
    </xdr:from>
    <xdr:to>
      <xdr:col>7</xdr:col>
      <xdr:colOff>549276</xdr:colOff>
      <xdr:row>364</xdr:row>
      <xdr:rowOff>145143</xdr:rowOff>
    </xdr:to>
    <xdr:grpSp>
      <xdr:nvGrpSpPr>
        <xdr:cNvPr id="18" name="Group 17"/>
        <xdr:cNvGrpSpPr/>
      </xdr:nvGrpSpPr>
      <xdr:grpSpPr>
        <a:xfrm>
          <a:off x="238125" y="68399025"/>
          <a:ext cx="5892801" cy="5326743"/>
          <a:chOff x="464456" y="362857"/>
          <a:chExt cx="5892801" cy="5326743"/>
        </a:xfrm>
      </xdr:grpSpPr>
      <xdr:pic>
        <xdr:nvPicPr>
          <xdr:cNvPr id="19" name="Picture 18"/>
          <xdr:cNvPicPr>
            <a:picLocks noChangeAspect="1"/>
          </xdr:cNvPicPr>
        </xdr:nvPicPr>
        <xdr:blipFill rotWithShape="1">
          <a:blip xmlns:r="http://schemas.openxmlformats.org/officeDocument/2006/relationships" r:embed="rId3"/>
          <a:srcRect l="410" t="770" r="384" b="806"/>
          <a:stretch/>
        </xdr:blipFill>
        <xdr:spPr>
          <a:xfrm>
            <a:off x="464456" y="362857"/>
            <a:ext cx="5892801" cy="5326743"/>
          </a:xfrm>
          <a:prstGeom prst="rect">
            <a:avLst/>
          </a:prstGeom>
          <a:ln>
            <a:solidFill>
              <a:sysClr val="windowText" lastClr="000000"/>
            </a:solidFill>
          </a:ln>
        </xdr:spPr>
      </xdr:pic>
      <xdr:sp macro="" textlink="">
        <xdr:nvSpPr>
          <xdr:cNvPr id="20" name="Rectangle 19"/>
          <xdr:cNvSpPr/>
        </xdr:nvSpPr>
        <xdr:spPr>
          <a:xfrm rot="21097509">
            <a:off x="1234933" y="1116448"/>
            <a:ext cx="2234427" cy="137718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Rectangle 20"/>
          <xdr:cNvSpPr/>
        </xdr:nvSpPr>
        <xdr:spPr>
          <a:xfrm rot="21097509">
            <a:off x="1573433" y="2578322"/>
            <a:ext cx="2086599" cy="148223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2" name="TextBox 4"/>
          <xdr:cNvSpPr txBox="1"/>
        </xdr:nvSpPr>
        <xdr:spPr>
          <a:xfrm rot="21042092">
            <a:off x="2376230" y="52342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3" name="TextBox 5"/>
          <xdr:cNvSpPr txBox="1"/>
        </xdr:nvSpPr>
        <xdr:spPr>
          <a:xfrm rot="21042092">
            <a:off x="2977113" y="4019946"/>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xdr:from>
      <xdr:col>1</xdr:col>
      <xdr:colOff>19050</xdr:colOff>
      <xdr:row>411</xdr:row>
      <xdr:rowOff>28575</xdr:rowOff>
    </xdr:from>
    <xdr:to>
      <xdr:col>7</xdr:col>
      <xdr:colOff>76201</xdr:colOff>
      <xdr:row>447</xdr:row>
      <xdr:rowOff>122222</xdr:rowOff>
    </xdr:to>
    <xdr:grpSp>
      <xdr:nvGrpSpPr>
        <xdr:cNvPr id="24" name="Group 23"/>
        <xdr:cNvGrpSpPr/>
      </xdr:nvGrpSpPr>
      <xdr:grpSpPr>
        <a:xfrm>
          <a:off x="781050" y="83010375"/>
          <a:ext cx="4876801" cy="7294547"/>
          <a:chOff x="970133" y="322168"/>
          <a:chExt cx="4876801" cy="7294547"/>
        </a:xfrm>
      </xdr:grpSpPr>
      <xdr:pic>
        <xdr:nvPicPr>
          <xdr:cNvPr id="25" name="Picture 24"/>
          <xdr:cNvPicPr>
            <a:picLocks noChangeAspect="1"/>
          </xdr:cNvPicPr>
        </xdr:nvPicPr>
        <xdr:blipFill>
          <a:blip xmlns:r="http://schemas.openxmlformats.org/officeDocument/2006/relationships" r:embed="rId4"/>
          <a:stretch>
            <a:fillRect/>
          </a:stretch>
        </xdr:blipFill>
        <xdr:spPr>
          <a:xfrm>
            <a:off x="1827384" y="322168"/>
            <a:ext cx="3162300" cy="3476625"/>
          </a:xfrm>
          <a:prstGeom prst="rect">
            <a:avLst/>
          </a:prstGeom>
          <a:ln>
            <a:solidFill>
              <a:schemeClr val="tx1"/>
            </a:solidFill>
          </a:ln>
        </xdr:spPr>
      </xdr:pic>
      <xdr:grpSp>
        <xdr:nvGrpSpPr>
          <xdr:cNvPr id="26" name="Group 25"/>
          <xdr:cNvGrpSpPr/>
        </xdr:nvGrpSpPr>
        <xdr:grpSpPr>
          <a:xfrm>
            <a:off x="970133" y="3959115"/>
            <a:ext cx="4876801" cy="3657600"/>
            <a:chOff x="1553028" y="2336800"/>
            <a:chExt cx="4876801" cy="3657600"/>
          </a:xfrm>
        </xdr:grpSpPr>
        <xdr:pic>
          <xdr:nvPicPr>
            <xdr:cNvPr id="27" name="Picture 26"/>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553028" y="2336800"/>
              <a:ext cx="4876801" cy="3657600"/>
            </a:xfrm>
            <a:prstGeom prst="rect">
              <a:avLst/>
            </a:prstGeom>
            <a:ln>
              <a:solidFill>
                <a:schemeClr val="tx1"/>
              </a:solidFill>
            </a:ln>
          </xdr:spPr>
        </xdr:pic>
        <xdr:sp macro="" textlink="">
          <xdr:nvSpPr>
            <xdr:cNvPr id="28" name="Rectangle 27"/>
            <xdr:cNvSpPr/>
          </xdr:nvSpPr>
          <xdr:spPr>
            <a:xfrm rot="877351">
              <a:off x="3429000" y="3468914"/>
              <a:ext cx="1306286" cy="1393372"/>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0</xdr:col>
      <xdr:colOff>49695</xdr:colOff>
      <xdr:row>374</xdr:row>
      <xdr:rowOff>190500</xdr:rowOff>
    </xdr:from>
    <xdr:to>
      <xdr:col>4</xdr:col>
      <xdr:colOff>770474</xdr:colOff>
      <xdr:row>388</xdr:row>
      <xdr:rowOff>107544</xdr:rowOff>
    </xdr:to>
    <xdr:pic>
      <xdr:nvPicPr>
        <xdr:cNvPr id="35" name="Picture 34"/>
        <xdr:cNvPicPr>
          <a:picLocks noChangeAspect="1"/>
        </xdr:cNvPicPr>
      </xdr:nvPicPr>
      <xdr:blipFill rotWithShape="1">
        <a:blip xmlns:r="http://schemas.openxmlformats.org/officeDocument/2006/relationships" r:embed="rId6"/>
        <a:srcRect l="7866" t="11792" r="24242" b="7547"/>
        <a:stretch/>
      </xdr:blipFill>
      <xdr:spPr>
        <a:xfrm>
          <a:off x="49695" y="78560543"/>
          <a:ext cx="4042105" cy="2700000"/>
        </a:xfrm>
        <a:prstGeom prst="rect">
          <a:avLst/>
        </a:prstGeom>
        <a:ln>
          <a:solidFill>
            <a:schemeClr val="tx1"/>
          </a:solidFill>
        </a:ln>
      </xdr:spPr>
    </xdr:pic>
    <xdr:clientData/>
  </xdr:twoCellAnchor>
  <xdr:twoCellAnchor>
    <xdr:from>
      <xdr:col>1</xdr:col>
      <xdr:colOff>8282</xdr:colOff>
      <xdr:row>384</xdr:row>
      <xdr:rowOff>57978</xdr:rowOff>
    </xdr:from>
    <xdr:to>
      <xdr:col>1</xdr:col>
      <xdr:colOff>347870</xdr:colOff>
      <xdr:row>386</xdr:row>
      <xdr:rowOff>91108</xdr:rowOff>
    </xdr:to>
    <xdr:sp macro="" textlink="">
      <xdr:nvSpPr>
        <xdr:cNvPr id="17" name="Rectangle 16"/>
        <xdr:cNvSpPr/>
      </xdr:nvSpPr>
      <xdr:spPr>
        <a:xfrm>
          <a:off x="770282" y="80415848"/>
          <a:ext cx="339588" cy="430695"/>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5</xdr:col>
      <xdr:colOff>91109</xdr:colOff>
      <xdr:row>374</xdr:row>
      <xdr:rowOff>190501</xdr:rowOff>
    </xdr:from>
    <xdr:to>
      <xdr:col>7</xdr:col>
      <xdr:colOff>630710</xdr:colOff>
      <xdr:row>388</xdr:row>
      <xdr:rowOff>107545</xdr:rowOff>
    </xdr:to>
    <xdr:pic>
      <xdr:nvPicPr>
        <xdr:cNvPr id="37" name="Picture 36" descr="insp-187803-843.jpg (719×960)"/>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191000" y="78560544"/>
          <a:ext cx="2022188" cy="27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528286</xdr:colOff>
      <xdr:row>379</xdr:row>
      <xdr:rowOff>118017</xdr:rowOff>
    </xdr:from>
    <xdr:to>
      <xdr:col>5</xdr:col>
      <xdr:colOff>712976</xdr:colOff>
      <xdr:row>383</xdr:row>
      <xdr:rowOff>102498</xdr:rowOff>
    </xdr:to>
    <xdr:sp macro="" textlink="">
      <xdr:nvSpPr>
        <xdr:cNvPr id="38" name="Rectangle 37"/>
        <xdr:cNvSpPr/>
      </xdr:nvSpPr>
      <xdr:spPr>
        <a:xfrm rot="223493">
          <a:off x="4628177" y="79481974"/>
          <a:ext cx="184690" cy="7796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4</xdr:col>
      <xdr:colOff>662609</xdr:colOff>
      <xdr:row>389</xdr:row>
      <xdr:rowOff>8282</xdr:rowOff>
    </xdr:from>
    <xdr:to>
      <xdr:col>7</xdr:col>
      <xdr:colOff>670892</xdr:colOff>
      <xdr:row>401</xdr:row>
      <xdr:rowOff>142891</xdr:rowOff>
    </xdr:to>
    <xdr:pic>
      <xdr:nvPicPr>
        <xdr:cNvPr id="39" name="Picture 38"/>
        <xdr:cNvPicPr>
          <a:picLocks noChangeAspect="1"/>
        </xdr:cNvPicPr>
      </xdr:nvPicPr>
      <xdr:blipFill rotWithShape="1">
        <a:blip xmlns:r="http://schemas.openxmlformats.org/officeDocument/2006/relationships" r:embed="rId8"/>
        <a:srcRect l="18740" t="11321" r="44719" b="16510"/>
        <a:stretch/>
      </xdr:blipFill>
      <xdr:spPr>
        <a:xfrm>
          <a:off x="3983935" y="81360065"/>
          <a:ext cx="2269435" cy="2520000"/>
        </a:xfrm>
        <a:prstGeom prst="rect">
          <a:avLst/>
        </a:prstGeom>
        <a:ln>
          <a:solidFill>
            <a:schemeClr val="tx1"/>
          </a:solidFill>
        </a:ln>
      </xdr:spPr>
    </xdr:pic>
    <xdr:clientData/>
  </xdr:twoCellAnchor>
  <xdr:twoCellAnchor editAs="oneCell">
    <xdr:from>
      <xdr:col>0</xdr:col>
      <xdr:colOff>74546</xdr:colOff>
      <xdr:row>389</xdr:row>
      <xdr:rowOff>8283</xdr:rowOff>
    </xdr:from>
    <xdr:to>
      <xdr:col>4</xdr:col>
      <xdr:colOff>586351</xdr:colOff>
      <xdr:row>401</xdr:row>
      <xdr:rowOff>142892</xdr:rowOff>
    </xdr:to>
    <xdr:pic>
      <xdr:nvPicPr>
        <xdr:cNvPr id="40" name="Picture 39"/>
        <xdr:cNvPicPr>
          <a:picLocks noChangeAspect="1"/>
        </xdr:cNvPicPr>
      </xdr:nvPicPr>
      <xdr:blipFill rotWithShape="1">
        <a:blip xmlns:r="http://schemas.openxmlformats.org/officeDocument/2006/relationships" r:embed="rId9"/>
        <a:srcRect l="9325" t="13444" r="23712" b="8255"/>
        <a:stretch/>
      </xdr:blipFill>
      <xdr:spPr>
        <a:xfrm>
          <a:off x="74546" y="81360066"/>
          <a:ext cx="3833131" cy="2520000"/>
        </a:xfrm>
        <a:prstGeom prst="rect">
          <a:avLst/>
        </a:prstGeom>
        <a:ln>
          <a:solidFill>
            <a:schemeClr val="tx1"/>
          </a:solidFill>
        </a:ln>
      </xdr:spPr>
    </xdr:pic>
    <xdr:clientData/>
  </xdr:twoCellAnchor>
  <xdr:twoCellAnchor>
    <xdr:from>
      <xdr:col>0</xdr:col>
      <xdr:colOff>298174</xdr:colOff>
      <xdr:row>397</xdr:row>
      <xdr:rowOff>173935</xdr:rowOff>
    </xdr:from>
    <xdr:to>
      <xdr:col>0</xdr:col>
      <xdr:colOff>571500</xdr:colOff>
      <xdr:row>399</xdr:row>
      <xdr:rowOff>115956</xdr:rowOff>
    </xdr:to>
    <xdr:sp macro="" textlink="">
      <xdr:nvSpPr>
        <xdr:cNvPr id="41" name="Rectangle 40"/>
        <xdr:cNvSpPr/>
      </xdr:nvSpPr>
      <xdr:spPr>
        <a:xfrm>
          <a:off x="298174" y="83115978"/>
          <a:ext cx="273326" cy="339587"/>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xdr:col>
      <xdr:colOff>380999</xdr:colOff>
      <xdr:row>397</xdr:row>
      <xdr:rowOff>190501</xdr:rowOff>
    </xdr:from>
    <xdr:to>
      <xdr:col>2</xdr:col>
      <xdr:colOff>612912</xdr:colOff>
      <xdr:row>399</xdr:row>
      <xdr:rowOff>115957</xdr:rowOff>
    </xdr:to>
    <xdr:sp macro="" textlink="">
      <xdr:nvSpPr>
        <xdr:cNvPr id="42" name="Rectangle 41"/>
        <xdr:cNvSpPr/>
      </xdr:nvSpPr>
      <xdr:spPr>
        <a:xfrm>
          <a:off x="1946412" y="83132544"/>
          <a:ext cx="231913" cy="323022"/>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6</xdr:col>
      <xdr:colOff>595993</xdr:colOff>
      <xdr:row>391</xdr:row>
      <xdr:rowOff>82091</xdr:rowOff>
    </xdr:from>
    <xdr:to>
      <xdr:col>7</xdr:col>
      <xdr:colOff>24848</xdr:colOff>
      <xdr:row>399</xdr:row>
      <xdr:rowOff>24847</xdr:rowOff>
    </xdr:to>
    <xdr:sp macro="" textlink="">
      <xdr:nvSpPr>
        <xdr:cNvPr id="44" name="Rectangle 43"/>
        <xdr:cNvSpPr/>
      </xdr:nvSpPr>
      <xdr:spPr>
        <a:xfrm>
          <a:off x="5441319" y="81831439"/>
          <a:ext cx="166007" cy="153301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5</xdr:col>
      <xdr:colOff>174295</xdr:colOff>
      <xdr:row>391</xdr:row>
      <xdr:rowOff>87614</xdr:rowOff>
    </xdr:from>
    <xdr:to>
      <xdr:col>5</xdr:col>
      <xdr:colOff>336344</xdr:colOff>
      <xdr:row>399</xdr:row>
      <xdr:rowOff>13071</xdr:rowOff>
    </xdr:to>
    <xdr:sp macro="" textlink="">
      <xdr:nvSpPr>
        <xdr:cNvPr id="45" name="Rectangle 44"/>
        <xdr:cNvSpPr/>
      </xdr:nvSpPr>
      <xdr:spPr>
        <a:xfrm rot="210688">
          <a:off x="4274186" y="81836962"/>
          <a:ext cx="162049" cy="15157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9</xdr:col>
      <xdr:colOff>0</xdr:colOff>
      <xdr:row>295</xdr:row>
      <xdr:rowOff>0</xdr:rowOff>
    </xdr:from>
    <xdr:to>
      <xdr:col>10</xdr:col>
      <xdr:colOff>88900</xdr:colOff>
      <xdr:row>297</xdr:row>
      <xdr:rowOff>57150</xdr:rowOff>
    </xdr:to>
    <xdr:sp macro="" textlink="">
      <xdr:nvSpPr>
        <xdr:cNvPr id="36" name="Rectangle 35"/>
        <xdr:cNvSpPr/>
      </xdr:nvSpPr>
      <xdr:spPr>
        <a:xfrm>
          <a:off x="8089900" y="58953400"/>
          <a:ext cx="889000" cy="444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Wing A</a:t>
          </a:r>
        </a:p>
      </xdr:txBody>
    </xdr:sp>
    <xdr:clientData/>
  </xdr:twoCellAnchor>
  <xdr:twoCellAnchor>
    <xdr:from>
      <xdr:col>0</xdr:col>
      <xdr:colOff>76200</xdr:colOff>
      <xdr:row>294</xdr:row>
      <xdr:rowOff>120650</xdr:rowOff>
    </xdr:from>
    <xdr:to>
      <xdr:col>7</xdr:col>
      <xdr:colOff>911224</xdr:colOff>
      <xdr:row>332</xdr:row>
      <xdr:rowOff>95251</xdr:rowOff>
    </xdr:to>
    <xdr:grpSp>
      <xdr:nvGrpSpPr>
        <xdr:cNvPr id="7" name="Group 6"/>
        <xdr:cNvGrpSpPr/>
      </xdr:nvGrpSpPr>
      <xdr:grpSpPr>
        <a:xfrm>
          <a:off x="76200" y="59709050"/>
          <a:ext cx="6416674" cy="7566026"/>
          <a:chOff x="76200" y="59709050"/>
          <a:chExt cx="6416674" cy="7566026"/>
        </a:xfrm>
      </xdr:grpSpPr>
      <xdr:pic>
        <xdr:nvPicPr>
          <xdr:cNvPr id="52" name="Picture 51" descr="https://vsjcllp.vsjadon.com/upload/insp-239989-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343275" y="6511290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9989-847.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652248" y="65112900"/>
            <a:ext cx="1619380" cy="21621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39989-85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76200" y="59709050"/>
            <a:ext cx="4058354" cy="304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39989-86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68739" y="62855474"/>
            <a:ext cx="1626514" cy="21717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39989-880.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4210049" y="59712225"/>
            <a:ext cx="2282825" cy="3048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39989-88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864189" y="62855474"/>
            <a:ext cx="1626514" cy="21717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9" name="Rectangle 58"/>
          <xdr:cNvSpPr/>
        </xdr:nvSpPr>
        <xdr:spPr>
          <a:xfrm>
            <a:off x="238125" y="60452000"/>
            <a:ext cx="913100" cy="451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ysClr val="windowText" lastClr="000000"/>
                </a:solidFill>
              </a:rPr>
              <a:t>Wing A</a:t>
            </a:r>
          </a:p>
        </xdr:txBody>
      </xdr:sp>
      <xdr:sp macro="" textlink="">
        <xdr:nvSpPr>
          <xdr:cNvPr id="64" name="Rectangle 63"/>
          <xdr:cNvSpPr/>
        </xdr:nvSpPr>
        <xdr:spPr>
          <a:xfrm>
            <a:off x="2886075" y="59842400"/>
            <a:ext cx="913100" cy="4515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ysClr val="windowText" lastClr="000000"/>
                </a:solidFill>
              </a:rPr>
              <a:t>Wing B</a:t>
            </a:r>
          </a:p>
        </xdr:txBody>
      </xdr:sp>
      <xdr:pic>
        <xdr:nvPicPr>
          <xdr:cNvPr id="65" name="Picture 64" descr="https://vsjcllp.vsjadon.com/upload/insp-239989-94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62350" y="62855474"/>
            <a:ext cx="2875999" cy="2181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1rj3WYjaL857MC3z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10"/>
  <sheetViews>
    <sheetView tabSelected="1" view="pageBreakPreview" zoomScaleNormal="100" zoomScaleSheetLayoutView="100" zoomScalePageLayoutView="85" workbookViewId="0">
      <selection activeCell="I11" sqref="I11"/>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7" width="11" style="37" customWidth="1"/>
    <col min="8" max="8" width="14.5703125"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94" t="s">
        <v>161</v>
      </c>
      <c r="B1" s="194"/>
      <c r="C1" s="194"/>
      <c r="D1" s="194"/>
      <c r="E1" s="194"/>
      <c r="F1" s="194"/>
      <c r="G1" s="194"/>
      <c r="H1" s="194"/>
    </row>
    <row r="2" spans="1:26" ht="16.5" customHeight="1" x14ac:dyDescent="0.25">
      <c r="A2" s="154" t="s">
        <v>0</v>
      </c>
      <c r="B2" s="154"/>
      <c r="C2" s="154"/>
      <c r="D2" s="154"/>
      <c r="E2" s="154"/>
      <c r="F2" s="154"/>
      <c r="G2" s="154"/>
      <c r="H2" s="154"/>
    </row>
    <row r="3" spans="1:26" x14ac:dyDescent="0.25">
      <c r="A3" s="108" t="s">
        <v>1</v>
      </c>
      <c r="B3" s="108"/>
      <c r="C3" s="108"/>
      <c r="D3" s="108"/>
      <c r="E3" s="108" t="str">
        <f ca="1">TEXT(TODAY(),"DD/MM/YYYY")</f>
        <v>15/07/2025</v>
      </c>
      <c r="F3" s="108"/>
      <c r="G3" s="108"/>
      <c r="H3" s="108"/>
      <c r="K3" s="52" t="s">
        <v>235</v>
      </c>
      <c r="L3" s="49" t="s">
        <v>233</v>
      </c>
      <c r="M3" s="49" t="s">
        <v>238</v>
      </c>
      <c r="N3" s="49" t="s">
        <v>236</v>
      </c>
      <c r="O3" s="49" t="s">
        <v>237</v>
      </c>
      <c r="P3" s="49" t="s">
        <v>239</v>
      </c>
    </row>
    <row r="4" spans="1:26" ht="15" customHeight="1" x14ac:dyDescent="0.25">
      <c r="A4" s="108" t="s">
        <v>232</v>
      </c>
      <c r="B4" s="108"/>
      <c r="C4" s="108"/>
      <c r="D4" s="108"/>
      <c r="E4" s="108" t="s">
        <v>233</v>
      </c>
      <c r="F4" s="108"/>
      <c r="G4" s="108"/>
      <c r="H4" s="108"/>
      <c r="K4" s="48" t="s">
        <v>234</v>
      </c>
      <c r="L4" s="49" t="s">
        <v>167</v>
      </c>
      <c r="M4" s="49" t="s">
        <v>243</v>
      </c>
      <c r="N4" s="49" t="s">
        <v>245</v>
      </c>
      <c r="O4" s="49" t="s">
        <v>247</v>
      </c>
      <c r="P4" s="49"/>
    </row>
    <row r="5" spans="1:26" ht="15" customHeight="1" x14ac:dyDescent="0.25">
      <c r="A5" s="108" t="s">
        <v>2</v>
      </c>
      <c r="B5" s="108"/>
      <c r="C5" s="108"/>
      <c r="D5" s="108"/>
      <c r="E5" s="108" t="s">
        <v>241</v>
      </c>
      <c r="F5" s="108"/>
      <c r="G5" s="108"/>
      <c r="H5" s="108"/>
      <c r="K5" s="48"/>
      <c r="L5" s="49" t="s">
        <v>240</v>
      </c>
      <c r="M5" s="49" t="s">
        <v>244</v>
      </c>
      <c r="N5" s="49" t="s">
        <v>246</v>
      </c>
      <c r="O5" s="49" t="s">
        <v>248</v>
      </c>
      <c r="P5" s="49"/>
    </row>
    <row r="6" spans="1:26" x14ac:dyDescent="0.25">
      <c r="A6" s="108" t="s">
        <v>3</v>
      </c>
      <c r="B6" s="108"/>
      <c r="C6" s="108"/>
      <c r="D6" s="108"/>
      <c r="E6" s="196">
        <v>45848</v>
      </c>
      <c r="F6" s="108"/>
      <c r="G6" s="108"/>
      <c r="H6" s="108"/>
      <c r="K6" s="48"/>
      <c r="L6" s="49" t="s">
        <v>241</v>
      </c>
      <c r="M6" s="49"/>
      <c r="N6" s="49"/>
      <c r="O6" s="49" t="s">
        <v>249</v>
      </c>
      <c r="P6" s="49"/>
    </row>
    <row r="7" spans="1:26" ht="16.5" customHeight="1" x14ac:dyDescent="0.25">
      <c r="A7" s="108" t="s">
        <v>301</v>
      </c>
      <c r="B7" s="108"/>
      <c r="C7" s="108"/>
      <c r="D7" s="108"/>
      <c r="E7" s="108" t="s">
        <v>300</v>
      </c>
      <c r="F7" s="108"/>
      <c r="G7" s="108"/>
      <c r="H7" s="108"/>
      <c r="K7" s="48"/>
      <c r="L7" s="49" t="s">
        <v>242</v>
      </c>
      <c r="M7" s="49"/>
      <c r="N7" s="49"/>
      <c r="O7" s="49" t="s">
        <v>249</v>
      </c>
      <c r="P7" s="49"/>
    </row>
    <row r="8" spans="1:26" ht="15" customHeight="1" x14ac:dyDescent="0.25">
      <c r="A8" s="108" t="s">
        <v>4</v>
      </c>
      <c r="B8" s="108"/>
      <c r="C8" s="108"/>
      <c r="D8" s="108"/>
      <c r="E8" s="108" t="s">
        <v>302</v>
      </c>
      <c r="F8" s="108"/>
      <c r="G8" s="108"/>
      <c r="H8" s="108"/>
      <c r="K8" s="48"/>
      <c r="L8" s="49"/>
      <c r="M8" s="49"/>
      <c r="N8" s="49"/>
      <c r="O8" s="49" t="s">
        <v>250</v>
      </c>
      <c r="P8" s="49"/>
    </row>
    <row r="9" spans="1:26" x14ac:dyDescent="0.25">
      <c r="A9" s="108" t="s">
        <v>5</v>
      </c>
      <c r="B9" s="108"/>
      <c r="C9" s="108"/>
      <c r="D9" s="108"/>
      <c r="E9" s="195" t="s">
        <v>303</v>
      </c>
      <c r="F9" s="195"/>
      <c r="G9" s="195"/>
      <c r="H9" s="195"/>
      <c r="K9" s="48"/>
      <c r="L9" s="49"/>
      <c r="M9" s="49"/>
      <c r="N9" s="49"/>
      <c r="O9" s="49" t="s">
        <v>251</v>
      </c>
      <c r="P9" s="49"/>
    </row>
    <row r="10" spans="1:26" x14ac:dyDescent="0.25">
      <c r="A10" s="108" t="s">
        <v>164</v>
      </c>
      <c r="B10" s="108"/>
      <c r="C10" s="108"/>
      <c r="D10" s="108"/>
      <c r="E10" s="100" t="s">
        <v>358</v>
      </c>
      <c r="F10" s="108"/>
      <c r="G10" s="108"/>
      <c r="H10" s="108"/>
      <c r="K10" s="48"/>
      <c r="L10" s="49"/>
      <c r="M10" s="49"/>
      <c r="N10" s="49"/>
      <c r="O10" s="49"/>
      <c r="P10" s="49"/>
    </row>
    <row r="11" spans="1:26" x14ac:dyDescent="0.25">
      <c r="A11" s="108" t="s">
        <v>165</v>
      </c>
      <c r="B11" s="108"/>
      <c r="C11" s="108"/>
      <c r="D11" s="108"/>
      <c r="E11" s="108" t="s">
        <v>359</v>
      </c>
      <c r="F11" s="108"/>
      <c r="G11" s="108"/>
      <c r="H11" s="108"/>
    </row>
    <row r="12" spans="1:26" x14ac:dyDescent="0.25">
      <c r="A12" s="108" t="s">
        <v>6</v>
      </c>
      <c r="B12" s="108"/>
      <c r="C12" s="108"/>
      <c r="D12" s="108"/>
      <c r="E12" s="108" t="s">
        <v>315</v>
      </c>
      <c r="F12" s="108"/>
      <c r="G12" s="108"/>
      <c r="H12" s="108"/>
    </row>
    <row r="13" spans="1:26" x14ac:dyDescent="0.25">
      <c r="A13" s="108" t="s">
        <v>168</v>
      </c>
      <c r="B13" s="108"/>
      <c r="C13" s="108"/>
      <c r="D13" s="108"/>
      <c r="E13" s="108" t="s">
        <v>27</v>
      </c>
      <c r="F13" s="108"/>
      <c r="G13" s="108"/>
      <c r="H13" s="108"/>
      <c r="S13" s="49" t="s">
        <v>176</v>
      </c>
      <c r="T13" s="49" t="s">
        <v>186</v>
      </c>
      <c r="U13" s="49" t="s">
        <v>169</v>
      </c>
      <c r="V13" s="49" t="s">
        <v>191</v>
      </c>
      <c r="W13" s="49" t="s">
        <v>209</v>
      </c>
      <c r="X13"/>
      <c r="Y13" t="s">
        <v>191</v>
      </c>
      <c r="Z13" t="e">
        <f ca="1">OFFSET($S$13,1,MATCH($G20,$S$13:$W$13,0)-1,15,1)</f>
        <v>#VALUE!</v>
      </c>
    </row>
    <row r="14" spans="1:26" x14ac:dyDescent="0.25">
      <c r="A14" s="93" t="s">
        <v>278</v>
      </c>
      <c r="B14" s="93"/>
      <c r="C14" s="93"/>
      <c r="D14" s="93"/>
      <c r="E14" s="100" t="s">
        <v>342</v>
      </c>
      <c r="F14" s="100"/>
      <c r="G14" s="100"/>
      <c r="H14" s="100"/>
      <c r="S14" s="49" t="s">
        <v>177</v>
      </c>
      <c r="T14" s="49" t="s">
        <v>184</v>
      </c>
      <c r="U14" s="49" t="s">
        <v>206</v>
      </c>
      <c r="V14" s="49" t="s">
        <v>192</v>
      </c>
      <c r="W14" s="49" t="s">
        <v>210</v>
      </c>
      <c r="X14"/>
      <c r="Y14"/>
      <c r="Z14"/>
    </row>
    <row r="15" spans="1:26" x14ac:dyDescent="0.25">
      <c r="A15" s="93" t="s">
        <v>7</v>
      </c>
      <c r="B15" s="93"/>
      <c r="C15" s="93"/>
      <c r="D15" s="93"/>
      <c r="E15" s="100" t="s">
        <v>304</v>
      </c>
      <c r="F15" s="108"/>
      <c r="G15" s="108"/>
      <c r="H15" s="108"/>
      <c r="I15" s="88" t="e">
        <f ca="1">OFFSET($D$5,1,MATCH($J13,$D$5:$H$5,0)-1,15,1)</f>
        <v>#N/A</v>
      </c>
      <c r="J15" s="89"/>
      <c r="K15" s="89"/>
      <c r="L15" s="89"/>
      <c r="M15" s="89"/>
      <c r="N15" s="89"/>
      <c r="O15" s="89"/>
      <c r="P15" s="89"/>
      <c r="S15" s="49" t="s">
        <v>178</v>
      </c>
      <c r="T15" s="49" t="s">
        <v>185</v>
      </c>
      <c r="U15" s="49" t="s">
        <v>207</v>
      </c>
      <c r="V15" s="49" t="s">
        <v>193</v>
      </c>
      <c r="W15" s="49" t="s">
        <v>223</v>
      </c>
      <c r="X15"/>
      <c r="Y15"/>
      <c r="Z15"/>
    </row>
    <row r="16" spans="1:26" ht="32.25" customHeight="1" x14ac:dyDescent="0.25">
      <c r="A16" s="191" t="s">
        <v>8</v>
      </c>
      <c r="B16" s="191"/>
      <c r="C16" s="191" t="str">
        <f>CONCATENATE((IF(OR(E9="",E9="NA"),"",E9)),", ",(IF(OR(A17="",A17="NA"),"",A17)),".",(IF(OR(C17="",C17="NA"),"",C17)),", near ",(IF(OR(C22="",C22="NA"),"",C22)),", ",(IF(OR(C19="",C19="NA"),"",C19)),", ",(IF(OR(C18="",C18="NA"),"",C18)),", ",(IF(OR(G19="",G19="NA"),"",G19)),", ",(IF(OR(C20="",C20="NA"),"",C20)),", ",(IF(OR(C21="",C21="NA"),"",C21)),", ",(IF(OR(G20="",G20="NA"),"",G20))," - ",(IF(OR(G21="",G21="NA"),"",G21)),".")</f>
        <v>Siya 24 K Phase II, Survey No.79/3, 79/4, 79/5, near Panchayat Samiti Office, Panchat Samit to Hwy, Kakartale, Mahad, Mahad, Mahad, Raigad - 402301.</v>
      </c>
      <c r="D16" s="191"/>
      <c r="E16" s="191"/>
      <c r="F16" s="191"/>
      <c r="G16" s="191"/>
      <c r="H16" s="191"/>
      <c r="S16" s="49" t="s">
        <v>179</v>
      </c>
      <c r="T16" s="49" t="s">
        <v>187</v>
      </c>
      <c r="U16" s="49" t="s">
        <v>208</v>
      </c>
      <c r="V16" s="49" t="s">
        <v>194</v>
      </c>
      <c r="W16" s="49" t="s">
        <v>211</v>
      </c>
      <c r="X16"/>
      <c r="Y16"/>
      <c r="Z16"/>
    </row>
    <row r="17" spans="1:26" x14ac:dyDescent="0.25">
      <c r="A17" s="100" t="s">
        <v>305</v>
      </c>
      <c r="B17" s="100"/>
      <c r="C17" s="100" t="s">
        <v>306</v>
      </c>
      <c r="D17" s="100"/>
      <c r="E17" s="100"/>
      <c r="F17" s="100"/>
      <c r="G17" s="100"/>
      <c r="H17" s="100"/>
      <c r="S17" s="49" t="s">
        <v>180</v>
      </c>
      <c r="T17" s="49" t="s">
        <v>188</v>
      </c>
      <c r="U17" s="49" t="s">
        <v>169</v>
      </c>
      <c r="V17" s="49" t="s">
        <v>195</v>
      </c>
      <c r="W17" s="49" t="s">
        <v>212</v>
      </c>
      <c r="X17"/>
      <c r="Y17"/>
      <c r="Z17"/>
    </row>
    <row r="18" spans="1:26" ht="15.75" customHeight="1" x14ac:dyDescent="0.25">
      <c r="A18" s="100" t="s">
        <v>159</v>
      </c>
      <c r="B18" s="100"/>
      <c r="C18" s="100" t="s">
        <v>307</v>
      </c>
      <c r="D18" s="100"/>
      <c r="E18" s="100"/>
      <c r="F18" s="100"/>
      <c r="G18" s="100"/>
      <c r="H18" s="100"/>
      <c r="S18" s="49" t="s">
        <v>181</v>
      </c>
      <c r="T18" s="49" t="s">
        <v>186</v>
      </c>
      <c r="U18" s="49"/>
      <c r="V18" s="49" t="s">
        <v>196</v>
      </c>
      <c r="W18" s="49" t="s">
        <v>213</v>
      </c>
      <c r="X18"/>
      <c r="Y18"/>
      <c r="Z18"/>
    </row>
    <row r="19" spans="1:26" ht="15.75" customHeight="1" x14ac:dyDescent="0.25">
      <c r="A19" s="191" t="s">
        <v>9</v>
      </c>
      <c r="B19" s="191"/>
      <c r="C19" s="108" t="s">
        <v>349</v>
      </c>
      <c r="D19" s="108"/>
      <c r="E19" s="100" t="s">
        <v>69</v>
      </c>
      <c r="F19" s="100"/>
      <c r="G19" s="100" t="s">
        <v>199</v>
      </c>
      <c r="H19" s="100"/>
      <c r="S19" s="49" t="s">
        <v>182</v>
      </c>
      <c r="T19" s="49" t="s">
        <v>189</v>
      </c>
      <c r="U19" s="49"/>
      <c r="V19" s="49" t="s">
        <v>197</v>
      </c>
      <c r="W19" s="49" t="s">
        <v>214</v>
      </c>
      <c r="X19"/>
      <c r="Y19"/>
      <c r="Z19"/>
    </row>
    <row r="20" spans="1:26" x14ac:dyDescent="0.25">
      <c r="A20" s="93" t="s">
        <v>11</v>
      </c>
      <c r="B20" s="93"/>
      <c r="C20" s="100" t="s">
        <v>199</v>
      </c>
      <c r="D20" s="100"/>
      <c r="E20" s="100" t="s">
        <v>10</v>
      </c>
      <c r="F20" s="100"/>
      <c r="G20" s="197" t="s">
        <v>191</v>
      </c>
      <c r="H20" s="197"/>
      <c r="S20" s="49" t="s">
        <v>183</v>
      </c>
      <c r="T20" s="49" t="s">
        <v>190</v>
      </c>
      <c r="U20" s="49"/>
      <c r="V20" s="49" t="s">
        <v>198</v>
      </c>
      <c r="W20" s="49" t="s">
        <v>215</v>
      </c>
      <c r="X20"/>
      <c r="Y20"/>
      <c r="Z20"/>
    </row>
    <row r="21" spans="1:26" x14ac:dyDescent="0.25">
      <c r="A21" s="93" t="s">
        <v>70</v>
      </c>
      <c r="B21" s="93"/>
      <c r="C21" s="100" t="s">
        <v>199</v>
      </c>
      <c r="D21" s="100"/>
      <c r="E21" s="100" t="s">
        <v>12</v>
      </c>
      <c r="F21" s="100"/>
      <c r="G21" s="100">
        <v>402301</v>
      </c>
      <c r="H21" s="100"/>
      <c r="S21" s="49"/>
      <c r="T21" s="49"/>
      <c r="U21" s="49"/>
      <c r="V21" s="49" t="s">
        <v>199</v>
      </c>
      <c r="W21" s="49" t="s">
        <v>216</v>
      </c>
      <c r="X21"/>
      <c r="Y21"/>
      <c r="Z21"/>
    </row>
    <row r="22" spans="1:26" ht="32.25" customHeight="1" x14ac:dyDescent="0.25">
      <c r="A22" s="93" t="s">
        <v>118</v>
      </c>
      <c r="B22" s="93"/>
      <c r="C22" s="100" t="s">
        <v>310</v>
      </c>
      <c r="D22" s="100"/>
      <c r="E22" s="191" t="s">
        <v>13</v>
      </c>
      <c r="F22" s="191"/>
      <c r="G22" s="100" t="s">
        <v>341</v>
      </c>
      <c r="H22" s="100"/>
      <c r="S22" s="49"/>
      <c r="T22" s="49"/>
      <c r="U22" s="49"/>
      <c r="V22" s="49" t="s">
        <v>200</v>
      </c>
      <c r="W22" s="49" t="s">
        <v>217</v>
      </c>
      <c r="X22"/>
      <c r="Y22"/>
      <c r="Z22"/>
    </row>
    <row r="23" spans="1:26" ht="15" customHeight="1" x14ac:dyDescent="0.25">
      <c r="A23" s="191" t="s">
        <v>72</v>
      </c>
      <c r="B23" s="191"/>
      <c r="C23" s="191"/>
      <c r="D23" s="191"/>
      <c r="E23" s="108" t="s">
        <v>14</v>
      </c>
      <c r="F23" s="108"/>
      <c r="G23" s="108"/>
      <c r="H23" s="108"/>
      <c r="S23" s="49"/>
      <c r="T23" s="49"/>
      <c r="U23" s="49"/>
      <c r="V23" s="49" t="s">
        <v>201</v>
      </c>
      <c r="W23" s="49" t="s">
        <v>218</v>
      </c>
      <c r="X23"/>
      <c r="Y23"/>
      <c r="Z23"/>
    </row>
    <row r="24" spans="1:26" ht="18.75" customHeight="1" x14ac:dyDescent="0.25">
      <c r="A24" s="191"/>
      <c r="B24" s="191"/>
      <c r="C24" s="191"/>
      <c r="D24" s="191"/>
      <c r="E24" s="108"/>
      <c r="F24" s="108"/>
      <c r="G24" s="108"/>
      <c r="H24" s="108"/>
      <c r="S24" s="49"/>
      <c r="T24" s="49"/>
      <c r="U24" s="49"/>
      <c r="V24" s="49" t="s">
        <v>202</v>
      </c>
      <c r="W24" s="49" t="s">
        <v>219</v>
      </c>
      <c r="X24"/>
      <c r="Y24"/>
      <c r="Z24"/>
    </row>
    <row r="25" spans="1:26" ht="15" customHeight="1" x14ac:dyDescent="0.25">
      <c r="A25" s="191" t="s">
        <v>15</v>
      </c>
      <c r="B25" s="191"/>
      <c r="C25" s="191"/>
      <c r="D25" s="191"/>
      <c r="E25" s="100" t="s">
        <v>16</v>
      </c>
      <c r="F25" s="100"/>
      <c r="G25" s="100"/>
      <c r="H25" s="100"/>
      <c r="S25" s="49"/>
      <c r="T25" s="49"/>
      <c r="U25" s="49"/>
      <c r="V25" s="49" t="s">
        <v>203</v>
      </c>
      <c r="W25" s="49" t="s">
        <v>220</v>
      </c>
      <c r="X25"/>
      <c r="Y25"/>
      <c r="Z25"/>
    </row>
    <row r="26" spans="1:26" ht="15" customHeight="1" x14ac:dyDescent="0.25">
      <c r="A26" s="93" t="s">
        <v>17</v>
      </c>
      <c r="B26" s="93"/>
      <c r="C26" s="93"/>
      <c r="D26" s="93"/>
      <c r="E26" s="100" t="str">
        <f>IF(AND(G20="Mumbai"),"Upper Class","Middle Class")</f>
        <v>Middle Class</v>
      </c>
      <c r="F26" s="100"/>
      <c r="G26" s="100"/>
      <c r="H26" s="100"/>
      <c r="S26" s="49"/>
      <c r="T26" s="49"/>
      <c r="U26" s="49"/>
      <c r="V26" s="49" t="s">
        <v>204</v>
      </c>
      <c r="W26" s="49" t="s">
        <v>221</v>
      </c>
      <c r="X26"/>
      <c r="Y26"/>
      <c r="Z26"/>
    </row>
    <row r="27" spans="1:26" x14ac:dyDescent="0.25">
      <c r="A27" s="93" t="s">
        <v>18</v>
      </c>
      <c r="B27" s="93"/>
      <c r="C27" s="93"/>
      <c r="D27" s="93"/>
      <c r="E27" s="100" t="s">
        <v>19</v>
      </c>
      <c r="F27" s="100"/>
      <c r="G27" s="100"/>
      <c r="H27" s="100"/>
      <c r="S27" s="49"/>
      <c r="T27" s="49"/>
      <c r="U27" s="49"/>
      <c r="V27" s="49" t="s">
        <v>205</v>
      </c>
      <c r="W27" s="49" t="s">
        <v>222</v>
      </c>
      <c r="X27"/>
      <c r="Y27"/>
      <c r="Z27"/>
    </row>
    <row r="28" spans="1:26" ht="15.75" customHeight="1" x14ac:dyDescent="0.25">
      <c r="A28" s="93" t="s">
        <v>20</v>
      </c>
      <c r="B28" s="93"/>
      <c r="C28" s="93"/>
      <c r="D28" s="93"/>
      <c r="E28" s="100" t="str">
        <f>IF(AND(G20="Mumbai"),"Developed","Developing")</f>
        <v>Developing</v>
      </c>
      <c r="F28" s="100"/>
      <c r="G28" s="100"/>
      <c r="H28" s="100"/>
    </row>
    <row r="29" spans="1:26" x14ac:dyDescent="0.25">
      <c r="A29" s="93" t="s">
        <v>21</v>
      </c>
      <c r="B29" s="93"/>
      <c r="C29" s="93"/>
      <c r="D29" s="93"/>
      <c r="E29" s="100" t="s">
        <v>22</v>
      </c>
      <c r="F29" s="100"/>
      <c r="G29" s="100"/>
      <c r="H29" s="100"/>
    </row>
    <row r="30" spans="1:26" ht="15.75" customHeight="1" x14ac:dyDescent="0.25">
      <c r="A30" s="93" t="s">
        <v>77</v>
      </c>
      <c r="B30" s="93"/>
      <c r="C30" s="93"/>
      <c r="D30" s="93"/>
      <c r="E30" s="100" t="s">
        <v>78</v>
      </c>
      <c r="F30" s="100"/>
      <c r="G30" s="100"/>
      <c r="H30" s="100"/>
    </row>
    <row r="31" spans="1:26" ht="15" customHeight="1" x14ac:dyDescent="0.25">
      <c r="A31" s="93" t="s">
        <v>29</v>
      </c>
      <c r="B31" s="93"/>
      <c r="C31" s="93"/>
      <c r="D31" s="93"/>
      <c r="E31" s="10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00"/>
      <c r="G31" s="100"/>
      <c r="H31" s="100"/>
    </row>
    <row r="32" spans="1:26" ht="15.75" customHeight="1" x14ac:dyDescent="0.25">
      <c r="A32" s="93" t="s">
        <v>89</v>
      </c>
      <c r="B32" s="93"/>
      <c r="C32" s="93"/>
      <c r="D32" s="93"/>
      <c r="E32" s="100" t="s">
        <v>30</v>
      </c>
      <c r="F32" s="100"/>
      <c r="G32" s="100"/>
      <c r="H32" s="100"/>
    </row>
    <row r="33" spans="1:19" s="19" customFormat="1" x14ac:dyDescent="0.25">
      <c r="A33" s="200" t="s">
        <v>90</v>
      </c>
      <c r="B33" s="200"/>
      <c r="C33" s="91" t="s">
        <v>170</v>
      </c>
      <c r="D33" s="91"/>
      <c r="E33" s="91"/>
      <c r="F33" s="91" t="s">
        <v>28</v>
      </c>
      <c r="G33" s="91"/>
      <c r="H33" s="91"/>
      <c r="S33" s="19" t="e">
        <f ca="1">OFFSET($S$13,1,MATCH($G20,$S$13:$W$13,0)-1,15,1)</f>
        <v>#VALUE!</v>
      </c>
    </row>
    <row r="34" spans="1:19" s="19" customFormat="1" x14ac:dyDescent="0.25">
      <c r="A34" s="198" t="s">
        <v>23</v>
      </c>
      <c r="B34" s="198" t="s">
        <v>27</v>
      </c>
      <c r="C34" s="199" t="s">
        <v>313</v>
      </c>
      <c r="D34" s="199"/>
      <c r="E34" s="199"/>
      <c r="F34" s="199" t="s">
        <v>314</v>
      </c>
      <c r="G34" s="199"/>
      <c r="H34" s="199"/>
    </row>
    <row r="35" spans="1:19" x14ac:dyDescent="0.25">
      <c r="A35" s="198" t="s">
        <v>24</v>
      </c>
      <c r="B35" s="198" t="s">
        <v>27</v>
      </c>
      <c r="C35" s="199" t="s">
        <v>312</v>
      </c>
      <c r="D35" s="199"/>
      <c r="E35" s="199"/>
      <c r="F35" s="199" t="s">
        <v>310</v>
      </c>
      <c r="G35" s="199"/>
      <c r="H35" s="199"/>
    </row>
    <row r="36" spans="1:19" s="19" customFormat="1" x14ac:dyDescent="0.25">
      <c r="A36" s="198" t="s">
        <v>26</v>
      </c>
      <c r="B36" s="198" t="s">
        <v>27</v>
      </c>
      <c r="C36" s="199" t="s">
        <v>311</v>
      </c>
      <c r="D36" s="199"/>
      <c r="E36" s="199"/>
      <c r="F36" s="199" t="s">
        <v>350</v>
      </c>
      <c r="G36" s="199"/>
      <c r="H36" s="199"/>
    </row>
    <row r="37" spans="1:19" x14ac:dyDescent="0.25">
      <c r="A37" s="198" t="s">
        <v>25</v>
      </c>
      <c r="B37" s="198" t="s">
        <v>27</v>
      </c>
      <c r="C37" s="199" t="s">
        <v>312</v>
      </c>
      <c r="D37" s="199"/>
      <c r="E37" s="199"/>
      <c r="F37" s="199" t="s">
        <v>351</v>
      </c>
      <c r="G37" s="199"/>
      <c r="H37" s="199"/>
    </row>
    <row r="38" spans="1:19" x14ac:dyDescent="0.25">
      <c r="A38" s="93" t="s">
        <v>279</v>
      </c>
      <c r="B38" s="93"/>
      <c r="C38" s="93"/>
      <c r="D38" s="93"/>
      <c r="E38" s="93"/>
      <c r="F38" s="93"/>
      <c r="G38" s="93"/>
      <c r="H38" s="93"/>
    </row>
    <row r="39" spans="1:19" ht="15.75" customHeight="1" x14ac:dyDescent="0.25">
      <c r="A39" s="93" t="s">
        <v>162</v>
      </c>
      <c r="B39" s="93"/>
      <c r="C39" s="189" t="s">
        <v>308</v>
      </c>
      <c r="D39" s="189"/>
      <c r="E39" s="189"/>
      <c r="F39" s="189"/>
      <c r="G39" s="189"/>
      <c r="H39" s="189"/>
    </row>
    <row r="40" spans="1:19" x14ac:dyDescent="0.25">
      <c r="A40" s="93" t="s">
        <v>158</v>
      </c>
      <c r="B40" s="93"/>
      <c r="C40" s="212" t="s">
        <v>309</v>
      </c>
      <c r="D40" s="100"/>
      <c r="E40" s="100"/>
      <c r="F40" s="100"/>
      <c r="G40" s="100"/>
      <c r="H40" s="100"/>
    </row>
    <row r="41" spans="1:19" x14ac:dyDescent="0.25">
      <c r="A41" s="189" t="s">
        <v>31</v>
      </c>
      <c r="B41" s="189"/>
      <c r="C41" s="189"/>
      <c r="D41" s="189"/>
      <c r="E41" s="189"/>
      <c r="F41" s="189"/>
      <c r="G41" s="189"/>
      <c r="H41" s="189"/>
    </row>
    <row r="42" spans="1:19" x14ac:dyDescent="0.25">
      <c r="A42" s="93" t="s">
        <v>32</v>
      </c>
      <c r="B42" s="93"/>
      <c r="C42" s="93"/>
      <c r="D42" s="93"/>
      <c r="E42" s="201">
        <v>6918.78</v>
      </c>
      <c r="F42" s="201"/>
      <c r="G42" s="201"/>
      <c r="H42" s="201"/>
      <c r="I42" s="18">
        <f>E42/1.1</f>
        <v>6289.7999999999993</v>
      </c>
    </row>
    <row r="43" spans="1:19" x14ac:dyDescent="0.25">
      <c r="A43" s="93" t="s">
        <v>33</v>
      </c>
      <c r="B43" s="93"/>
      <c r="C43" s="93"/>
      <c r="D43" s="93"/>
      <c r="E43" s="102">
        <v>1.1000000000000001</v>
      </c>
      <c r="F43" s="102"/>
      <c r="G43" s="102"/>
      <c r="H43" s="102"/>
    </row>
    <row r="44" spans="1:19" x14ac:dyDescent="0.25">
      <c r="A44" s="93" t="s">
        <v>34</v>
      </c>
      <c r="B44" s="93"/>
      <c r="C44" s="93"/>
      <c r="D44" s="93"/>
      <c r="E44" s="102">
        <f>E46/E42-E43</f>
        <v>0.4373028192831685</v>
      </c>
      <c r="F44" s="102"/>
      <c r="G44" s="102"/>
      <c r="H44" s="102"/>
    </row>
    <row r="45" spans="1:19" x14ac:dyDescent="0.25">
      <c r="A45" s="93" t="s">
        <v>35</v>
      </c>
      <c r="B45" s="93"/>
      <c r="C45" s="93"/>
      <c r="D45" s="93"/>
      <c r="E45" s="102">
        <f>E43+E44</f>
        <v>1.5373028192831686</v>
      </c>
      <c r="F45" s="102"/>
      <c r="G45" s="102"/>
      <c r="H45" s="102"/>
      <c r="I45" s="64">
        <f>E46/E42</f>
        <v>1.5373028192831686</v>
      </c>
    </row>
    <row r="46" spans="1:19" x14ac:dyDescent="0.25">
      <c r="A46" s="93" t="s">
        <v>88</v>
      </c>
      <c r="B46" s="93"/>
      <c r="C46" s="93"/>
      <c r="D46" s="93"/>
      <c r="E46" s="204">
        <v>10636.26</v>
      </c>
      <c r="F46" s="204"/>
      <c r="G46" s="204"/>
      <c r="H46" s="204"/>
    </row>
    <row r="47" spans="1:19" x14ac:dyDescent="0.25">
      <c r="A47" s="108" t="s">
        <v>36</v>
      </c>
      <c r="B47" s="108"/>
      <c r="C47" s="108"/>
      <c r="D47" s="108"/>
      <c r="E47" s="108" t="s">
        <v>316</v>
      </c>
      <c r="F47" s="108"/>
      <c r="G47" s="108"/>
      <c r="H47" s="108"/>
    </row>
    <row r="48" spans="1:19" x14ac:dyDescent="0.25">
      <c r="A48" s="189" t="s">
        <v>37</v>
      </c>
      <c r="B48" s="189"/>
      <c r="C48" s="189"/>
      <c r="D48" s="189"/>
      <c r="E48" s="189"/>
      <c r="F48" s="189"/>
      <c r="G48" s="189"/>
      <c r="H48" s="189"/>
    </row>
    <row r="49" spans="1:24" ht="33.75" customHeight="1" x14ac:dyDescent="0.25">
      <c r="A49" s="114" t="s">
        <v>147</v>
      </c>
      <c r="B49" s="116"/>
      <c r="C49" s="221" t="s">
        <v>317</v>
      </c>
      <c r="D49" s="222"/>
      <c r="E49" s="222"/>
      <c r="F49" s="222"/>
      <c r="G49" s="222"/>
      <c r="H49" s="223"/>
      <c r="R49" t="s">
        <v>252</v>
      </c>
      <c r="S49" t="s">
        <v>169</v>
      </c>
      <c r="T49" t="s">
        <v>176</v>
      </c>
      <c r="U49" t="s">
        <v>191</v>
      </c>
      <c r="V49" t="s">
        <v>186</v>
      </c>
    </row>
    <row r="50" spans="1:24" ht="15.75" customHeight="1" x14ac:dyDescent="0.25">
      <c r="A50" s="114" t="s">
        <v>38</v>
      </c>
      <c r="B50" s="116"/>
      <c r="C50" s="114" t="s">
        <v>318</v>
      </c>
      <c r="D50" s="115"/>
      <c r="E50" s="116"/>
      <c r="F50" s="17" t="s">
        <v>39</v>
      </c>
      <c r="G50" s="127">
        <v>45316</v>
      </c>
      <c r="H50" s="116"/>
      <c r="R50"/>
      <c r="S50" t="s">
        <v>253</v>
      </c>
      <c r="T50" t="s">
        <v>258</v>
      </c>
      <c r="U50" t="s">
        <v>269</v>
      </c>
      <c r="V50" t="s">
        <v>274</v>
      </c>
    </row>
    <row r="51" spans="1:24" x14ac:dyDescent="0.25">
      <c r="A51" s="114" t="s">
        <v>40</v>
      </c>
      <c r="B51" s="116"/>
      <c r="C51" s="114" t="str">
        <f>C50</f>
        <v>CCRSM/RB/2024/APL/00043</v>
      </c>
      <c r="D51" s="115"/>
      <c r="E51" s="116"/>
      <c r="F51" s="17" t="s">
        <v>39</v>
      </c>
      <c r="G51" s="127">
        <f>G50</f>
        <v>45316</v>
      </c>
      <c r="H51" s="116"/>
      <c r="R51"/>
      <c r="S51" t="s">
        <v>254</v>
      </c>
      <c r="T51" t="s">
        <v>259</v>
      </c>
      <c r="U51" t="s">
        <v>267</v>
      </c>
      <c r="V51" t="s">
        <v>275</v>
      </c>
    </row>
    <row r="52" spans="1:24" s="20" customFormat="1" ht="15.75" customHeight="1" x14ac:dyDescent="0.25">
      <c r="A52" s="129" t="s">
        <v>151</v>
      </c>
      <c r="B52" s="130"/>
      <c r="C52" s="114" t="str">
        <f>C51</f>
        <v>CCRSM/RB/2024/APL/00043</v>
      </c>
      <c r="D52" s="115"/>
      <c r="E52" s="116"/>
      <c r="F52" s="17" t="s">
        <v>39</v>
      </c>
      <c r="G52" s="127">
        <f>G51</f>
        <v>45316</v>
      </c>
      <c r="H52" s="116"/>
      <c r="R52"/>
      <c r="S52" t="s">
        <v>255</v>
      </c>
      <c r="T52" t="s">
        <v>260</v>
      </c>
      <c r="U52" t="s">
        <v>257</v>
      </c>
      <c r="V52" t="s">
        <v>276</v>
      </c>
    </row>
    <row r="53" spans="1:24" s="20" customFormat="1" x14ac:dyDescent="0.25">
      <c r="A53" s="131"/>
      <c r="B53" s="132"/>
      <c r="C53" s="114" t="s">
        <v>319</v>
      </c>
      <c r="D53" s="115"/>
      <c r="E53" s="115"/>
      <c r="F53" s="115"/>
      <c r="G53" s="115"/>
      <c r="H53" s="116"/>
      <c r="R53"/>
      <c r="S53" t="s">
        <v>256</v>
      </c>
      <c r="T53" t="s">
        <v>263</v>
      </c>
      <c r="U53" t="s">
        <v>270</v>
      </c>
    </row>
    <row r="54" spans="1:24" s="20" customFormat="1" x14ac:dyDescent="0.25">
      <c r="A54" s="117" t="s">
        <v>344</v>
      </c>
      <c r="B54" s="133"/>
      <c r="C54" s="114" t="s">
        <v>343</v>
      </c>
      <c r="D54" s="115"/>
      <c r="E54" s="116"/>
      <c r="F54" s="17" t="s">
        <v>39</v>
      </c>
      <c r="G54" s="127">
        <v>44204</v>
      </c>
      <c r="H54" s="116"/>
      <c r="R54"/>
      <c r="S54" t="s">
        <v>255</v>
      </c>
      <c r="T54" t="s">
        <v>260</v>
      </c>
      <c r="U54" t="s">
        <v>257</v>
      </c>
      <c r="V54" t="s">
        <v>276</v>
      </c>
    </row>
    <row r="55" spans="1:24" s="20" customFormat="1" hidden="1" x14ac:dyDescent="0.25">
      <c r="A55" s="134"/>
      <c r="B55" s="135"/>
      <c r="C55" s="217"/>
      <c r="D55" s="218"/>
      <c r="E55" s="218"/>
      <c r="F55" s="218"/>
      <c r="G55" s="218"/>
      <c r="H55" s="219"/>
      <c r="R55"/>
      <c r="S55" t="s">
        <v>257</v>
      </c>
      <c r="T55" t="s">
        <v>261</v>
      </c>
      <c r="U55" t="s">
        <v>271</v>
      </c>
      <c r="V55" s="18"/>
      <c r="W55" s="18"/>
      <c r="X55" s="18"/>
    </row>
    <row r="56" spans="1:24" s="20" customFormat="1" ht="34.5" hidden="1" customHeight="1" x14ac:dyDescent="0.25">
      <c r="A56" s="110" t="s">
        <v>280</v>
      </c>
      <c r="B56" s="111"/>
      <c r="C56" s="114">
        <f>C55</f>
        <v>0</v>
      </c>
      <c r="D56" s="115"/>
      <c r="E56" s="116"/>
      <c r="F56" s="17" t="s">
        <v>39</v>
      </c>
      <c r="G56" s="114">
        <f>G55</f>
        <v>0</v>
      </c>
      <c r="H56" s="116"/>
      <c r="R56"/>
      <c r="S56" s="18"/>
      <c r="T56" t="s">
        <v>262</v>
      </c>
      <c r="U56" t="s">
        <v>272</v>
      </c>
      <c r="V56" s="18"/>
      <c r="W56" s="18"/>
      <c r="X56" s="18"/>
    </row>
    <row r="57" spans="1:24" s="20" customFormat="1" ht="41.25" hidden="1" customHeight="1" x14ac:dyDescent="0.25">
      <c r="A57" s="112"/>
      <c r="B57" s="113"/>
      <c r="C57" s="114"/>
      <c r="D57" s="115"/>
      <c r="E57" s="115"/>
      <c r="F57" s="115"/>
      <c r="G57" s="115"/>
      <c r="H57" s="116"/>
      <c r="R57"/>
      <c r="S57" s="18"/>
      <c r="T57" t="s">
        <v>264</v>
      </c>
      <c r="U57" t="s">
        <v>273</v>
      </c>
      <c r="V57" s="18"/>
      <c r="W57" s="18"/>
      <c r="X57" s="18"/>
    </row>
    <row r="58" spans="1:24" s="20" customFormat="1" ht="15.75" hidden="1" customHeight="1" x14ac:dyDescent="0.25">
      <c r="A58" s="110" t="s">
        <v>281</v>
      </c>
      <c r="B58" s="111"/>
      <c r="C58" s="114">
        <f>C57</f>
        <v>0</v>
      </c>
      <c r="D58" s="115"/>
      <c r="E58" s="116"/>
      <c r="F58" s="17" t="s">
        <v>39</v>
      </c>
      <c r="G58" s="114">
        <f>G57</f>
        <v>0</v>
      </c>
      <c r="H58" s="116"/>
      <c r="R58"/>
      <c r="S58" s="18"/>
      <c r="T58" t="s">
        <v>265</v>
      </c>
      <c r="U58" s="18" t="s">
        <v>295</v>
      </c>
      <c r="V58" s="18"/>
      <c r="W58" s="18"/>
      <c r="X58" s="18"/>
    </row>
    <row r="59" spans="1:24" s="20" customFormat="1" hidden="1" x14ac:dyDescent="0.25">
      <c r="A59" s="112"/>
      <c r="B59" s="113"/>
      <c r="C59" s="114"/>
      <c r="D59" s="115"/>
      <c r="E59" s="115"/>
      <c r="F59" s="115"/>
      <c r="G59" s="115"/>
      <c r="H59" s="116"/>
      <c r="R59"/>
      <c r="S59" s="18"/>
      <c r="T59" t="s">
        <v>266</v>
      </c>
      <c r="U59" s="18"/>
      <c r="V59" s="18"/>
      <c r="W59" s="18"/>
      <c r="X59" s="18"/>
    </row>
    <row r="60" spans="1:24" x14ac:dyDescent="0.25">
      <c r="A60" s="94" t="s">
        <v>41</v>
      </c>
      <c r="B60" s="95"/>
      <c r="C60" s="94" t="s">
        <v>102</v>
      </c>
      <c r="D60" s="96"/>
      <c r="E60" s="95"/>
      <c r="F60" s="40" t="s">
        <v>39</v>
      </c>
      <c r="G60" s="205" t="s">
        <v>27</v>
      </c>
      <c r="H60" s="206"/>
      <c r="R60"/>
      <c r="T60" t="s">
        <v>268</v>
      </c>
    </row>
    <row r="61" spans="1:24" x14ac:dyDescent="0.25">
      <c r="A61" s="128" t="s">
        <v>43</v>
      </c>
      <c r="B61" s="128"/>
      <c r="C61" s="128"/>
      <c r="D61" s="128"/>
      <c r="E61" s="128"/>
      <c r="F61" s="128"/>
      <c r="G61" s="128"/>
      <c r="H61" s="128"/>
      <c r="T61" t="s">
        <v>277</v>
      </c>
    </row>
    <row r="62" spans="1:24" x14ac:dyDescent="0.25">
      <c r="A62" s="191" t="s">
        <v>87</v>
      </c>
      <c r="B62" s="191"/>
      <c r="C62" s="191"/>
      <c r="D62" s="93">
        <f>E46</f>
        <v>10636.26</v>
      </c>
      <c r="E62" s="93"/>
      <c r="F62" s="93"/>
      <c r="G62" s="93"/>
      <c r="H62" s="93"/>
      <c r="R62"/>
      <c r="U62" s="18" t="s">
        <v>317</v>
      </c>
    </row>
    <row r="63" spans="1:24" x14ac:dyDescent="0.25">
      <c r="A63" s="100" t="s">
        <v>44</v>
      </c>
      <c r="B63" s="108"/>
      <c r="C63" s="108"/>
      <c r="D63" s="108" t="s">
        <v>340</v>
      </c>
      <c r="E63" s="108"/>
      <c r="F63" s="108"/>
      <c r="G63" s="108"/>
      <c r="H63" s="108"/>
      <c r="I63" s="21"/>
      <c r="R63"/>
    </row>
    <row r="64" spans="1:24" x14ac:dyDescent="0.25">
      <c r="A64" s="117" t="s">
        <v>45</v>
      </c>
      <c r="B64" s="118"/>
      <c r="C64" s="133"/>
      <c r="D64" s="109" t="s">
        <v>322</v>
      </c>
      <c r="E64" s="101"/>
      <c r="F64" s="101"/>
      <c r="G64" s="101"/>
      <c r="H64" s="101"/>
      <c r="R64"/>
    </row>
    <row r="65" spans="1:19" ht="15.75" customHeight="1" x14ac:dyDescent="0.25">
      <c r="A65" s="117" t="s">
        <v>85</v>
      </c>
      <c r="B65" s="118"/>
      <c r="C65" s="118"/>
      <c r="D65" s="121" t="s">
        <v>320</v>
      </c>
      <c r="E65" s="122"/>
      <c r="F65" s="122"/>
      <c r="G65" s="122"/>
      <c r="H65" s="123"/>
      <c r="R65"/>
    </row>
    <row r="66" spans="1:19" ht="15.75" customHeight="1" x14ac:dyDescent="0.25">
      <c r="A66" s="119"/>
      <c r="B66" s="120"/>
      <c r="C66" s="120"/>
      <c r="D66" s="124" t="s">
        <v>321</v>
      </c>
      <c r="E66" s="125"/>
      <c r="F66" s="125"/>
      <c r="G66" s="125"/>
      <c r="H66" s="126"/>
      <c r="R66"/>
    </row>
    <row r="67" spans="1:19" ht="15.75" customHeight="1" x14ac:dyDescent="0.25">
      <c r="A67" s="93" t="s">
        <v>42</v>
      </c>
      <c r="B67" s="93"/>
      <c r="C67" s="93"/>
      <c r="D67" s="202" t="s">
        <v>323</v>
      </c>
      <c r="E67" s="202"/>
      <c r="F67" s="202"/>
      <c r="G67" s="202"/>
      <c r="H67" s="202"/>
      <c r="J67" s="22"/>
      <c r="K67" s="21"/>
      <c r="N67" s="21"/>
      <c r="S67"/>
    </row>
    <row r="68" spans="1:19" ht="15.75" customHeight="1" x14ac:dyDescent="0.25">
      <c r="A68" s="93" t="s">
        <v>83</v>
      </c>
      <c r="B68" s="93"/>
      <c r="C68" s="93"/>
      <c r="D68" s="203" t="str">
        <f>(IF(G60="NA","60 Years After Completion",IF(G60&lt;&gt;"NA",""&amp;60-ROUNDDOWN((E3-G60)/360,0)&amp;" Years"," ")))</f>
        <v>60 Years After Completion</v>
      </c>
      <c r="E68" s="203"/>
      <c r="F68" s="203"/>
      <c r="G68" s="203"/>
      <c r="H68" s="203"/>
      <c r="N68" s="21"/>
      <c r="S68"/>
    </row>
    <row r="69" spans="1:19" ht="15.75" customHeight="1" x14ac:dyDescent="0.25">
      <c r="A69" s="93" t="s">
        <v>84</v>
      </c>
      <c r="B69" s="93"/>
      <c r="C69" s="93"/>
      <c r="D69" s="191" t="s">
        <v>22</v>
      </c>
      <c r="E69" s="191"/>
      <c r="F69" s="191"/>
      <c r="G69" s="191"/>
      <c r="H69" s="191"/>
      <c r="J69" s="23"/>
      <c r="K69" s="23"/>
      <c r="S69"/>
    </row>
    <row r="70" spans="1:19" ht="33" customHeight="1" x14ac:dyDescent="0.25">
      <c r="A70" s="108" t="s">
        <v>325</v>
      </c>
      <c r="B70" s="108"/>
      <c r="C70" s="108"/>
      <c r="D70" s="100" t="s">
        <v>324</v>
      </c>
      <c r="E70" s="100"/>
      <c r="F70" s="100"/>
      <c r="G70" s="100"/>
      <c r="H70" s="100"/>
      <c r="S70"/>
    </row>
    <row r="71" spans="1:19" x14ac:dyDescent="0.25">
      <c r="A71" s="100" t="s">
        <v>144</v>
      </c>
      <c r="B71" s="100"/>
      <c r="C71" s="100"/>
      <c r="D71" s="100" t="s">
        <v>27</v>
      </c>
      <c r="E71" s="100"/>
      <c r="F71" s="100"/>
      <c r="G71" s="100"/>
      <c r="H71" s="100"/>
      <c r="I71" s="24"/>
      <c r="J71" s="24"/>
      <c r="K71" s="24"/>
      <c r="L71" s="24"/>
      <c r="M71" s="24"/>
      <c r="N71" s="24"/>
    </row>
    <row r="72" spans="1:19" ht="15.75" customHeight="1" x14ac:dyDescent="0.25">
      <c r="A72" s="101" t="s">
        <v>82</v>
      </c>
      <c r="B72" s="101"/>
      <c r="C72" s="101"/>
      <c r="D72" s="109" t="str">
        <f ca="1">(IF(G78&gt;95%,"Nothing",IF(G78&gt;0%,"Cement, Aggregate, Steel, etc",IF(G78=0%,"Work not yet Started"))))</f>
        <v>Cement, Aggregate, Steel, etc</v>
      </c>
      <c r="E72" s="109"/>
      <c r="F72" s="109"/>
      <c r="G72" s="109"/>
      <c r="H72" s="109"/>
      <c r="J72" s="23"/>
      <c r="S72"/>
    </row>
    <row r="73" spans="1:19" ht="33.75" customHeight="1" thickBot="1" x14ac:dyDescent="0.3">
      <c r="A73" s="109" t="s">
        <v>115</v>
      </c>
      <c r="B73" s="109"/>
      <c r="C73" s="109"/>
      <c r="D73" s="109" t="str">
        <f ca="1">(IF(D72="Nothing","Yes",IF(D72="Cement, Aggregate, Steel, etc","Under Construction",IF(D72="Work not yet Started","Work not yet Started"))))</f>
        <v>Under Construction</v>
      </c>
      <c r="E73" s="109"/>
      <c r="F73" s="109" t="str">
        <f ca="1">(IF(D72="Nothing","Yes",IF(D72="Cement, Aggregate, Steel, etc","Under Construction",IF(D72="Work not yet Started","Work not yet Started"))))</f>
        <v>Under Construction</v>
      </c>
      <c r="G73" s="109"/>
      <c r="H73" s="109"/>
      <c r="S73"/>
    </row>
    <row r="74" spans="1:19" ht="15.75" customHeight="1" x14ac:dyDescent="0.25">
      <c r="A74" s="209" t="s">
        <v>136</v>
      </c>
      <c r="B74" s="209"/>
      <c r="C74" s="209" t="str">
        <f>D65</f>
        <v>A Wing = Gr + 1st to 6th Floor</v>
      </c>
      <c r="D74" s="209"/>
      <c r="E74" s="209"/>
      <c r="F74" s="209"/>
      <c r="G74" s="209"/>
      <c r="H74" s="209"/>
      <c r="I74" s="84" t="str">
        <f ca="1">IF(D87=100%,"All work Completed. Possession granted to the Building.",IF(D86=100%,"All work Completed, Waiting for OC",I75&amp;""&amp;I76&amp;""&amp;J75&amp;""&amp;J74&amp;" "&amp;J76))</f>
        <v>Excavation, Plinth, RCC Slab, Brickwork Completed, Internal Plaster upto 5 Floor, External Plaster upto 3 Floor, Flooring upto 2 Floor, Painting upto 1 Floor Completed</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Internal Plaster upto 5 Floor, External Plaster upto 3 Floor, Flooring upto 2 Floor, Painting upto 1 Floor</v>
      </c>
      <c r="S74"/>
    </row>
    <row r="75" spans="1:19" x14ac:dyDescent="0.25">
      <c r="A75" s="46" t="s">
        <v>138</v>
      </c>
      <c r="B75" s="46">
        <f>IF(AND(ISNUMBER(SEARCH("1B",C74))),1,IF(AND(ISNUMBER(SEARCH("2B",C74))),2,IF(AND(ISNUMBER(SEARCH("3B",C74))),3,IF(AND(ISNUMBER(SEARCH("4B",C74))),4,IF(ISNUMBER(SEARCH("5B",C74)),5,0)))))</f>
        <v>0</v>
      </c>
      <c r="C75" s="46" t="s">
        <v>68</v>
      </c>
      <c r="D75" s="46">
        <v>1</v>
      </c>
      <c r="E75" s="46" t="s">
        <v>67</v>
      </c>
      <c r="F75" s="46">
        <v>0</v>
      </c>
      <c r="G75" s="46" t="s">
        <v>76</v>
      </c>
      <c r="H75" s="46">
        <f ca="1">--TRIM(RIGHT(SUBSTITUTE(LEFT(C74,_xlfn.AGGREGATE(16,6,FIND({0,1,2,3,4,5,6,7,8,9},C74,ROW(INDIRECT("1:"&amp;LEN(C74)))),1))," ",REPT(" ",LEN(C74))),LEN(C74)))</f>
        <v>6</v>
      </c>
      <c r="I75" s="85" t="str">
        <f ca="1">IF(D78=100%,"Excavation","")&amp;IF(D79=100%,", Plinth","")&amp;IF(D80=100%,", RCC Slab","")&amp;IF(D81=100%,", Brickwork","")&amp;IF(D82=100%,", Internal Plaster","")&amp;IF(D83=100%,", External Plaster","")&amp;IF(D84=100%,", Flooring","")&amp;IF(D85=100%,", Painting","")&amp;IF(D86=100%,", Building common Amenities","")</f>
        <v>Excavation, Plinth, RCC Slab, Brickwork</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1.5" customHeight="1" x14ac:dyDescent="0.25">
      <c r="A76" s="195" t="s">
        <v>86</v>
      </c>
      <c r="B76" s="195"/>
      <c r="C76" s="209" t="str">
        <f ca="1">I74</f>
        <v>Excavation, Plinth, RCC Slab, Brickwork Completed, Internal Plaster upto 5 Floor, External Plaster upto 3 Floor, Flooring upto 2 Floor, Painting upto 1 Floor Completed</v>
      </c>
      <c r="D76" s="209"/>
      <c r="E76" s="209"/>
      <c r="F76" s="209"/>
      <c r="G76" s="209"/>
      <c r="H76" s="209"/>
      <c r="I76" s="85" t="str">
        <f ca="1">IF(I75&lt;&gt;""," Completed","")</f>
        <v xml:space="preserve"> Completed</v>
      </c>
      <c r="J76" s="45" t="str">
        <f ca="1">IF(J74&lt;&gt;"","Completed","")</f>
        <v>Completed</v>
      </c>
      <c r="S76"/>
    </row>
    <row r="77" spans="1:19" ht="15.75" customHeight="1" x14ac:dyDescent="0.25">
      <c r="A77" s="143" t="s">
        <v>46</v>
      </c>
      <c r="B77" s="143"/>
      <c r="C77" s="83" t="s">
        <v>135</v>
      </c>
      <c r="D77" s="83" t="s">
        <v>79</v>
      </c>
      <c r="E77" s="143" t="s">
        <v>81</v>
      </c>
      <c r="F77" s="143"/>
      <c r="G77" s="143" t="s">
        <v>80</v>
      </c>
      <c r="H77" s="143"/>
      <c r="I77" s="13" t="s">
        <v>137</v>
      </c>
      <c r="J77" s="25">
        <f ca="1">H75*25%</f>
        <v>1.5</v>
      </c>
      <c r="S77"/>
    </row>
    <row r="78" spans="1:19" x14ac:dyDescent="0.25">
      <c r="A78" s="143" t="s">
        <v>124</v>
      </c>
      <c r="B78" s="143"/>
      <c r="C78" s="83">
        <f ca="1">J79</f>
        <v>6</v>
      </c>
      <c r="D78" s="69">
        <f ca="1">((100/H75)*C78)/100</f>
        <v>1</v>
      </c>
      <c r="E78" s="211">
        <f ca="1">(((C79/H75*10)+(40/(D75+F75+H75)*C80)+(7.5/(H75)*C81)+(7.5/(H75)*C82)+(10/H75*C83)+(10/H75*C84)+(5/H75*C85)+(5/H75*C86)+(5/H75*C87))/100)</f>
        <v>0.72916666666666652</v>
      </c>
      <c r="F78" s="211"/>
      <c r="G78" s="211">
        <f ca="1">((((C78/H75)*20)+((C79/H75)*25)+(30/(H75+F75+D75)*C80)+(5/H75*C81)+(5/H75*C82)+(5/H75*C83)+(5/H75*C84)+(0/H75*C85)+(0/H75*C86)+(5/H75*C87))/100)</f>
        <v>0.88333333333333341</v>
      </c>
      <c r="H78" s="211"/>
      <c r="I78" s="13" t="s">
        <v>97</v>
      </c>
      <c r="J78" s="26">
        <f ca="1">H75*50%</f>
        <v>3</v>
      </c>
    </row>
    <row r="79" spans="1:19" x14ac:dyDescent="0.25">
      <c r="A79" s="143" t="s">
        <v>47</v>
      </c>
      <c r="B79" s="143"/>
      <c r="C79" s="83">
        <f ca="1">J87</f>
        <v>6</v>
      </c>
      <c r="D79" s="69">
        <f ca="1">((100/H75)*C79)/100</f>
        <v>1</v>
      </c>
      <c r="E79" s="211"/>
      <c r="F79" s="211"/>
      <c r="G79" s="211"/>
      <c r="H79" s="211"/>
      <c r="I79" s="13" t="s">
        <v>98</v>
      </c>
      <c r="J79" s="26">
        <f ca="1">H75</f>
        <v>6</v>
      </c>
      <c r="S79"/>
    </row>
    <row r="80" spans="1:19" ht="15.75" customHeight="1" x14ac:dyDescent="0.25">
      <c r="A80" s="143" t="s">
        <v>125</v>
      </c>
      <c r="B80" s="143"/>
      <c r="C80" s="83">
        <v>7</v>
      </c>
      <c r="D80" s="69">
        <f ca="1">((100/(D75+F75+H75))*C80)/100</f>
        <v>1</v>
      </c>
      <c r="E80" s="211"/>
      <c r="F80" s="211"/>
      <c r="G80" s="211"/>
      <c r="H80" s="211"/>
      <c r="I80" s="13" t="s">
        <v>99</v>
      </c>
      <c r="J80" s="27">
        <f ca="1">(IF(B75&gt;1,(H75/(B75+2)),H75/4))</f>
        <v>1.5</v>
      </c>
      <c r="S80"/>
    </row>
    <row r="81" spans="1:10" ht="15.75" customHeight="1" x14ac:dyDescent="0.25">
      <c r="A81" s="143" t="s">
        <v>132</v>
      </c>
      <c r="B81" s="143" t="s">
        <v>126</v>
      </c>
      <c r="C81" s="83">
        <v>6</v>
      </c>
      <c r="D81" s="69">
        <f ca="1">((100/H75)*C81)/100</f>
        <v>1</v>
      </c>
      <c r="E81" s="211"/>
      <c r="F81" s="211"/>
      <c r="G81" s="211"/>
      <c r="H81" s="211"/>
      <c r="I81" s="13" t="s">
        <v>100</v>
      </c>
      <c r="J81" s="27">
        <f ca="1">(IF(B75&gt;1,(H75/(B75+2)+J80),H75/4+J80))</f>
        <v>3</v>
      </c>
    </row>
    <row r="82" spans="1:10" ht="15.75" customHeight="1" x14ac:dyDescent="0.25">
      <c r="A82" s="143" t="s">
        <v>133</v>
      </c>
      <c r="B82" s="143" t="s">
        <v>126</v>
      </c>
      <c r="C82" s="83">
        <v>5</v>
      </c>
      <c r="D82" s="69">
        <f ca="1">((100/H75)*C82)/100</f>
        <v>0.83333333333333348</v>
      </c>
      <c r="E82" s="211"/>
      <c r="F82" s="211"/>
      <c r="G82" s="211"/>
      <c r="H82" s="211"/>
      <c r="I82" s="13" t="s">
        <v>142</v>
      </c>
      <c r="J82" s="27">
        <f>(IF(B75&gt;1,(H75/(B75+2)+J81),0))</f>
        <v>0</v>
      </c>
    </row>
    <row r="83" spans="1:10" ht="15" customHeight="1" x14ac:dyDescent="0.25">
      <c r="A83" s="143" t="s">
        <v>131</v>
      </c>
      <c r="B83" s="143" t="s">
        <v>128</v>
      </c>
      <c r="C83" s="83">
        <v>3</v>
      </c>
      <c r="D83" s="69">
        <f ca="1">((100/(H75))*C83)/100</f>
        <v>0.5</v>
      </c>
      <c r="E83" s="211"/>
      <c r="F83" s="211"/>
      <c r="G83" s="211"/>
      <c r="H83" s="211"/>
      <c r="I83" s="13" t="s">
        <v>139</v>
      </c>
      <c r="J83" s="27">
        <f>(IF(B75&gt;2,(H75/(B75+2)+J82),0))</f>
        <v>0</v>
      </c>
    </row>
    <row r="84" spans="1:10" ht="15.75" customHeight="1" x14ac:dyDescent="0.25">
      <c r="A84" s="143" t="s">
        <v>127</v>
      </c>
      <c r="B84" s="143" t="s">
        <v>127</v>
      </c>
      <c r="C84" s="83">
        <v>2</v>
      </c>
      <c r="D84" s="69">
        <f ca="1">((100/H75)*C84)/100</f>
        <v>0.33333333333333337</v>
      </c>
      <c r="E84" s="211"/>
      <c r="F84" s="211"/>
      <c r="G84" s="211"/>
      <c r="H84" s="211"/>
      <c r="I84" s="13" t="s">
        <v>140</v>
      </c>
      <c r="J84" s="28">
        <f>(IF(B75&gt;3,(H75/(B75+2)+J83),0))</f>
        <v>0</v>
      </c>
    </row>
    <row r="85" spans="1:10" ht="15.75" customHeight="1" x14ac:dyDescent="0.25">
      <c r="A85" s="143" t="s">
        <v>134</v>
      </c>
      <c r="B85" s="143"/>
      <c r="C85" s="83">
        <v>1</v>
      </c>
      <c r="D85" s="69">
        <f ca="1">((100/H75)*C85)/100</f>
        <v>0.16666666666666669</v>
      </c>
      <c r="E85" s="211"/>
      <c r="F85" s="211"/>
      <c r="G85" s="211"/>
      <c r="H85" s="211"/>
      <c r="I85" s="13" t="s">
        <v>141</v>
      </c>
      <c r="J85" s="27">
        <f>(IF(B75&gt;4,(H75/(B75+2)+J84),0))</f>
        <v>0</v>
      </c>
    </row>
    <row r="86" spans="1:10" ht="15.75" customHeight="1" x14ac:dyDescent="0.25">
      <c r="A86" s="143" t="s">
        <v>129</v>
      </c>
      <c r="B86" s="143" t="s">
        <v>129</v>
      </c>
      <c r="C86" s="83">
        <v>0</v>
      </c>
      <c r="D86" s="69">
        <f ca="1">((100/(H75))*C86)/100</f>
        <v>0</v>
      </c>
      <c r="E86" s="211"/>
      <c r="F86" s="211"/>
      <c r="G86" s="211"/>
      <c r="H86" s="211"/>
      <c r="I86" s="13" t="s">
        <v>143</v>
      </c>
      <c r="J86" s="27">
        <f ca="1">(IF(B75=1,(H75/(B75+3)+J81),IF(B75=0,(H75/4+J81),IF(B75&gt;1,0))))</f>
        <v>4.5</v>
      </c>
    </row>
    <row r="87" spans="1:10" ht="16.5" thickBot="1" x14ac:dyDescent="0.3">
      <c r="A87" s="143" t="s">
        <v>130</v>
      </c>
      <c r="B87" s="143"/>
      <c r="C87" s="83">
        <v>0</v>
      </c>
      <c r="D87" s="69">
        <f ca="1">((100/(H75))*C87)/100</f>
        <v>0</v>
      </c>
      <c r="E87" s="211"/>
      <c r="F87" s="211"/>
      <c r="G87" s="211"/>
      <c r="H87" s="211"/>
      <c r="I87" s="14" t="s">
        <v>101</v>
      </c>
      <c r="J87" s="29">
        <f ca="1">(IF(B75&gt;1.5,(H75/(B75+2)+J81+MAX(0,J82-J81)+MAX(0,J83-J82)+MAX(0,J84-J83)+MAX(0,J85-J84)+MAX(0,J86-J85)),IF(B75=1,(H75/(B75+3)+J86),IF(B75=0,H75/4+J86))))</f>
        <v>6</v>
      </c>
    </row>
    <row r="88" spans="1:10" ht="15.75" customHeight="1" x14ac:dyDescent="0.25">
      <c r="A88" s="103" t="s">
        <v>136</v>
      </c>
      <c r="B88" s="104"/>
      <c r="C88" s="105" t="str">
        <f>D66</f>
        <v>B Wing = Gr + 1st to 6th Floor</v>
      </c>
      <c r="D88" s="106"/>
      <c r="E88" s="106"/>
      <c r="F88" s="106"/>
      <c r="G88" s="106"/>
      <c r="H88" s="107"/>
      <c r="I88" s="42" t="str">
        <f ca="1">IF(D101=100%,"All work Completed. Possession granted to the Building.",IF(D100=100%,"All work Completed, Waiting for OC",I89&amp;""&amp;I90&amp;""&amp;J89&amp;""&amp;J88&amp;" "&amp;J90))</f>
        <v>Excavation, Plinth, RCC Slab, Brickwork Completed, Internal Plaster upto 4 Floor, External Plaster upto 3 Floor Completed</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Internal Plaster upto 4 Floor, External Plaster upto 3 Floor</v>
      </c>
    </row>
    <row r="89" spans="1:10" x14ac:dyDescent="0.25">
      <c r="A89" s="15" t="s">
        <v>138</v>
      </c>
      <c r="B89" s="46">
        <f>IF(AND(ISNUMBER(SEARCH("1B",C88))),1,IF(AND(ISNUMBER(SEARCH("2B",C88))),2,IF(AND(ISNUMBER(SEARCH("3B",C88))),3,IF(AND(ISNUMBER(SEARCH("4B",C88))),4,IF(ISNUMBER(SEARCH("5B",C88)),5,0)))))</f>
        <v>0</v>
      </c>
      <c r="C89" s="46" t="s">
        <v>68</v>
      </c>
      <c r="D89" s="46">
        <v>1</v>
      </c>
      <c r="E89" s="46" t="s">
        <v>67</v>
      </c>
      <c r="F89" s="46">
        <v>0</v>
      </c>
      <c r="G89" s="46" t="s">
        <v>76</v>
      </c>
      <c r="H89" s="16">
        <f ca="1">--TRIM(RIGHT(SUBSTITUTE(LEFT(C88,_xlfn.AGGREGATE(16,6,FIND({0,1,2,3,4,5,6,7,8,9},C88,ROW(INDIRECT("1:"&amp;LEN(C88)))),1))," ",REPT(" ",LEN(C88))),LEN(C88)))</f>
        <v>6</v>
      </c>
      <c r="I89" s="44" t="str">
        <f ca="1">IF(D92=100%,"Excavation","")&amp;IF(D93=100%,", Plinth","")&amp;IF(D94=100%,", RCC Slab","")&amp;IF(D95=100%,", Brickwork","")&amp;IF(D96=100%,", Internal Plaster","")&amp;IF(D97=100%,", External Plaster","")&amp;IF(D98=100%,", Flooring","")&amp;IF(D99=100%,", Painting","")&amp;IF(D100=100%,", Building common Amenities","")</f>
        <v>Excavation, Plinth, RCC Slab, Brickwork</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
      </c>
    </row>
    <row r="90" spans="1:10" ht="32.1" customHeight="1" x14ac:dyDescent="0.25">
      <c r="A90" s="220" t="s">
        <v>86</v>
      </c>
      <c r="B90" s="195"/>
      <c r="C90" s="209" t="str">
        <f ca="1">(IF($G$60="NA",I88,"All work Completed. OC Received."))</f>
        <v>Excavation, Plinth, RCC Slab, Brickwork Completed, Internal Plaster upto 4 Floor, External Plaster upto 3 Floor Completed</v>
      </c>
      <c r="D90" s="209"/>
      <c r="E90" s="209"/>
      <c r="F90" s="209"/>
      <c r="G90" s="209"/>
      <c r="H90" s="210"/>
      <c r="I90" s="44" t="str">
        <f ca="1">IF(I89&lt;&gt;""," Completed","")</f>
        <v xml:space="preserve"> Completed</v>
      </c>
      <c r="J90" s="45" t="str">
        <f ca="1">IF(J88&lt;&gt;"","Completed","")</f>
        <v>Completed</v>
      </c>
    </row>
    <row r="91" spans="1:10" ht="15.75" customHeight="1" x14ac:dyDescent="0.25">
      <c r="A91" s="142" t="s">
        <v>46</v>
      </c>
      <c r="B91" s="143"/>
      <c r="C91" s="68" t="s">
        <v>135</v>
      </c>
      <c r="D91" s="68" t="s">
        <v>79</v>
      </c>
      <c r="E91" s="143" t="s">
        <v>81</v>
      </c>
      <c r="F91" s="143"/>
      <c r="G91" s="143" t="s">
        <v>80</v>
      </c>
      <c r="H91" s="157"/>
      <c r="I91" s="13" t="s">
        <v>137</v>
      </c>
      <c r="J91" s="25">
        <f ca="1">H89*25%</f>
        <v>1.5</v>
      </c>
    </row>
    <row r="92" spans="1:10" x14ac:dyDescent="0.25">
      <c r="A92" s="142" t="s">
        <v>124</v>
      </c>
      <c r="B92" s="143"/>
      <c r="C92" s="68">
        <f ca="1">J93</f>
        <v>6</v>
      </c>
      <c r="D92" s="69">
        <f ca="1">((100/H89)*C92)/100</f>
        <v>1</v>
      </c>
      <c r="E92" s="158">
        <f ca="1">(((C93/H89*10)+(40/(D89+F89+H89)*C94)+(7.5/(H89)*C95)+(7.5/(H89)*C96)+(10/H89*C97)+(10/H89*C98)+(5/H89*C99)+(5/H89*C100)+(5/H89*C101))/100)</f>
        <v>0.67500000000000004</v>
      </c>
      <c r="F92" s="159"/>
      <c r="G92" s="158">
        <f ca="1">((((C92/H89)*20)+((C93/H89)*25)+(30/(H89+F89+D89)*C94)+(5/H89*C95)+(5/H89*C96)+(5/H89*C97)+(5/H89*C98)+(0/H89*C99)+(0/H89*C100)+(5/H89*C101))/100)</f>
        <v>0.85833333333333328</v>
      </c>
      <c r="H92" s="224"/>
      <c r="I92" s="13" t="s">
        <v>97</v>
      </c>
      <c r="J92" s="26">
        <f ca="1">H89*50%</f>
        <v>3</v>
      </c>
    </row>
    <row r="93" spans="1:10" x14ac:dyDescent="0.25">
      <c r="A93" s="142" t="s">
        <v>47</v>
      </c>
      <c r="B93" s="143"/>
      <c r="C93" s="72">
        <f ca="1">J101</f>
        <v>6</v>
      </c>
      <c r="D93" s="69">
        <f ca="1">((100/H89)*C93)/100</f>
        <v>1</v>
      </c>
      <c r="E93" s="160"/>
      <c r="F93" s="161"/>
      <c r="G93" s="160"/>
      <c r="H93" s="225"/>
      <c r="I93" s="13" t="s">
        <v>98</v>
      </c>
      <c r="J93" s="26">
        <f ca="1">H89</f>
        <v>6</v>
      </c>
    </row>
    <row r="94" spans="1:10" ht="15.75" customHeight="1" x14ac:dyDescent="0.25">
      <c r="A94" s="142" t="s">
        <v>125</v>
      </c>
      <c r="B94" s="143"/>
      <c r="C94" s="68">
        <v>7</v>
      </c>
      <c r="D94" s="69">
        <f ca="1">((100/(D89+F89+H89))*C94)/100</f>
        <v>1</v>
      </c>
      <c r="E94" s="160"/>
      <c r="F94" s="161"/>
      <c r="G94" s="160"/>
      <c r="H94" s="225"/>
      <c r="I94" s="13" t="s">
        <v>99</v>
      </c>
      <c r="J94" s="27">
        <f ca="1">(IF(B89&gt;1,(H89/(B89+2)),H89/4))</f>
        <v>1.5</v>
      </c>
    </row>
    <row r="95" spans="1:10" ht="15.75" customHeight="1" x14ac:dyDescent="0.25">
      <c r="A95" s="142" t="s">
        <v>132</v>
      </c>
      <c r="B95" s="143" t="s">
        <v>126</v>
      </c>
      <c r="C95" s="68">
        <v>6</v>
      </c>
      <c r="D95" s="69">
        <f ca="1">((100/H89)*C95)/100</f>
        <v>1</v>
      </c>
      <c r="E95" s="160"/>
      <c r="F95" s="161"/>
      <c r="G95" s="160"/>
      <c r="H95" s="225"/>
      <c r="I95" s="13" t="s">
        <v>100</v>
      </c>
      <c r="J95" s="27">
        <f ca="1">(IF(B89&gt;1,(H89/(B89+2)+J94),H89/4+J94))</f>
        <v>3</v>
      </c>
    </row>
    <row r="96" spans="1:10" ht="15.75" customHeight="1" x14ac:dyDescent="0.25">
      <c r="A96" s="142" t="s">
        <v>133</v>
      </c>
      <c r="B96" s="143" t="s">
        <v>126</v>
      </c>
      <c r="C96" s="68">
        <v>4</v>
      </c>
      <c r="D96" s="69">
        <f ca="1">((100/H89)*C96)/100</f>
        <v>0.66666666666666674</v>
      </c>
      <c r="E96" s="160"/>
      <c r="F96" s="161"/>
      <c r="G96" s="160"/>
      <c r="H96" s="225"/>
      <c r="I96" s="13" t="s">
        <v>142</v>
      </c>
      <c r="J96" s="27">
        <f>(IF(B89&gt;1,(H89/(B89+2)+J95),0))</f>
        <v>0</v>
      </c>
    </row>
    <row r="97" spans="1:22" ht="15" customHeight="1" x14ac:dyDescent="0.25">
      <c r="A97" s="142" t="s">
        <v>131</v>
      </c>
      <c r="B97" s="143" t="s">
        <v>128</v>
      </c>
      <c r="C97" s="68">
        <v>3</v>
      </c>
      <c r="D97" s="69">
        <f ca="1">((100/(H89))*C97)/100</f>
        <v>0.5</v>
      </c>
      <c r="E97" s="160"/>
      <c r="F97" s="161"/>
      <c r="G97" s="160"/>
      <c r="H97" s="225"/>
      <c r="I97" s="13" t="s">
        <v>139</v>
      </c>
      <c r="J97" s="27">
        <f>(IF(B89&gt;2,(H89/(B89+2)+J96),0))</f>
        <v>0</v>
      </c>
    </row>
    <row r="98" spans="1:22" ht="15.75" customHeight="1" x14ac:dyDescent="0.25">
      <c r="A98" s="142" t="s">
        <v>127</v>
      </c>
      <c r="B98" s="143" t="s">
        <v>127</v>
      </c>
      <c r="C98" s="68">
        <v>0</v>
      </c>
      <c r="D98" s="69">
        <f ca="1">((100/H89)*C98)/100</f>
        <v>0</v>
      </c>
      <c r="E98" s="160"/>
      <c r="F98" s="161"/>
      <c r="G98" s="160"/>
      <c r="H98" s="225"/>
      <c r="I98" s="13" t="s">
        <v>140</v>
      </c>
      <c r="J98" s="28">
        <f>(IF(B89&gt;3,(H89/(B89+2)+J97),0))</f>
        <v>0</v>
      </c>
    </row>
    <row r="99" spans="1:22" ht="15.75" customHeight="1" x14ac:dyDescent="0.25">
      <c r="A99" s="142" t="s">
        <v>134</v>
      </c>
      <c r="B99" s="143"/>
      <c r="C99" s="68">
        <v>0</v>
      </c>
      <c r="D99" s="69">
        <f ca="1">((100/H89)*C99)/100</f>
        <v>0</v>
      </c>
      <c r="E99" s="160"/>
      <c r="F99" s="161"/>
      <c r="G99" s="160"/>
      <c r="H99" s="225"/>
      <c r="I99" s="13" t="s">
        <v>141</v>
      </c>
      <c r="J99" s="27">
        <f>(IF(B89&gt;4,(H89/(B89+2)+J98),0))</f>
        <v>0</v>
      </c>
    </row>
    <row r="100" spans="1:22" ht="15.75" customHeight="1" x14ac:dyDescent="0.25">
      <c r="A100" s="142" t="s">
        <v>129</v>
      </c>
      <c r="B100" s="143" t="s">
        <v>129</v>
      </c>
      <c r="C100" s="68">
        <v>0</v>
      </c>
      <c r="D100" s="69">
        <f ca="1">((100/(H89))*C100)/100</f>
        <v>0</v>
      </c>
      <c r="E100" s="160"/>
      <c r="F100" s="161"/>
      <c r="G100" s="160"/>
      <c r="H100" s="225"/>
      <c r="I100" s="13" t="s">
        <v>143</v>
      </c>
      <c r="J100" s="27">
        <f ca="1">(IF(B89=1,(H89/(B89+3)+J95),IF(B89=0,(H89/4+J95),IF(B89&gt;1,0))))</f>
        <v>4.5</v>
      </c>
    </row>
    <row r="101" spans="1:22" ht="16.5" thickBot="1" x14ac:dyDescent="0.3">
      <c r="A101" s="164" t="s">
        <v>130</v>
      </c>
      <c r="B101" s="165"/>
      <c r="C101" s="70">
        <v>0</v>
      </c>
      <c r="D101" s="71">
        <f ca="1">((100/(H89))*C101)/100</f>
        <v>0</v>
      </c>
      <c r="E101" s="162"/>
      <c r="F101" s="163"/>
      <c r="G101" s="162"/>
      <c r="H101" s="226"/>
      <c r="I101" s="14" t="s">
        <v>101</v>
      </c>
      <c r="J101" s="29">
        <f ca="1">(IF(B89&gt;1.5,(H89/(B89+2)+J95+MAX(0,J96-J95)+MAX(0,J97-J96)+MAX(0,J98-J97)+MAX(0,J99-J98)+MAX(0,J100-J99)),IF(B89=1,(H89/(B89+3)+J100),IF(B89=0,H89/4+J100))))</f>
        <v>6</v>
      </c>
    </row>
    <row r="102" spans="1:22" x14ac:dyDescent="0.25">
      <c r="A102" s="227" t="s">
        <v>153</v>
      </c>
      <c r="B102" s="227"/>
      <c r="C102" s="227"/>
      <c r="D102" s="227"/>
      <c r="E102" s="227"/>
      <c r="F102" s="166" t="s">
        <v>157</v>
      </c>
      <c r="G102" s="166"/>
      <c r="H102" s="166"/>
      <c r="R102" t="s">
        <v>252</v>
      </c>
      <c r="S102" t="s">
        <v>169</v>
      </c>
      <c r="T102" t="s">
        <v>176</v>
      </c>
      <c r="U102" t="s">
        <v>191</v>
      </c>
      <c r="V102" t="s">
        <v>186</v>
      </c>
    </row>
    <row r="103" spans="1:22" x14ac:dyDescent="0.25">
      <c r="A103" s="93" t="s">
        <v>155</v>
      </c>
      <c r="B103" s="93"/>
      <c r="C103" s="93"/>
      <c r="D103" s="93"/>
      <c r="E103" s="93"/>
      <c r="F103" s="90">
        <v>3400</v>
      </c>
      <c r="G103" s="90"/>
      <c r="H103" s="90"/>
      <c r="R103"/>
      <c r="S103">
        <v>800000</v>
      </c>
      <c r="T103">
        <v>150000</v>
      </c>
      <c r="U103">
        <v>100000</v>
      </c>
      <c r="V103">
        <v>100000</v>
      </c>
    </row>
    <row r="104" spans="1:22" x14ac:dyDescent="0.25">
      <c r="A104" s="93" t="s">
        <v>154</v>
      </c>
      <c r="B104" s="93"/>
      <c r="C104" s="93"/>
      <c r="D104" s="93"/>
      <c r="E104" s="93"/>
      <c r="F104" s="90">
        <v>7000</v>
      </c>
      <c r="G104" s="90"/>
      <c r="H104" s="90"/>
      <c r="R104"/>
      <c r="S104">
        <v>900000</v>
      </c>
      <c r="T104">
        <v>200000</v>
      </c>
      <c r="U104">
        <v>150000</v>
      </c>
      <c r="V104">
        <v>150000</v>
      </c>
    </row>
    <row r="105" spans="1:22" x14ac:dyDescent="0.25">
      <c r="A105" s="93" t="s">
        <v>156</v>
      </c>
      <c r="B105" s="93"/>
      <c r="C105" s="93"/>
      <c r="D105" s="93"/>
      <c r="E105" s="93"/>
      <c r="F105" s="90">
        <v>5000</v>
      </c>
      <c r="G105" s="90"/>
      <c r="H105" s="90"/>
      <c r="R105"/>
      <c r="S105">
        <v>1000000</v>
      </c>
      <c r="T105">
        <v>250000</v>
      </c>
      <c r="U105">
        <v>200000</v>
      </c>
      <c r="V105">
        <v>200000</v>
      </c>
    </row>
    <row r="106" spans="1:22" s="30" customFormat="1" hidden="1" x14ac:dyDescent="0.25">
      <c r="A106" s="93" t="s">
        <v>172</v>
      </c>
      <c r="B106" s="93"/>
      <c r="C106" s="93"/>
      <c r="D106" s="93"/>
      <c r="E106" s="93"/>
      <c r="F106" s="90"/>
      <c r="G106" s="90"/>
      <c r="H106" s="90"/>
      <c r="R106"/>
      <c r="S106">
        <v>1100000</v>
      </c>
      <c r="T106">
        <v>300000</v>
      </c>
      <c r="U106">
        <v>250000</v>
      </c>
      <c r="V106" s="20">
        <v>250000</v>
      </c>
    </row>
    <row r="107" spans="1:22" s="30" customFormat="1" hidden="1" x14ac:dyDescent="0.25">
      <c r="A107" s="93" t="s">
        <v>91</v>
      </c>
      <c r="B107" s="93"/>
      <c r="C107" s="93"/>
      <c r="D107" s="93"/>
      <c r="E107" s="93"/>
      <c r="F107" s="90"/>
      <c r="G107" s="90"/>
      <c r="H107" s="90"/>
      <c r="R107"/>
      <c r="S107">
        <v>1200000</v>
      </c>
      <c r="T107">
        <v>350000</v>
      </c>
      <c r="U107">
        <v>300000</v>
      </c>
      <c r="V107">
        <v>300000</v>
      </c>
    </row>
    <row r="108" spans="1:22" s="30" customFormat="1" hidden="1" x14ac:dyDescent="0.25">
      <c r="A108" s="93" t="s">
        <v>92</v>
      </c>
      <c r="B108" s="93"/>
      <c r="C108" s="93"/>
      <c r="D108" s="93"/>
      <c r="E108" s="93"/>
      <c r="F108" s="90"/>
      <c r="G108" s="90"/>
      <c r="H108" s="90"/>
      <c r="R108"/>
      <c r="S108">
        <v>1300000</v>
      </c>
      <c r="T108">
        <v>400000</v>
      </c>
      <c r="U108">
        <v>350000</v>
      </c>
      <c r="V108" s="20">
        <v>400000</v>
      </c>
    </row>
    <row r="109" spans="1:22" s="30" customFormat="1" hidden="1" x14ac:dyDescent="0.25">
      <c r="A109" s="93" t="s">
        <v>93</v>
      </c>
      <c r="B109" s="93"/>
      <c r="C109" s="93"/>
      <c r="D109" s="93"/>
      <c r="E109" s="93"/>
      <c r="F109" s="90"/>
      <c r="G109" s="90"/>
      <c r="H109" s="90"/>
      <c r="R109"/>
      <c r="S109">
        <v>1400000</v>
      </c>
      <c r="T109">
        <v>500000</v>
      </c>
      <c r="U109">
        <v>400000</v>
      </c>
      <c r="V109"/>
    </row>
    <row r="110" spans="1:22" s="30" customFormat="1" hidden="1" x14ac:dyDescent="0.25">
      <c r="A110" s="93" t="s">
        <v>94</v>
      </c>
      <c r="B110" s="93"/>
      <c r="C110" s="93"/>
      <c r="D110" s="93"/>
      <c r="E110" s="93"/>
      <c r="F110" s="90"/>
      <c r="G110" s="90"/>
      <c r="H110" s="90"/>
      <c r="R110"/>
      <c r="S110">
        <v>1500000</v>
      </c>
      <c r="T110">
        <v>600000</v>
      </c>
      <c r="U110">
        <v>500000</v>
      </c>
      <c r="V110" s="20"/>
    </row>
    <row r="111" spans="1:22" s="30" customFormat="1" hidden="1" x14ac:dyDescent="0.25">
      <c r="A111" s="93" t="s">
        <v>95</v>
      </c>
      <c r="B111" s="93"/>
      <c r="C111" s="93"/>
      <c r="D111" s="93"/>
      <c r="E111" s="93"/>
      <c r="F111" s="90"/>
      <c r="G111" s="90"/>
      <c r="H111" s="90"/>
      <c r="R111"/>
      <c r="S111">
        <v>1600000</v>
      </c>
      <c r="T111">
        <v>700000</v>
      </c>
      <c r="U111">
        <v>600000</v>
      </c>
      <c r="V111"/>
    </row>
    <row r="112" spans="1:22" s="30" customFormat="1" hidden="1" x14ac:dyDescent="0.25">
      <c r="A112" s="93" t="s">
        <v>96</v>
      </c>
      <c r="B112" s="93"/>
      <c r="C112" s="93"/>
      <c r="D112" s="93"/>
      <c r="E112" s="93"/>
      <c r="F112" s="90"/>
      <c r="G112" s="90"/>
      <c r="H112" s="90"/>
      <c r="R112"/>
      <c r="S112">
        <v>1700000</v>
      </c>
      <c r="T112">
        <v>800000</v>
      </c>
      <c r="U112"/>
      <c r="V112" s="20"/>
    </row>
    <row r="113" spans="1:22" x14ac:dyDescent="0.25">
      <c r="A113" s="93" t="s">
        <v>48</v>
      </c>
      <c r="B113" s="93"/>
      <c r="C113" s="93"/>
      <c r="D113" s="93"/>
      <c r="E113" s="93"/>
      <c r="F113" s="90">
        <v>100000</v>
      </c>
      <c r="G113" s="90"/>
      <c r="H113" s="90"/>
      <c r="R113"/>
      <c r="S113">
        <v>1800000</v>
      </c>
      <c r="T113">
        <v>900000</v>
      </c>
      <c r="U113"/>
    </row>
    <row r="114" spans="1:22" s="31" customFormat="1" x14ac:dyDescent="0.25">
      <c r="A114" s="189" t="s">
        <v>49</v>
      </c>
      <c r="B114" s="189"/>
      <c r="C114" s="189"/>
      <c r="D114" s="189"/>
      <c r="E114" s="189"/>
      <c r="F114" s="90">
        <f>F103*0.8</f>
        <v>2720</v>
      </c>
      <c r="G114" s="90"/>
      <c r="H114" s="90"/>
      <c r="R114" s="18"/>
      <c r="S114" s="18"/>
      <c r="T114">
        <v>1000000</v>
      </c>
      <c r="U114"/>
      <c r="V114" s="18"/>
    </row>
    <row r="115" spans="1:22" s="32" customFormat="1" ht="15.75" customHeight="1" x14ac:dyDescent="0.25">
      <c r="A115" s="188" t="s">
        <v>71</v>
      </c>
      <c r="B115" s="188"/>
      <c r="C115" s="188"/>
      <c r="D115" s="188"/>
      <c r="E115" s="188"/>
      <c r="F115" s="188"/>
      <c r="G115" s="188"/>
      <c r="H115" s="188"/>
      <c r="R115"/>
      <c r="S115" s="18"/>
      <c r="T115"/>
      <c r="U115"/>
      <c r="V115" s="18"/>
    </row>
    <row r="116" spans="1:22" s="32" customFormat="1" ht="15.75" customHeight="1" x14ac:dyDescent="0.25">
      <c r="A116" s="92" t="s">
        <v>50</v>
      </c>
      <c r="B116" s="92"/>
      <c r="C116" s="99" t="s">
        <v>74</v>
      </c>
      <c r="D116" s="99"/>
      <c r="E116" s="97" t="s">
        <v>51</v>
      </c>
      <c r="F116" s="97"/>
      <c r="G116" s="92" t="s">
        <v>52</v>
      </c>
      <c r="H116" s="92"/>
      <c r="R116"/>
      <c r="S116" s="18"/>
      <c r="T116"/>
      <c r="U116" s="18"/>
      <c r="V116" s="18"/>
    </row>
    <row r="117" spans="1:22" s="32" customFormat="1" x14ac:dyDescent="0.25">
      <c r="A117" s="98" t="s">
        <v>338</v>
      </c>
      <c r="B117" s="98"/>
      <c r="C117" s="144">
        <f>COUNT(D132:D171)</f>
        <v>40</v>
      </c>
      <c r="D117" s="145"/>
      <c r="E117" s="144">
        <f t="shared" ref="E117" si="0">SUM(F132:F171)</f>
        <v>7531.5707999999968</v>
      </c>
      <c r="F117" s="145"/>
      <c r="G117" s="144">
        <f t="shared" ref="G117" si="1">SUM(H132:H171)</f>
        <v>11297.3562</v>
      </c>
      <c r="H117" s="145"/>
      <c r="R117"/>
      <c r="S117" s="18"/>
      <c r="T117"/>
      <c r="U117" s="18"/>
      <c r="V117" s="18"/>
    </row>
    <row r="118" spans="1:22" s="32" customFormat="1" x14ac:dyDescent="0.25">
      <c r="A118" s="98" t="s">
        <v>339</v>
      </c>
      <c r="B118" s="98"/>
      <c r="C118" s="144">
        <f>COUNT(D174:D188)</f>
        <v>15</v>
      </c>
      <c r="D118" s="145"/>
      <c r="E118" s="144">
        <f t="shared" ref="E118" si="2">SUM(F174:F188)</f>
        <v>3293.3534399999999</v>
      </c>
      <c r="F118" s="145"/>
      <c r="G118" s="144">
        <f t="shared" ref="G118" si="3">SUM(H174:H188)</f>
        <v>4940.0301600000003</v>
      </c>
      <c r="H118" s="145"/>
      <c r="R118"/>
      <c r="S118" s="18"/>
      <c r="T118"/>
      <c r="U118" s="18"/>
      <c r="V118" s="18"/>
    </row>
    <row r="119" spans="1:22" s="32" customFormat="1" x14ac:dyDescent="0.25">
      <c r="A119" s="188" t="s">
        <v>146</v>
      </c>
      <c r="B119" s="188"/>
      <c r="C119" s="228">
        <f>SUM(C117:C118)</f>
        <v>55</v>
      </c>
      <c r="D119" s="99"/>
      <c r="E119" s="228">
        <f>SUM(E117:E118)</f>
        <v>10824.924239999997</v>
      </c>
      <c r="F119" s="99"/>
      <c r="G119" s="228">
        <f>SUM(G117:G118)</f>
        <v>16237.38636</v>
      </c>
      <c r="H119" s="99"/>
      <c r="R119"/>
      <c r="S119" s="18"/>
      <c r="T119"/>
      <c r="U119" s="18"/>
      <c r="V119" s="18"/>
    </row>
    <row r="120" spans="1:22" s="32" customFormat="1" x14ac:dyDescent="0.25">
      <c r="A120" s="188" t="s">
        <v>66</v>
      </c>
      <c r="B120" s="188"/>
      <c r="C120" s="188"/>
      <c r="D120" s="188"/>
      <c r="E120" s="188"/>
      <c r="F120" s="188"/>
      <c r="G120" s="188"/>
      <c r="H120" s="188"/>
      <c r="T120"/>
    </row>
    <row r="121" spans="1:22" s="32" customFormat="1" ht="15.75" customHeight="1" x14ac:dyDescent="0.25">
      <c r="A121" s="92" t="s">
        <v>50</v>
      </c>
      <c r="B121" s="92"/>
      <c r="C121" s="99" t="s">
        <v>74</v>
      </c>
      <c r="D121" s="99"/>
      <c r="E121" s="97" t="s">
        <v>51</v>
      </c>
      <c r="F121" s="97"/>
      <c r="G121" s="92" t="s">
        <v>52</v>
      </c>
      <c r="H121" s="92"/>
      <c r="T121"/>
    </row>
    <row r="122" spans="1:22" s="32" customFormat="1" x14ac:dyDescent="0.25">
      <c r="A122" s="98" t="s">
        <v>333</v>
      </c>
      <c r="B122" s="98"/>
      <c r="C122" s="145">
        <f>COUNT(D194:D206)+COUNT(D208:D220)+COUNT(D222:D234)*4</f>
        <v>78</v>
      </c>
      <c r="D122" s="145"/>
      <c r="E122" s="144">
        <f t="shared" ref="E122" si="4">SUM(F194:F206)+SUM(F208:F220)+SUM(F222:F234)*4</f>
        <v>39724.326719999983</v>
      </c>
      <c r="F122" s="144"/>
      <c r="G122" s="144">
        <f t="shared" ref="G122" si="5">SUM(H194:H206)+SUM(H208:H220)+SUM(H222:H234)*4</f>
        <v>57600.273744000006</v>
      </c>
      <c r="H122" s="144"/>
      <c r="T122"/>
    </row>
    <row r="123" spans="1:22" s="32" customFormat="1" x14ac:dyDescent="0.25">
      <c r="A123" s="98" t="s">
        <v>330</v>
      </c>
      <c r="B123" s="98"/>
      <c r="C123" s="145">
        <f>COUNT(D237:D244)+COUNT(D246:D256)+COUNT(D258:D268)*4</f>
        <v>63</v>
      </c>
      <c r="D123" s="145"/>
      <c r="E123" s="144">
        <f t="shared" ref="E123" si="6">SUM(F237:F244)+SUM(F246:F256)+SUM(F258:F268)*4</f>
        <v>34639.843680000005</v>
      </c>
      <c r="F123" s="144"/>
      <c r="G123" s="144">
        <f t="shared" ref="G123" si="7">SUM(H237:H244)+SUM(H246:H256)+SUM(H258:H268)*4</f>
        <v>50563.367945999998</v>
      </c>
      <c r="H123" s="144"/>
      <c r="T123"/>
    </row>
    <row r="124" spans="1:22" s="32" customFormat="1" ht="16.5" thickBot="1" x14ac:dyDescent="0.3">
      <c r="A124" s="192" t="s">
        <v>146</v>
      </c>
      <c r="B124" s="192"/>
      <c r="C124" s="146">
        <f>SUM(C122:C123)</f>
        <v>141</v>
      </c>
      <c r="D124" s="146"/>
      <c r="E124" s="193">
        <f>SUM(E122:E123)</f>
        <v>74364.170399999988</v>
      </c>
      <c r="F124" s="193"/>
      <c r="G124" s="193">
        <f>SUM(G122:G123)</f>
        <v>108163.64169</v>
      </c>
      <c r="H124" s="193"/>
      <c r="T124"/>
    </row>
    <row r="125" spans="1:22" s="32" customFormat="1" x14ac:dyDescent="0.25">
      <c r="A125" s="170" t="s">
        <v>163</v>
      </c>
      <c r="B125" s="171"/>
      <c r="C125" s="172">
        <f>C119+C124</f>
        <v>196</v>
      </c>
      <c r="D125" s="173"/>
      <c r="E125" s="174">
        <f>E119+E124</f>
        <v>85189.094639999981</v>
      </c>
      <c r="F125" s="175"/>
      <c r="G125" s="215">
        <f>G119+G124</f>
        <v>124401.02805000001</v>
      </c>
      <c r="H125" s="216"/>
      <c r="T125"/>
    </row>
    <row r="126" spans="1:22" s="31" customFormat="1" x14ac:dyDescent="0.25">
      <c r="A126" s="154" t="s">
        <v>53</v>
      </c>
      <c r="B126" s="154"/>
      <c r="C126" s="154"/>
      <c r="D126" s="154"/>
      <c r="E126" s="154"/>
      <c r="F126" s="154"/>
      <c r="G126" s="154"/>
      <c r="H126" s="154"/>
      <c r="T126" s="32"/>
    </row>
    <row r="127" spans="1:22" x14ac:dyDescent="0.25">
      <c r="A127" s="91" t="s">
        <v>171</v>
      </c>
      <c r="B127" s="91"/>
      <c r="C127" s="91"/>
      <c r="D127" s="91"/>
      <c r="E127" s="91"/>
      <c r="F127" s="91"/>
      <c r="G127" s="91"/>
      <c r="H127" s="91"/>
      <c r="T127" s="32"/>
    </row>
    <row r="128" spans="1:22" ht="47.25" customHeight="1" x14ac:dyDescent="0.25">
      <c r="A128" s="150" t="s">
        <v>329</v>
      </c>
      <c r="B128" s="150" t="s">
        <v>173</v>
      </c>
      <c r="C128" s="150" t="s">
        <v>54</v>
      </c>
      <c r="D128" s="150" t="s">
        <v>230</v>
      </c>
      <c r="E128" s="208" t="s">
        <v>152</v>
      </c>
      <c r="F128" s="150" t="s">
        <v>55</v>
      </c>
      <c r="G128" s="208" t="s">
        <v>56</v>
      </c>
      <c r="H128" s="86" t="s">
        <v>145</v>
      </c>
      <c r="T128" s="32"/>
    </row>
    <row r="129" spans="1:20" s="34" customFormat="1" x14ac:dyDescent="0.25">
      <c r="A129" s="150"/>
      <c r="B129" s="150"/>
      <c r="C129" s="150"/>
      <c r="D129" s="150"/>
      <c r="E129" s="208"/>
      <c r="F129" s="150"/>
      <c r="G129" s="208"/>
      <c r="H129" s="87">
        <v>0.5</v>
      </c>
      <c r="N129" s="67">
        <v>10.763999999999999</v>
      </c>
      <c r="T129" s="32"/>
    </row>
    <row r="130" spans="1:20" s="66" customFormat="1" x14ac:dyDescent="0.25">
      <c r="A130" s="190" t="s">
        <v>326</v>
      </c>
      <c r="B130" s="190"/>
      <c r="C130" s="190"/>
      <c r="D130" s="190"/>
      <c r="E130" s="190"/>
      <c r="F130" s="190"/>
      <c r="G130" s="190"/>
      <c r="H130" s="190"/>
      <c r="J130" s="33"/>
      <c r="T130" s="32"/>
    </row>
    <row r="131" spans="1:20" s="34" customFormat="1" x14ac:dyDescent="0.25">
      <c r="A131" s="190" t="s">
        <v>327</v>
      </c>
      <c r="B131" s="190"/>
      <c r="C131" s="190"/>
      <c r="D131" s="190"/>
      <c r="E131" s="190"/>
      <c r="F131" s="190"/>
      <c r="G131" s="190"/>
      <c r="H131" s="190"/>
      <c r="J131" s="33"/>
      <c r="T131" s="32"/>
    </row>
    <row r="132" spans="1:20" s="34" customFormat="1" ht="15.75" customHeight="1" x14ac:dyDescent="0.25">
      <c r="A132" s="137">
        <v>1</v>
      </c>
      <c r="B132" s="137"/>
      <c r="C132" s="82" t="s">
        <v>328</v>
      </c>
      <c r="D132" s="82">
        <f>(17.18)*10.764</f>
        <v>184.92551999999998</v>
      </c>
      <c r="E132" s="82">
        <v>0</v>
      </c>
      <c r="F132" s="82">
        <f>D132+(IF(E132&lt;201,E132,IF(E132&lt;301,E132/2,E132/3)))</f>
        <v>184.92551999999998</v>
      </c>
      <c r="G132" s="58">
        <v>0</v>
      </c>
      <c r="H132" s="82">
        <f>(F132+(IF(G132&lt;101,G132,IF(G132&lt;201,G132/2,IF(G132&lt;=301,G132/3,G132/4)))))*(($H$129)+1)</f>
        <v>277.38827999999995</v>
      </c>
      <c r="I132" s="33">
        <f>3.95*4.35</f>
        <v>17.182500000000001</v>
      </c>
      <c r="L132" s="207"/>
      <c r="M132" s="207"/>
      <c r="N132" s="33"/>
      <c r="T132" s="32"/>
    </row>
    <row r="133" spans="1:20" s="34" customFormat="1" ht="15.75" customHeight="1" x14ac:dyDescent="0.25">
      <c r="A133" s="137">
        <f>A132+1</f>
        <v>2</v>
      </c>
      <c r="B133" s="137"/>
      <c r="C133" s="82" t="s">
        <v>328</v>
      </c>
      <c r="D133" s="82">
        <f>(11.25)*10.764</f>
        <v>121.095</v>
      </c>
      <c r="E133" s="82">
        <v>0</v>
      </c>
      <c r="F133" s="82">
        <f t="shared" ref="F133:F135" si="8">D133+(IF(E133&lt;201,E133,IF(E133&lt;301,E133/2,E133/3)))</f>
        <v>121.095</v>
      </c>
      <c r="G133" s="82">
        <v>0</v>
      </c>
      <c r="H133" s="82">
        <f t="shared" ref="H133:H135" si="9">(F133+(IF(G133&lt;101,G133,IF(G133&lt;201,G133/2,IF(G133&lt;=301,G133/3,G133/4)))))*(($H$129)+1)</f>
        <v>181.64249999999998</v>
      </c>
      <c r="I133" s="33"/>
      <c r="L133" s="207"/>
      <c r="M133" s="207"/>
      <c r="N133" s="33"/>
      <c r="T133" s="31"/>
    </row>
    <row r="134" spans="1:20" s="34" customFormat="1" ht="15.75" customHeight="1" x14ac:dyDescent="0.25">
      <c r="A134" s="151">
        <f>A133+1</f>
        <v>3</v>
      </c>
      <c r="B134" s="152"/>
      <c r="C134" s="65" t="s">
        <v>328</v>
      </c>
      <c r="D134" s="67">
        <f>(13.62)*10.764</f>
        <v>146.60567999999998</v>
      </c>
      <c r="E134" s="39">
        <v>0</v>
      </c>
      <c r="F134" s="57">
        <f t="shared" si="8"/>
        <v>146.60567999999998</v>
      </c>
      <c r="G134" s="50">
        <v>0</v>
      </c>
      <c r="H134" s="57">
        <f t="shared" si="9"/>
        <v>219.90851999999995</v>
      </c>
      <c r="I134" s="33">
        <f>3.95*3.45</f>
        <v>13.627500000000001</v>
      </c>
      <c r="L134" s="207"/>
      <c r="M134" s="207"/>
      <c r="N134" s="33"/>
      <c r="T134" s="18"/>
    </row>
    <row r="135" spans="1:20" s="34" customFormat="1" ht="15.75" customHeight="1" x14ac:dyDescent="0.25">
      <c r="A135" s="151">
        <f>A134+1</f>
        <v>4</v>
      </c>
      <c r="B135" s="152"/>
      <c r="C135" s="65" t="s">
        <v>328</v>
      </c>
      <c r="D135" s="67">
        <f>(8.88)*10.764</f>
        <v>95.584320000000005</v>
      </c>
      <c r="E135" s="39">
        <v>0</v>
      </c>
      <c r="F135" s="57">
        <f t="shared" si="8"/>
        <v>95.584320000000005</v>
      </c>
      <c r="G135" s="50">
        <v>0</v>
      </c>
      <c r="H135" s="57">
        <f t="shared" si="9"/>
        <v>143.37648000000002</v>
      </c>
      <c r="I135" s="33"/>
      <c r="L135" s="207"/>
      <c r="M135" s="207"/>
      <c r="N135" s="33"/>
      <c r="T135" s="18"/>
    </row>
    <row r="136" spans="1:20" s="66" customFormat="1" ht="15.75" customHeight="1" x14ac:dyDescent="0.25">
      <c r="A136" s="151">
        <f t="shared" ref="A136:A161" si="10">A135+1</f>
        <v>5</v>
      </c>
      <c r="B136" s="152"/>
      <c r="C136" s="65" t="s">
        <v>328</v>
      </c>
      <c r="D136" s="67">
        <f>(8.28)*10.764</f>
        <v>89.125919999999994</v>
      </c>
      <c r="E136" s="65">
        <v>0</v>
      </c>
      <c r="F136" s="65">
        <f t="shared" ref="F136:F161" si="11">D136+(IF(E136&lt;201,E136,IF(E136&lt;301,E136/2,E136/3)))</f>
        <v>89.125919999999994</v>
      </c>
      <c r="G136" s="65">
        <v>0</v>
      </c>
      <c r="H136" s="65">
        <f t="shared" ref="H136:H161" si="12">(F136+(IF(G136&lt;101,G136,IF(G136&lt;201,G136/2,IF(G136&lt;=301,G136/3,G136/4)))))*(($H$129)+1)</f>
        <v>133.68887999999998</v>
      </c>
      <c r="I136" s="33"/>
      <c r="L136" s="207"/>
      <c r="M136" s="207"/>
      <c r="N136" s="33"/>
      <c r="T136" s="18"/>
    </row>
    <row r="137" spans="1:20" s="66" customFormat="1" ht="15.75" customHeight="1" x14ac:dyDescent="0.25">
      <c r="A137" s="151">
        <f>A136+1</f>
        <v>6</v>
      </c>
      <c r="B137" s="152"/>
      <c r="C137" s="65" t="s">
        <v>328</v>
      </c>
      <c r="D137" s="67">
        <f>(17.28)*10.764</f>
        <v>186.00192000000001</v>
      </c>
      <c r="E137" s="65">
        <v>0</v>
      </c>
      <c r="F137" s="65">
        <f t="shared" si="11"/>
        <v>186.00192000000001</v>
      </c>
      <c r="G137" s="65">
        <v>0</v>
      </c>
      <c r="H137" s="65">
        <f t="shared" si="12"/>
        <v>279.00288</v>
      </c>
      <c r="I137" s="33">
        <f>5.77*3</f>
        <v>17.309999999999999</v>
      </c>
      <c r="L137" s="207"/>
      <c r="M137" s="207"/>
      <c r="N137" s="33"/>
      <c r="T137" s="18"/>
    </row>
    <row r="138" spans="1:20" s="66" customFormat="1" ht="15.75" customHeight="1" x14ac:dyDescent="0.25">
      <c r="A138" s="151">
        <f t="shared" si="10"/>
        <v>7</v>
      </c>
      <c r="B138" s="152"/>
      <c r="C138" s="65" t="s">
        <v>328</v>
      </c>
      <c r="D138" s="67">
        <f>(17.26)*10.764</f>
        <v>185.78664000000001</v>
      </c>
      <c r="E138" s="65">
        <v>0</v>
      </c>
      <c r="F138" s="65">
        <f t="shared" si="11"/>
        <v>185.78664000000001</v>
      </c>
      <c r="G138" s="65">
        <v>0</v>
      </c>
      <c r="H138" s="65">
        <f t="shared" si="12"/>
        <v>278.67995999999999</v>
      </c>
      <c r="I138" s="33"/>
      <c r="L138" s="207"/>
      <c r="M138" s="207"/>
      <c r="N138" s="33"/>
      <c r="T138" s="18"/>
    </row>
    <row r="139" spans="1:20" s="66" customFormat="1" ht="15.75" customHeight="1" x14ac:dyDescent="0.25">
      <c r="A139" s="151">
        <f t="shared" si="10"/>
        <v>8</v>
      </c>
      <c r="B139" s="152"/>
      <c r="C139" s="65" t="s">
        <v>328</v>
      </c>
      <c r="D139" s="67">
        <f>(17.26)*10.764</f>
        <v>185.78664000000001</v>
      </c>
      <c r="E139" s="65">
        <v>0</v>
      </c>
      <c r="F139" s="65">
        <f t="shared" si="11"/>
        <v>185.78664000000001</v>
      </c>
      <c r="G139" s="65">
        <v>0</v>
      </c>
      <c r="H139" s="65">
        <f t="shared" si="12"/>
        <v>278.67995999999999</v>
      </c>
      <c r="I139" s="33"/>
      <c r="L139" s="207"/>
      <c r="M139" s="207"/>
      <c r="N139" s="33"/>
      <c r="T139" s="18"/>
    </row>
    <row r="140" spans="1:20" s="66" customFormat="1" ht="15.75" customHeight="1" x14ac:dyDescent="0.25">
      <c r="A140" s="151">
        <f t="shared" si="10"/>
        <v>9</v>
      </c>
      <c r="B140" s="152"/>
      <c r="C140" s="65" t="s">
        <v>328</v>
      </c>
      <c r="D140" s="67">
        <f>(17.23)*10.764</f>
        <v>185.46372</v>
      </c>
      <c r="E140" s="65">
        <v>0</v>
      </c>
      <c r="F140" s="65">
        <f t="shared" si="11"/>
        <v>185.46372</v>
      </c>
      <c r="G140" s="65">
        <v>0</v>
      </c>
      <c r="H140" s="65">
        <f t="shared" si="12"/>
        <v>278.19558000000001</v>
      </c>
      <c r="I140" s="33"/>
      <c r="L140" s="207"/>
      <c r="M140" s="207"/>
      <c r="N140" s="33"/>
      <c r="T140" s="18"/>
    </row>
    <row r="141" spans="1:20" s="66" customFormat="1" ht="15.75" customHeight="1" x14ac:dyDescent="0.25">
      <c r="A141" s="151">
        <f t="shared" si="10"/>
        <v>10</v>
      </c>
      <c r="B141" s="152"/>
      <c r="C141" s="65" t="s">
        <v>328</v>
      </c>
      <c r="D141" s="67">
        <f>(17.26)*10.764</f>
        <v>185.78664000000001</v>
      </c>
      <c r="E141" s="65">
        <v>0</v>
      </c>
      <c r="F141" s="65">
        <f t="shared" si="11"/>
        <v>185.78664000000001</v>
      </c>
      <c r="G141" s="65">
        <v>0</v>
      </c>
      <c r="H141" s="65">
        <f t="shared" si="12"/>
        <v>278.67995999999999</v>
      </c>
      <c r="I141" s="33"/>
      <c r="L141" s="207"/>
      <c r="M141" s="207"/>
      <c r="N141" s="33"/>
      <c r="T141" s="18"/>
    </row>
    <row r="142" spans="1:20" s="66" customFormat="1" ht="15.75" customHeight="1" x14ac:dyDescent="0.25">
      <c r="A142" s="151">
        <f t="shared" si="10"/>
        <v>11</v>
      </c>
      <c r="B142" s="152"/>
      <c r="C142" s="65" t="s">
        <v>328</v>
      </c>
      <c r="D142" s="67">
        <f>(12.3)*10.764</f>
        <v>132.3972</v>
      </c>
      <c r="E142" s="65">
        <v>0</v>
      </c>
      <c r="F142" s="65">
        <f t="shared" si="11"/>
        <v>132.3972</v>
      </c>
      <c r="G142" s="65">
        <v>0</v>
      </c>
      <c r="H142" s="65">
        <f t="shared" si="12"/>
        <v>198.5958</v>
      </c>
      <c r="I142" s="33"/>
      <c r="L142" s="207"/>
      <c r="M142" s="207"/>
      <c r="N142" s="33"/>
      <c r="T142" s="18"/>
    </row>
    <row r="143" spans="1:20" s="66" customFormat="1" ht="15.75" customHeight="1" x14ac:dyDescent="0.25">
      <c r="A143" s="151">
        <f t="shared" si="10"/>
        <v>12</v>
      </c>
      <c r="B143" s="152"/>
      <c r="C143" s="65" t="s">
        <v>328</v>
      </c>
      <c r="D143" s="67">
        <f>(8.56)*10.764</f>
        <v>92.139840000000007</v>
      </c>
      <c r="E143" s="65">
        <v>0</v>
      </c>
      <c r="F143" s="65">
        <f t="shared" si="11"/>
        <v>92.139840000000007</v>
      </c>
      <c r="G143" s="65">
        <v>0</v>
      </c>
      <c r="H143" s="65">
        <f t="shared" si="12"/>
        <v>138.20976000000002</v>
      </c>
      <c r="I143" s="33"/>
      <c r="L143" s="207"/>
      <c r="M143" s="207"/>
      <c r="N143" s="33"/>
      <c r="T143" s="18"/>
    </row>
    <row r="144" spans="1:20" s="66" customFormat="1" ht="15.75" customHeight="1" x14ac:dyDescent="0.25">
      <c r="A144" s="151">
        <f t="shared" si="10"/>
        <v>13</v>
      </c>
      <c r="B144" s="152"/>
      <c r="C144" s="65" t="s">
        <v>328</v>
      </c>
      <c r="D144" s="67">
        <f>(21.41)*10.764</f>
        <v>230.45723999999998</v>
      </c>
      <c r="E144" s="65">
        <v>0</v>
      </c>
      <c r="F144" s="65">
        <f t="shared" si="11"/>
        <v>230.45723999999998</v>
      </c>
      <c r="G144" s="65">
        <v>0</v>
      </c>
      <c r="H144" s="65">
        <f t="shared" si="12"/>
        <v>345.68585999999999</v>
      </c>
      <c r="I144" s="33">
        <f>7.38*3</f>
        <v>22.14</v>
      </c>
      <c r="L144" s="207"/>
      <c r="M144" s="207"/>
      <c r="N144" s="33"/>
      <c r="T144" s="18"/>
    </row>
    <row r="145" spans="1:20" s="66" customFormat="1" ht="15.75" customHeight="1" x14ac:dyDescent="0.25">
      <c r="A145" s="151">
        <f t="shared" si="10"/>
        <v>14</v>
      </c>
      <c r="B145" s="152"/>
      <c r="C145" s="65" t="s">
        <v>328</v>
      </c>
      <c r="D145" s="67">
        <f>(23.02)*10.764</f>
        <v>247.78727999999998</v>
      </c>
      <c r="E145" s="65">
        <v>0</v>
      </c>
      <c r="F145" s="65">
        <f t="shared" si="11"/>
        <v>247.78727999999998</v>
      </c>
      <c r="G145" s="65">
        <v>0</v>
      </c>
      <c r="H145" s="65">
        <f t="shared" si="12"/>
        <v>371.68091999999996</v>
      </c>
      <c r="I145" s="33"/>
      <c r="L145" s="207"/>
      <c r="M145" s="207"/>
      <c r="N145" s="33"/>
      <c r="T145" s="18"/>
    </row>
    <row r="146" spans="1:20" s="66" customFormat="1" ht="15.75" customHeight="1" x14ac:dyDescent="0.25">
      <c r="A146" s="151">
        <f t="shared" si="10"/>
        <v>15</v>
      </c>
      <c r="B146" s="152"/>
      <c r="C146" s="65" t="s">
        <v>328</v>
      </c>
      <c r="D146" s="67">
        <f>(27.45)*10.764</f>
        <v>295.47179999999997</v>
      </c>
      <c r="E146" s="65">
        <v>0</v>
      </c>
      <c r="F146" s="65">
        <f t="shared" si="11"/>
        <v>295.47179999999997</v>
      </c>
      <c r="G146" s="65">
        <v>0</v>
      </c>
      <c r="H146" s="65">
        <f t="shared" si="12"/>
        <v>443.20769999999993</v>
      </c>
      <c r="I146" s="33"/>
      <c r="L146" s="207"/>
      <c r="M146" s="207"/>
      <c r="N146" s="33"/>
      <c r="T146" s="18"/>
    </row>
    <row r="147" spans="1:20" s="66" customFormat="1" ht="15.75" customHeight="1" x14ac:dyDescent="0.25">
      <c r="A147" s="151">
        <f t="shared" si="10"/>
        <v>16</v>
      </c>
      <c r="B147" s="152"/>
      <c r="C147" s="65" t="s">
        <v>328</v>
      </c>
      <c r="D147" s="67">
        <f>(42.26)*10.764</f>
        <v>454.88663999999994</v>
      </c>
      <c r="E147" s="65">
        <v>0</v>
      </c>
      <c r="F147" s="65">
        <f t="shared" si="11"/>
        <v>454.88663999999994</v>
      </c>
      <c r="G147" s="65">
        <v>0</v>
      </c>
      <c r="H147" s="65">
        <f t="shared" si="12"/>
        <v>682.32995999999991</v>
      </c>
      <c r="I147" s="33">
        <f>5.75*7.35</f>
        <v>42.262499999999996</v>
      </c>
      <c r="L147" s="207"/>
      <c r="M147" s="207"/>
      <c r="N147" s="33"/>
      <c r="T147" s="18"/>
    </row>
    <row r="148" spans="1:20" s="66" customFormat="1" ht="15.75" customHeight="1" x14ac:dyDescent="0.25">
      <c r="A148" s="151">
        <f t="shared" si="10"/>
        <v>17</v>
      </c>
      <c r="B148" s="152"/>
      <c r="C148" s="65" t="s">
        <v>328</v>
      </c>
      <c r="D148" s="67">
        <f>(18)*10.764</f>
        <v>193.75199999999998</v>
      </c>
      <c r="E148" s="65">
        <v>0</v>
      </c>
      <c r="F148" s="65">
        <f t="shared" si="11"/>
        <v>193.75199999999998</v>
      </c>
      <c r="G148" s="65">
        <v>0</v>
      </c>
      <c r="H148" s="65">
        <f t="shared" si="12"/>
        <v>290.62799999999999</v>
      </c>
      <c r="I148" s="33"/>
      <c r="L148" s="207"/>
      <c r="M148" s="207"/>
      <c r="N148" s="33"/>
      <c r="T148" s="18"/>
    </row>
    <row r="149" spans="1:20" s="66" customFormat="1" ht="15.75" customHeight="1" x14ac:dyDescent="0.25">
      <c r="A149" s="151">
        <f t="shared" si="10"/>
        <v>18</v>
      </c>
      <c r="B149" s="152"/>
      <c r="C149" s="65" t="s">
        <v>328</v>
      </c>
      <c r="D149" s="67">
        <f>(24.25)*10.764</f>
        <v>261.02699999999999</v>
      </c>
      <c r="E149" s="65">
        <v>0</v>
      </c>
      <c r="F149" s="65">
        <f t="shared" si="11"/>
        <v>261.02699999999999</v>
      </c>
      <c r="G149" s="65">
        <v>0</v>
      </c>
      <c r="H149" s="65">
        <f t="shared" si="12"/>
        <v>391.54049999999995</v>
      </c>
      <c r="I149" s="33"/>
      <c r="L149" s="207"/>
      <c r="M149" s="207"/>
      <c r="N149" s="33"/>
      <c r="T149" s="18"/>
    </row>
    <row r="150" spans="1:20" s="66" customFormat="1" ht="15.75" customHeight="1" x14ac:dyDescent="0.25">
      <c r="A150" s="151">
        <f t="shared" si="10"/>
        <v>19</v>
      </c>
      <c r="B150" s="152"/>
      <c r="C150" s="65" t="s">
        <v>328</v>
      </c>
      <c r="D150" s="67">
        <f>(16.9)*10.764</f>
        <v>181.91159999999996</v>
      </c>
      <c r="E150" s="65">
        <v>0</v>
      </c>
      <c r="F150" s="65">
        <f t="shared" si="11"/>
        <v>181.91159999999996</v>
      </c>
      <c r="G150" s="65">
        <v>0</v>
      </c>
      <c r="H150" s="65">
        <f t="shared" si="12"/>
        <v>272.86739999999998</v>
      </c>
      <c r="I150" s="33"/>
      <c r="L150" s="207"/>
      <c r="M150" s="207"/>
      <c r="N150" s="33"/>
      <c r="T150" s="18"/>
    </row>
    <row r="151" spans="1:20" s="66" customFormat="1" ht="15.75" customHeight="1" x14ac:dyDescent="0.25">
      <c r="A151" s="151">
        <f t="shared" si="10"/>
        <v>20</v>
      </c>
      <c r="B151" s="152"/>
      <c r="C151" s="65" t="s">
        <v>328</v>
      </c>
      <c r="D151" s="67">
        <f>(21.33)*10.764</f>
        <v>229.59611999999996</v>
      </c>
      <c r="E151" s="65">
        <v>0</v>
      </c>
      <c r="F151" s="65">
        <f t="shared" si="11"/>
        <v>229.59611999999996</v>
      </c>
      <c r="G151" s="65">
        <v>0</v>
      </c>
      <c r="H151" s="65">
        <f t="shared" si="12"/>
        <v>344.39417999999995</v>
      </c>
      <c r="I151" s="33"/>
      <c r="L151" s="207"/>
      <c r="M151" s="207"/>
      <c r="N151" s="33"/>
      <c r="T151" s="18"/>
    </row>
    <row r="152" spans="1:20" s="66" customFormat="1" ht="15.75" customHeight="1" x14ac:dyDescent="0.25">
      <c r="A152" s="151">
        <f t="shared" si="10"/>
        <v>21</v>
      </c>
      <c r="B152" s="152"/>
      <c r="C152" s="65" t="s">
        <v>328</v>
      </c>
      <c r="D152" s="67">
        <f>(17.28)*10.764</f>
        <v>186.00192000000001</v>
      </c>
      <c r="E152" s="65">
        <v>0</v>
      </c>
      <c r="F152" s="65">
        <f t="shared" si="11"/>
        <v>186.00192000000001</v>
      </c>
      <c r="G152" s="65">
        <v>0</v>
      </c>
      <c r="H152" s="65">
        <f t="shared" si="12"/>
        <v>279.00288</v>
      </c>
      <c r="I152" s="33"/>
      <c r="L152" s="207"/>
      <c r="M152" s="207"/>
      <c r="N152" s="33"/>
      <c r="T152" s="18"/>
    </row>
    <row r="153" spans="1:20" s="66" customFormat="1" ht="15.75" customHeight="1" x14ac:dyDescent="0.25">
      <c r="A153" s="151">
        <f t="shared" si="10"/>
        <v>22</v>
      </c>
      <c r="B153" s="152"/>
      <c r="C153" s="65" t="s">
        <v>328</v>
      </c>
      <c r="D153" s="67">
        <f>(29.4)*10.764</f>
        <v>316.46159999999998</v>
      </c>
      <c r="E153" s="65">
        <v>0</v>
      </c>
      <c r="F153" s="65">
        <f t="shared" si="11"/>
        <v>316.46159999999998</v>
      </c>
      <c r="G153" s="65">
        <v>0</v>
      </c>
      <c r="H153" s="65">
        <f t="shared" si="12"/>
        <v>474.69239999999996</v>
      </c>
      <c r="I153" s="33"/>
      <c r="L153" s="207"/>
      <c r="M153" s="207"/>
      <c r="N153" s="33"/>
      <c r="T153" s="18"/>
    </row>
    <row r="154" spans="1:20" s="66" customFormat="1" ht="15.75" customHeight="1" x14ac:dyDescent="0.25">
      <c r="A154" s="151">
        <f t="shared" si="10"/>
        <v>23</v>
      </c>
      <c r="B154" s="152"/>
      <c r="C154" s="65" t="s">
        <v>328</v>
      </c>
      <c r="D154" s="67">
        <f>(19.19)*10.764</f>
        <v>206.56116</v>
      </c>
      <c r="E154" s="65">
        <v>0</v>
      </c>
      <c r="F154" s="65">
        <f t="shared" si="11"/>
        <v>206.56116</v>
      </c>
      <c r="G154" s="65">
        <v>0</v>
      </c>
      <c r="H154" s="65">
        <f t="shared" si="12"/>
        <v>309.84174000000002</v>
      </c>
      <c r="I154" s="33"/>
      <c r="L154" s="207"/>
      <c r="M154" s="207"/>
      <c r="N154" s="33"/>
      <c r="T154" s="18"/>
    </row>
    <row r="155" spans="1:20" s="66" customFormat="1" ht="15.75" customHeight="1" x14ac:dyDescent="0.25">
      <c r="A155" s="151">
        <f t="shared" si="10"/>
        <v>24</v>
      </c>
      <c r="B155" s="152"/>
      <c r="C155" s="65" t="s">
        <v>328</v>
      </c>
      <c r="D155" s="67">
        <f>(19)*10.764</f>
        <v>204.51599999999999</v>
      </c>
      <c r="E155" s="65">
        <v>0</v>
      </c>
      <c r="F155" s="65">
        <f t="shared" si="11"/>
        <v>204.51599999999999</v>
      </c>
      <c r="G155" s="65">
        <v>0</v>
      </c>
      <c r="H155" s="65">
        <f t="shared" si="12"/>
        <v>306.774</v>
      </c>
      <c r="I155" s="33"/>
      <c r="L155" s="207"/>
      <c r="M155" s="207"/>
      <c r="N155" s="33"/>
      <c r="T155" s="18"/>
    </row>
    <row r="156" spans="1:20" s="66" customFormat="1" ht="15.75" customHeight="1" x14ac:dyDescent="0.25">
      <c r="A156" s="151">
        <f t="shared" si="10"/>
        <v>25</v>
      </c>
      <c r="B156" s="152"/>
      <c r="C156" s="65" t="s">
        <v>328</v>
      </c>
      <c r="D156" s="67">
        <f>(15.2)*10.764</f>
        <v>163.61279999999999</v>
      </c>
      <c r="E156" s="65">
        <v>0</v>
      </c>
      <c r="F156" s="65">
        <f t="shared" si="11"/>
        <v>163.61279999999999</v>
      </c>
      <c r="G156" s="65">
        <v>0</v>
      </c>
      <c r="H156" s="65">
        <f t="shared" si="12"/>
        <v>245.41919999999999</v>
      </c>
      <c r="I156" s="33"/>
      <c r="L156" s="207"/>
      <c r="M156" s="207"/>
      <c r="N156" s="33"/>
      <c r="T156" s="18"/>
    </row>
    <row r="157" spans="1:20" s="66" customFormat="1" ht="15.75" customHeight="1" x14ac:dyDescent="0.25">
      <c r="A157" s="151">
        <f t="shared" si="10"/>
        <v>26</v>
      </c>
      <c r="B157" s="152"/>
      <c r="C157" s="65" t="s">
        <v>328</v>
      </c>
      <c r="D157" s="67">
        <f>(15.2)*10.764</f>
        <v>163.61279999999999</v>
      </c>
      <c r="E157" s="65">
        <v>0</v>
      </c>
      <c r="F157" s="65">
        <f t="shared" si="11"/>
        <v>163.61279999999999</v>
      </c>
      <c r="G157" s="65">
        <v>0</v>
      </c>
      <c r="H157" s="65">
        <f t="shared" si="12"/>
        <v>245.41919999999999</v>
      </c>
      <c r="I157" s="33"/>
      <c r="L157" s="207"/>
      <c r="M157" s="207"/>
      <c r="N157" s="33"/>
      <c r="T157" s="18"/>
    </row>
    <row r="158" spans="1:20" s="66" customFormat="1" ht="15.75" customHeight="1" x14ac:dyDescent="0.25">
      <c r="A158" s="151">
        <f t="shared" si="10"/>
        <v>27</v>
      </c>
      <c r="B158" s="152"/>
      <c r="C158" s="65" t="s">
        <v>328</v>
      </c>
      <c r="D158" s="67">
        <f>(9.97)*10.764</f>
        <v>107.31708</v>
      </c>
      <c r="E158" s="65">
        <v>0</v>
      </c>
      <c r="F158" s="65">
        <f t="shared" si="11"/>
        <v>107.31708</v>
      </c>
      <c r="G158" s="65">
        <v>0</v>
      </c>
      <c r="H158" s="65">
        <f t="shared" si="12"/>
        <v>160.97561999999999</v>
      </c>
      <c r="I158" s="33"/>
      <c r="L158" s="207"/>
      <c r="M158" s="207"/>
      <c r="N158" s="33"/>
      <c r="T158" s="18"/>
    </row>
    <row r="159" spans="1:20" s="66" customFormat="1" ht="15.75" customHeight="1" x14ac:dyDescent="0.25">
      <c r="A159" s="151">
        <f t="shared" si="10"/>
        <v>28</v>
      </c>
      <c r="B159" s="152"/>
      <c r="C159" s="65" t="s">
        <v>328</v>
      </c>
      <c r="D159" s="67">
        <f>(17.33)*10.764</f>
        <v>186.54011999999997</v>
      </c>
      <c r="E159" s="65">
        <v>0</v>
      </c>
      <c r="F159" s="65">
        <f t="shared" si="11"/>
        <v>186.54011999999997</v>
      </c>
      <c r="G159" s="65">
        <v>0</v>
      </c>
      <c r="H159" s="65">
        <f t="shared" si="12"/>
        <v>279.81017999999995</v>
      </c>
      <c r="I159" s="33"/>
      <c r="L159" s="207"/>
      <c r="M159" s="207"/>
      <c r="N159" s="33"/>
      <c r="T159" s="18"/>
    </row>
    <row r="160" spans="1:20" s="66" customFormat="1" ht="15.75" customHeight="1" x14ac:dyDescent="0.25">
      <c r="A160" s="151">
        <f t="shared" si="10"/>
        <v>29</v>
      </c>
      <c r="B160" s="152"/>
      <c r="C160" s="65" t="s">
        <v>328</v>
      </c>
      <c r="D160" s="67">
        <f>(25.88)*10.764</f>
        <v>278.57231999999999</v>
      </c>
      <c r="E160" s="65">
        <v>0</v>
      </c>
      <c r="F160" s="65">
        <f t="shared" si="11"/>
        <v>278.57231999999999</v>
      </c>
      <c r="G160" s="65">
        <v>0</v>
      </c>
      <c r="H160" s="65">
        <f t="shared" si="12"/>
        <v>417.85847999999999</v>
      </c>
      <c r="I160" s="33">
        <f>4.75*5.45</f>
        <v>25.887499999999999</v>
      </c>
      <c r="L160" s="207"/>
      <c r="M160" s="207"/>
      <c r="N160" s="33"/>
      <c r="T160" s="18"/>
    </row>
    <row r="161" spans="1:20" s="66" customFormat="1" ht="15.75" customHeight="1" x14ac:dyDescent="0.25">
      <c r="A161" s="151">
        <f t="shared" si="10"/>
        <v>30</v>
      </c>
      <c r="B161" s="152"/>
      <c r="C161" s="65" t="s">
        <v>328</v>
      </c>
      <c r="D161" s="67">
        <f>(15.2)*10.764</f>
        <v>163.61279999999999</v>
      </c>
      <c r="E161" s="65">
        <v>0</v>
      </c>
      <c r="F161" s="65">
        <f t="shared" si="11"/>
        <v>163.61279999999999</v>
      </c>
      <c r="G161" s="65">
        <v>0</v>
      </c>
      <c r="H161" s="65">
        <f t="shared" si="12"/>
        <v>245.41919999999999</v>
      </c>
      <c r="I161" s="33"/>
      <c r="L161" s="207"/>
      <c r="M161" s="207"/>
      <c r="N161" s="33"/>
      <c r="T161" s="18"/>
    </row>
    <row r="162" spans="1:20" s="66" customFormat="1" ht="15.75" customHeight="1" x14ac:dyDescent="0.25">
      <c r="A162" s="151">
        <f t="shared" ref="A162:A171" si="13">A161+1</f>
        <v>31</v>
      </c>
      <c r="B162" s="152"/>
      <c r="C162" s="65" t="s">
        <v>328</v>
      </c>
      <c r="D162" s="67">
        <f>(19)*10.764</f>
        <v>204.51599999999999</v>
      </c>
      <c r="E162" s="65">
        <v>0</v>
      </c>
      <c r="F162" s="65">
        <f t="shared" ref="F162:F171" si="14">D162+(IF(E162&lt;201,E162,IF(E162&lt;301,E162/2,E162/3)))</f>
        <v>204.51599999999999</v>
      </c>
      <c r="G162" s="65">
        <v>0</v>
      </c>
      <c r="H162" s="65">
        <f t="shared" ref="H162:H171" si="15">(F162+(IF(G162&lt;101,G162,IF(G162&lt;201,G162/2,IF(G162&lt;=301,G162/3,G162/4)))))*(($H$129)+1)</f>
        <v>306.774</v>
      </c>
      <c r="I162" s="33"/>
      <c r="L162" s="207"/>
      <c r="M162" s="207"/>
      <c r="N162" s="33"/>
      <c r="T162" s="18"/>
    </row>
    <row r="163" spans="1:20" s="66" customFormat="1" ht="15.75" customHeight="1" x14ac:dyDescent="0.25">
      <c r="A163" s="151">
        <f t="shared" si="13"/>
        <v>32</v>
      </c>
      <c r="B163" s="152"/>
      <c r="C163" s="65" t="s">
        <v>328</v>
      </c>
      <c r="D163" s="67">
        <f>(19)*10.764</f>
        <v>204.51599999999999</v>
      </c>
      <c r="E163" s="65">
        <v>0</v>
      </c>
      <c r="F163" s="65">
        <f t="shared" si="14"/>
        <v>204.51599999999999</v>
      </c>
      <c r="G163" s="65">
        <v>0</v>
      </c>
      <c r="H163" s="65">
        <f t="shared" si="15"/>
        <v>306.774</v>
      </c>
      <c r="I163" s="33"/>
      <c r="L163" s="207"/>
      <c r="M163" s="207"/>
      <c r="N163" s="33"/>
      <c r="T163" s="18"/>
    </row>
    <row r="164" spans="1:20" s="66" customFormat="1" ht="15.75" customHeight="1" x14ac:dyDescent="0.25">
      <c r="A164" s="151">
        <f t="shared" si="13"/>
        <v>33</v>
      </c>
      <c r="B164" s="152"/>
      <c r="C164" s="65" t="s">
        <v>328</v>
      </c>
      <c r="D164" s="67">
        <f>(15.2)*10.764</f>
        <v>163.61279999999999</v>
      </c>
      <c r="E164" s="65">
        <v>0</v>
      </c>
      <c r="F164" s="65">
        <f t="shared" si="14"/>
        <v>163.61279999999999</v>
      </c>
      <c r="G164" s="65">
        <v>0</v>
      </c>
      <c r="H164" s="65">
        <f t="shared" si="15"/>
        <v>245.41919999999999</v>
      </c>
      <c r="I164" s="33"/>
      <c r="L164" s="207"/>
      <c r="M164" s="207"/>
      <c r="N164" s="33"/>
      <c r="T164" s="18"/>
    </row>
    <row r="165" spans="1:20" s="66" customFormat="1" ht="15.75" customHeight="1" x14ac:dyDescent="0.25">
      <c r="A165" s="151">
        <f t="shared" si="13"/>
        <v>34</v>
      </c>
      <c r="B165" s="152"/>
      <c r="C165" s="65" t="s">
        <v>328</v>
      </c>
      <c r="D165" s="67">
        <f>(15.2)*10.764</f>
        <v>163.61279999999999</v>
      </c>
      <c r="E165" s="65">
        <v>0</v>
      </c>
      <c r="F165" s="65">
        <f t="shared" si="14"/>
        <v>163.61279999999999</v>
      </c>
      <c r="G165" s="65">
        <v>0</v>
      </c>
      <c r="H165" s="65">
        <f t="shared" si="15"/>
        <v>245.41919999999999</v>
      </c>
      <c r="I165" s="33"/>
      <c r="L165" s="207"/>
      <c r="M165" s="207"/>
      <c r="N165" s="33"/>
      <c r="T165" s="18"/>
    </row>
    <row r="166" spans="1:20" s="66" customFormat="1" ht="15.75" customHeight="1" x14ac:dyDescent="0.25">
      <c r="A166" s="151">
        <f t="shared" si="13"/>
        <v>35</v>
      </c>
      <c r="B166" s="152"/>
      <c r="C166" s="65" t="s">
        <v>328</v>
      </c>
      <c r="D166" s="67">
        <f>(9.97)*10.764</f>
        <v>107.31708</v>
      </c>
      <c r="E166" s="65">
        <v>0</v>
      </c>
      <c r="F166" s="65">
        <f t="shared" si="14"/>
        <v>107.31708</v>
      </c>
      <c r="G166" s="65">
        <v>0</v>
      </c>
      <c r="H166" s="65">
        <f t="shared" si="15"/>
        <v>160.97561999999999</v>
      </c>
      <c r="I166" s="33"/>
      <c r="L166" s="207"/>
      <c r="M166" s="207"/>
      <c r="N166" s="33"/>
      <c r="T166" s="18"/>
    </row>
    <row r="167" spans="1:20" s="66" customFormat="1" ht="15.75" customHeight="1" x14ac:dyDescent="0.25">
      <c r="A167" s="151">
        <f t="shared" si="13"/>
        <v>36</v>
      </c>
      <c r="B167" s="152"/>
      <c r="C167" s="65" t="s">
        <v>328</v>
      </c>
      <c r="D167" s="67">
        <f>(17.33)*10.764</f>
        <v>186.54011999999997</v>
      </c>
      <c r="E167" s="65">
        <v>0</v>
      </c>
      <c r="F167" s="65">
        <f t="shared" si="14"/>
        <v>186.54011999999997</v>
      </c>
      <c r="G167" s="65">
        <v>0</v>
      </c>
      <c r="H167" s="65">
        <f t="shared" si="15"/>
        <v>279.81017999999995</v>
      </c>
      <c r="I167" s="33"/>
      <c r="L167" s="207"/>
      <c r="M167" s="207"/>
      <c r="N167" s="33"/>
      <c r="T167" s="18"/>
    </row>
    <row r="168" spans="1:20" s="66" customFormat="1" ht="15.75" customHeight="1" x14ac:dyDescent="0.25">
      <c r="A168" s="151">
        <f t="shared" si="13"/>
        <v>37</v>
      </c>
      <c r="B168" s="152"/>
      <c r="C168" s="65" t="s">
        <v>328</v>
      </c>
      <c r="D168" s="67">
        <f>(9.97)*10.764</f>
        <v>107.31708</v>
      </c>
      <c r="E168" s="65">
        <v>0</v>
      </c>
      <c r="F168" s="65">
        <f t="shared" si="14"/>
        <v>107.31708</v>
      </c>
      <c r="G168" s="65">
        <v>0</v>
      </c>
      <c r="H168" s="65">
        <f t="shared" si="15"/>
        <v>160.97561999999999</v>
      </c>
      <c r="I168" s="33"/>
      <c r="L168" s="207"/>
      <c r="M168" s="207"/>
      <c r="N168" s="33"/>
      <c r="T168" s="18"/>
    </row>
    <row r="169" spans="1:20" s="66" customFormat="1" ht="15.75" customHeight="1" x14ac:dyDescent="0.25">
      <c r="A169" s="151">
        <f t="shared" si="13"/>
        <v>38</v>
      </c>
      <c r="B169" s="152"/>
      <c r="C169" s="65" t="s">
        <v>328</v>
      </c>
      <c r="D169" s="67">
        <f>(15.2)*10.764</f>
        <v>163.61279999999999</v>
      </c>
      <c r="E169" s="65">
        <v>0</v>
      </c>
      <c r="F169" s="65">
        <f t="shared" si="14"/>
        <v>163.61279999999999</v>
      </c>
      <c r="G169" s="65">
        <v>0</v>
      </c>
      <c r="H169" s="65">
        <f t="shared" si="15"/>
        <v>245.41919999999999</v>
      </c>
      <c r="I169" s="33"/>
      <c r="L169" s="207"/>
      <c r="M169" s="207"/>
      <c r="N169" s="33"/>
      <c r="T169" s="18"/>
    </row>
    <row r="170" spans="1:20" s="66" customFormat="1" ht="15.75" customHeight="1" x14ac:dyDescent="0.25">
      <c r="A170" s="151">
        <f t="shared" si="13"/>
        <v>39</v>
      </c>
      <c r="B170" s="152"/>
      <c r="C170" s="65" t="s">
        <v>328</v>
      </c>
      <c r="D170" s="67">
        <f>(15.2)*10.764</f>
        <v>163.61279999999999</v>
      </c>
      <c r="E170" s="65">
        <v>0</v>
      </c>
      <c r="F170" s="65">
        <f t="shared" si="14"/>
        <v>163.61279999999999</v>
      </c>
      <c r="G170" s="65">
        <v>0</v>
      </c>
      <c r="H170" s="65">
        <f t="shared" si="15"/>
        <v>245.41919999999999</v>
      </c>
      <c r="I170" s="33"/>
      <c r="L170" s="207"/>
      <c r="M170" s="207"/>
      <c r="N170" s="33"/>
      <c r="T170" s="18"/>
    </row>
    <row r="171" spans="1:20" s="66" customFormat="1" ht="15.75" customHeight="1" x14ac:dyDescent="0.25">
      <c r="A171" s="151">
        <f t="shared" si="13"/>
        <v>40</v>
      </c>
      <c r="B171" s="152"/>
      <c r="C171" s="65" t="s">
        <v>328</v>
      </c>
      <c r="D171" s="67">
        <f>(19)*10.764</f>
        <v>204.51599999999999</v>
      </c>
      <c r="E171" s="65">
        <v>0</v>
      </c>
      <c r="F171" s="65">
        <f t="shared" si="14"/>
        <v>204.51599999999999</v>
      </c>
      <c r="G171" s="65">
        <v>0</v>
      </c>
      <c r="H171" s="65">
        <f t="shared" si="15"/>
        <v>306.774</v>
      </c>
      <c r="I171" s="33"/>
      <c r="L171" s="207"/>
      <c r="M171" s="207"/>
      <c r="N171" s="33"/>
      <c r="T171" s="18"/>
    </row>
    <row r="172" spans="1:20" s="66" customFormat="1" x14ac:dyDescent="0.25">
      <c r="A172" s="190" t="s">
        <v>330</v>
      </c>
      <c r="B172" s="190"/>
      <c r="C172" s="190"/>
      <c r="D172" s="190"/>
      <c r="E172" s="190"/>
      <c r="F172" s="190"/>
      <c r="G172" s="190"/>
      <c r="H172" s="190"/>
      <c r="J172" s="33"/>
      <c r="T172" s="32"/>
    </row>
    <row r="173" spans="1:20" s="66" customFormat="1" x14ac:dyDescent="0.25">
      <c r="A173" s="190" t="s">
        <v>331</v>
      </c>
      <c r="B173" s="190"/>
      <c r="C173" s="190"/>
      <c r="D173" s="190"/>
      <c r="E173" s="190"/>
      <c r="F173" s="190"/>
      <c r="G173" s="190"/>
      <c r="H173" s="190"/>
      <c r="J173" s="33"/>
      <c r="T173" s="32"/>
    </row>
    <row r="174" spans="1:20" s="66" customFormat="1" ht="15.75" customHeight="1" x14ac:dyDescent="0.25">
      <c r="A174" s="137">
        <v>1</v>
      </c>
      <c r="B174" s="137"/>
      <c r="C174" s="82" t="s">
        <v>332</v>
      </c>
      <c r="D174" s="82">
        <f>(17.28)*10.764</f>
        <v>186.00192000000001</v>
      </c>
      <c r="E174" s="82">
        <v>0</v>
      </c>
      <c r="F174" s="82">
        <f>D174+(IF(E174&lt;201,E174,IF(E174&lt;301,E174/2,E174/3)))</f>
        <v>186.00192000000001</v>
      </c>
      <c r="G174" s="58">
        <v>0</v>
      </c>
      <c r="H174" s="82">
        <f>(F174+(IF(G174&lt;101,G174,IF(G174&lt;201,G174/2,IF(G174&lt;=301,G174/3,G174/4)))))*(($H$129)+1)</f>
        <v>279.00288</v>
      </c>
      <c r="I174" s="33">
        <f>3.95*4.35</f>
        <v>17.182500000000001</v>
      </c>
      <c r="L174" s="207"/>
      <c r="M174" s="207"/>
      <c r="N174" s="33"/>
      <c r="T174" s="32"/>
    </row>
    <row r="175" spans="1:20" s="66" customFormat="1" ht="15.75" customHeight="1" x14ac:dyDescent="0.25">
      <c r="A175" s="137">
        <f>A174+1</f>
        <v>2</v>
      </c>
      <c r="B175" s="137"/>
      <c r="C175" s="82" t="s">
        <v>332</v>
      </c>
      <c r="D175" s="82">
        <f>(17.26)*10.764</f>
        <v>185.78664000000001</v>
      </c>
      <c r="E175" s="82">
        <v>0</v>
      </c>
      <c r="F175" s="82">
        <f t="shared" ref="F175:F188" si="16">D175+(IF(E175&lt;201,E175,IF(E175&lt;301,E175/2,E175/3)))</f>
        <v>185.78664000000001</v>
      </c>
      <c r="G175" s="82">
        <v>0</v>
      </c>
      <c r="H175" s="82">
        <f t="shared" ref="H175:H188" si="17">(F175+(IF(G175&lt;101,G175,IF(G175&lt;201,G175/2,IF(G175&lt;=301,G175/3,G175/4)))))*(($H$129)+1)</f>
        <v>278.67995999999999</v>
      </c>
      <c r="I175" s="33"/>
      <c r="L175" s="207"/>
      <c r="M175" s="207"/>
      <c r="N175" s="33"/>
      <c r="T175" s="31"/>
    </row>
    <row r="176" spans="1:20" s="66" customFormat="1" ht="15.75" customHeight="1" x14ac:dyDescent="0.25">
      <c r="A176" s="137">
        <f>A175+1</f>
        <v>3</v>
      </c>
      <c r="B176" s="137"/>
      <c r="C176" s="82" t="s">
        <v>332</v>
      </c>
      <c r="D176" s="82">
        <f>(17.26)*10.764</f>
        <v>185.78664000000001</v>
      </c>
      <c r="E176" s="82">
        <v>0</v>
      </c>
      <c r="F176" s="82">
        <f t="shared" si="16"/>
        <v>185.78664000000001</v>
      </c>
      <c r="G176" s="82">
        <v>0</v>
      </c>
      <c r="H176" s="82">
        <f t="shared" si="17"/>
        <v>278.67995999999999</v>
      </c>
      <c r="I176" s="33">
        <f>3.95*3.45</f>
        <v>13.627500000000001</v>
      </c>
      <c r="L176" s="207"/>
      <c r="M176" s="207"/>
      <c r="N176" s="33"/>
      <c r="T176" s="18"/>
    </row>
    <row r="177" spans="1:20" s="66" customFormat="1" ht="15.75" customHeight="1" x14ac:dyDescent="0.25">
      <c r="A177" s="137">
        <f>A176+1</f>
        <v>4</v>
      </c>
      <c r="B177" s="137"/>
      <c r="C177" s="82" t="s">
        <v>332</v>
      </c>
      <c r="D177" s="82">
        <f>(17.23)*10.764</f>
        <v>185.46372</v>
      </c>
      <c r="E177" s="82">
        <v>0</v>
      </c>
      <c r="F177" s="82">
        <f t="shared" si="16"/>
        <v>185.46372</v>
      </c>
      <c r="G177" s="82">
        <v>0</v>
      </c>
      <c r="H177" s="82">
        <f t="shared" si="17"/>
        <v>278.19558000000001</v>
      </c>
      <c r="I177" s="33"/>
      <c r="L177" s="207"/>
      <c r="M177" s="207"/>
      <c r="N177" s="33"/>
      <c r="T177" s="18"/>
    </row>
    <row r="178" spans="1:20" s="66" customFormat="1" ht="15.75" customHeight="1" x14ac:dyDescent="0.25">
      <c r="A178" s="137">
        <f t="shared" ref="A178" si="18">A177+1</f>
        <v>5</v>
      </c>
      <c r="B178" s="137"/>
      <c r="C178" s="82" t="s">
        <v>332</v>
      </c>
      <c r="D178" s="82">
        <f>(17.26)*10.764</f>
        <v>185.78664000000001</v>
      </c>
      <c r="E178" s="82">
        <v>0</v>
      </c>
      <c r="F178" s="82">
        <f t="shared" si="16"/>
        <v>185.78664000000001</v>
      </c>
      <c r="G178" s="82">
        <v>0</v>
      </c>
      <c r="H178" s="82">
        <f t="shared" si="17"/>
        <v>278.67995999999999</v>
      </c>
      <c r="I178" s="33"/>
      <c r="L178" s="207"/>
      <c r="M178" s="207"/>
      <c r="N178" s="33"/>
      <c r="T178" s="18"/>
    </row>
    <row r="179" spans="1:20" s="66" customFormat="1" ht="15.75" customHeight="1" x14ac:dyDescent="0.25">
      <c r="A179" s="137">
        <f>A178+1</f>
        <v>6</v>
      </c>
      <c r="B179" s="137"/>
      <c r="C179" s="82" t="s">
        <v>332</v>
      </c>
      <c r="D179" s="82">
        <f>(12.3)*10.764</f>
        <v>132.3972</v>
      </c>
      <c r="E179" s="82">
        <v>0</v>
      </c>
      <c r="F179" s="82">
        <f t="shared" si="16"/>
        <v>132.3972</v>
      </c>
      <c r="G179" s="82">
        <v>0</v>
      </c>
      <c r="H179" s="82">
        <f t="shared" si="17"/>
        <v>198.5958</v>
      </c>
      <c r="I179" s="33">
        <f>5.77*3</f>
        <v>17.309999999999999</v>
      </c>
      <c r="L179" s="207"/>
      <c r="M179" s="207"/>
      <c r="N179" s="33"/>
      <c r="T179" s="18"/>
    </row>
    <row r="180" spans="1:20" s="66" customFormat="1" ht="15.75" customHeight="1" x14ac:dyDescent="0.25">
      <c r="A180" s="151">
        <f t="shared" ref="A180:A188" si="19">A179+1</f>
        <v>7</v>
      </c>
      <c r="B180" s="152"/>
      <c r="C180" s="65" t="s">
        <v>332</v>
      </c>
      <c r="D180" s="67">
        <f>(7.04)*10.764</f>
        <v>75.778559999999999</v>
      </c>
      <c r="E180" s="65">
        <v>0</v>
      </c>
      <c r="F180" s="65">
        <f t="shared" si="16"/>
        <v>75.778559999999999</v>
      </c>
      <c r="G180" s="65">
        <v>0</v>
      </c>
      <c r="H180" s="65">
        <f t="shared" si="17"/>
        <v>113.66784</v>
      </c>
      <c r="I180" s="33">
        <f>3.77*2.25</f>
        <v>8.4824999999999999</v>
      </c>
      <c r="L180" s="207"/>
      <c r="M180" s="207"/>
      <c r="N180" s="33"/>
      <c r="T180" s="18"/>
    </row>
    <row r="181" spans="1:20" s="66" customFormat="1" ht="15.75" customHeight="1" x14ac:dyDescent="0.25">
      <c r="A181" s="151">
        <v>9</v>
      </c>
      <c r="B181" s="152"/>
      <c r="C181" s="65" t="s">
        <v>332</v>
      </c>
      <c r="D181" s="67">
        <f>(25.22)*10.764</f>
        <v>271.46807999999999</v>
      </c>
      <c r="E181" s="65">
        <v>0</v>
      </c>
      <c r="F181" s="65">
        <f t="shared" si="16"/>
        <v>271.46807999999999</v>
      </c>
      <c r="G181" s="65">
        <v>0</v>
      </c>
      <c r="H181" s="65">
        <f t="shared" si="17"/>
        <v>407.20211999999998</v>
      </c>
      <c r="I181" s="33"/>
      <c r="L181" s="207"/>
      <c r="M181" s="207"/>
      <c r="N181" s="33"/>
      <c r="T181" s="18"/>
    </row>
    <row r="182" spans="1:20" s="66" customFormat="1" ht="15.75" customHeight="1" x14ac:dyDescent="0.25">
      <c r="A182" s="151">
        <f t="shared" si="19"/>
        <v>10</v>
      </c>
      <c r="B182" s="152"/>
      <c r="C182" s="65" t="s">
        <v>332</v>
      </c>
      <c r="D182" s="67">
        <f>(22.05)*10.764</f>
        <v>237.34619999999998</v>
      </c>
      <c r="E182" s="65">
        <v>0</v>
      </c>
      <c r="F182" s="65">
        <f t="shared" si="16"/>
        <v>237.34619999999998</v>
      </c>
      <c r="G182" s="65">
        <v>0</v>
      </c>
      <c r="H182" s="65">
        <f t="shared" si="17"/>
        <v>356.01929999999999</v>
      </c>
      <c r="I182" s="33"/>
      <c r="L182" s="207"/>
      <c r="M182" s="207"/>
      <c r="N182" s="33"/>
      <c r="T182" s="18"/>
    </row>
    <row r="183" spans="1:20" s="66" customFormat="1" ht="15.75" customHeight="1" x14ac:dyDescent="0.25">
      <c r="A183" s="151">
        <f t="shared" si="19"/>
        <v>11</v>
      </c>
      <c r="B183" s="152"/>
      <c r="C183" s="65" t="s">
        <v>332</v>
      </c>
      <c r="D183" s="67">
        <f>(19.11)*10.764</f>
        <v>205.70003999999997</v>
      </c>
      <c r="E183" s="65">
        <v>0</v>
      </c>
      <c r="F183" s="65">
        <f t="shared" si="16"/>
        <v>205.70003999999997</v>
      </c>
      <c r="G183" s="65">
        <v>0</v>
      </c>
      <c r="H183" s="65">
        <f t="shared" si="17"/>
        <v>308.55005999999997</v>
      </c>
      <c r="I183" s="33"/>
      <c r="L183" s="207"/>
      <c r="M183" s="207"/>
      <c r="N183" s="33"/>
      <c r="T183" s="18"/>
    </row>
    <row r="184" spans="1:20" s="66" customFormat="1" ht="15.75" customHeight="1" x14ac:dyDescent="0.25">
      <c r="A184" s="151">
        <f t="shared" si="19"/>
        <v>12</v>
      </c>
      <c r="B184" s="152"/>
      <c r="C184" s="65" t="s">
        <v>332</v>
      </c>
      <c r="D184" s="67">
        <f>(24.99)*10.764</f>
        <v>268.99235999999996</v>
      </c>
      <c r="E184" s="65">
        <v>0</v>
      </c>
      <c r="F184" s="65">
        <f t="shared" si="16"/>
        <v>268.99235999999996</v>
      </c>
      <c r="G184" s="65">
        <v>0</v>
      </c>
      <c r="H184" s="65">
        <f t="shared" si="17"/>
        <v>403.48853999999994</v>
      </c>
      <c r="I184" s="33"/>
      <c r="L184" s="207"/>
      <c r="M184" s="207"/>
      <c r="N184" s="33"/>
      <c r="T184" s="18"/>
    </row>
    <row r="185" spans="1:20" s="66" customFormat="1" ht="15.75" customHeight="1" x14ac:dyDescent="0.25">
      <c r="A185" s="151">
        <f t="shared" si="19"/>
        <v>13</v>
      </c>
      <c r="B185" s="152"/>
      <c r="C185" s="65" t="s">
        <v>332</v>
      </c>
      <c r="D185" s="67">
        <f>(37.98)*10.764</f>
        <v>408.81671999999992</v>
      </c>
      <c r="E185" s="65">
        <v>0</v>
      </c>
      <c r="F185" s="65">
        <f t="shared" si="16"/>
        <v>408.81671999999992</v>
      </c>
      <c r="G185" s="65">
        <v>0</v>
      </c>
      <c r="H185" s="65">
        <f t="shared" si="17"/>
        <v>613.22507999999993</v>
      </c>
      <c r="I185" s="33"/>
      <c r="L185" s="207"/>
      <c r="M185" s="207"/>
      <c r="N185" s="33"/>
      <c r="T185" s="18"/>
    </row>
    <row r="186" spans="1:20" s="66" customFormat="1" ht="15.75" customHeight="1" x14ac:dyDescent="0.25">
      <c r="A186" s="151">
        <f t="shared" si="19"/>
        <v>14</v>
      </c>
      <c r="B186" s="152"/>
      <c r="C186" s="65" t="s">
        <v>332</v>
      </c>
      <c r="D186" s="67">
        <f>(21.33)*10.764</f>
        <v>229.59611999999996</v>
      </c>
      <c r="E186" s="65">
        <v>0</v>
      </c>
      <c r="F186" s="65">
        <f t="shared" si="16"/>
        <v>229.59611999999996</v>
      </c>
      <c r="G186" s="65">
        <v>0</v>
      </c>
      <c r="H186" s="65">
        <f t="shared" si="17"/>
        <v>344.39417999999995</v>
      </c>
      <c r="I186" s="33">
        <f>7.38*3</f>
        <v>22.14</v>
      </c>
      <c r="L186" s="207"/>
      <c r="M186" s="207"/>
      <c r="N186" s="33"/>
      <c r="T186" s="18"/>
    </row>
    <row r="187" spans="1:20" s="66" customFormat="1" ht="15.75" customHeight="1" x14ac:dyDescent="0.25">
      <c r="A187" s="151">
        <f t="shared" si="19"/>
        <v>15</v>
      </c>
      <c r="B187" s="152"/>
      <c r="C187" s="65" t="s">
        <v>332</v>
      </c>
      <c r="D187" s="67">
        <f>(17.28)*10.764</f>
        <v>186.00192000000001</v>
      </c>
      <c r="E187" s="65">
        <v>0</v>
      </c>
      <c r="F187" s="65">
        <f t="shared" si="16"/>
        <v>186.00192000000001</v>
      </c>
      <c r="G187" s="65">
        <v>0</v>
      </c>
      <c r="H187" s="65">
        <f t="shared" si="17"/>
        <v>279.00288</v>
      </c>
      <c r="I187" s="33"/>
      <c r="L187" s="207"/>
      <c r="M187" s="207"/>
      <c r="N187" s="33"/>
      <c r="T187" s="18"/>
    </row>
    <row r="188" spans="1:20" s="66" customFormat="1" ht="15.75" customHeight="1" x14ac:dyDescent="0.25">
      <c r="A188" s="151">
        <f t="shared" si="19"/>
        <v>16</v>
      </c>
      <c r="B188" s="152"/>
      <c r="C188" s="65" t="s">
        <v>332</v>
      </c>
      <c r="D188" s="67">
        <f>(32.37)*10.764</f>
        <v>348.43067999999994</v>
      </c>
      <c r="E188" s="65">
        <v>0</v>
      </c>
      <c r="F188" s="65">
        <f t="shared" si="16"/>
        <v>348.43067999999994</v>
      </c>
      <c r="G188" s="65">
        <v>0</v>
      </c>
      <c r="H188" s="65">
        <f t="shared" si="17"/>
        <v>522.64601999999991</v>
      </c>
      <c r="I188" s="33"/>
      <c r="L188" s="207"/>
      <c r="M188" s="207"/>
      <c r="N188" s="33"/>
      <c r="T188" s="18"/>
    </row>
    <row r="189" spans="1:20" s="34" customFormat="1" x14ac:dyDescent="0.25">
      <c r="A189" s="151"/>
      <c r="B189" s="153"/>
      <c r="C189" s="153"/>
      <c r="D189" s="153"/>
      <c r="E189" s="153"/>
      <c r="F189" s="153"/>
      <c r="G189" s="153"/>
      <c r="H189" s="152"/>
      <c r="I189" s="33"/>
      <c r="N189" s="33"/>
    </row>
    <row r="190" spans="1:20" ht="47.25" customHeight="1" x14ac:dyDescent="0.25">
      <c r="A190" s="155" t="s">
        <v>117</v>
      </c>
      <c r="B190" s="140" t="s">
        <v>174</v>
      </c>
      <c r="C190" s="140" t="s">
        <v>54</v>
      </c>
      <c r="D190" s="138" t="s">
        <v>337</v>
      </c>
      <c r="E190" s="140" t="s">
        <v>229</v>
      </c>
      <c r="F190" s="140" t="s">
        <v>55</v>
      </c>
      <c r="G190" s="213" t="s">
        <v>56</v>
      </c>
      <c r="H190" s="63" t="s">
        <v>145</v>
      </c>
      <c r="I190" s="33"/>
      <c r="T190" s="34"/>
    </row>
    <row r="191" spans="1:20" s="34" customFormat="1" x14ac:dyDescent="0.25">
      <c r="A191" s="156"/>
      <c r="B191" s="141"/>
      <c r="C191" s="141"/>
      <c r="D191" s="139"/>
      <c r="E191" s="141"/>
      <c r="F191" s="141"/>
      <c r="G191" s="214"/>
      <c r="H191" s="73">
        <v>0.45</v>
      </c>
      <c r="I191" s="33"/>
    </row>
    <row r="192" spans="1:20" s="66" customFormat="1" x14ac:dyDescent="0.25">
      <c r="A192" s="182" t="s">
        <v>333</v>
      </c>
      <c r="B192" s="183"/>
      <c r="C192" s="183"/>
      <c r="D192" s="183"/>
      <c r="E192" s="183"/>
      <c r="F192" s="183"/>
      <c r="G192" s="183"/>
      <c r="H192" s="184"/>
      <c r="J192" s="33"/>
    </row>
    <row r="193" spans="1:20" s="34" customFormat="1" x14ac:dyDescent="0.25">
      <c r="A193" s="147" t="s">
        <v>335</v>
      </c>
      <c r="B193" s="148"/>
      <c r="C193" s="148"/>
      <c r="D193" s="148"/>
      <c r="E193" s="148"/>
      <c r="F193" s="148"/>
      <c r="G193" s="148"/>
      <c r="H193" s="149"/>
      <c r="J193" s="33"/>
      <c r="K193" s="34">
        <v>3400</v>
      </c>
    </row>
    <row r="194" spans="1:20" s="34" customFormat="1" ht="15.75" customHeight="1" x14ac:dyDescent="0.25">
      <c r="A194" s="151">
        <v>1</v>
      </c>
      <c r="B194" s="152"/>
      <c r="C194" s="39" t="s">
        <v>352</v>
      </c>
      <c r="D194" s="58">
        <f>(65.75)*10.764</f>
        <v>707.73299999999995</v>
      </c>
      <c r="E194" s="39">
        <v>0</v>
      </c>
      <c r="F194" s="39">
        <f>D194+E194</f>
        <v>707.73299999999995</v>
      </c>
      <c r="G194" s="80">
        <v>0</v>
      </c>
      <c r="H194" s="50">
        <f>F194*(($H$191)+1)+(IF(G194&lt;101,G194,IF(G194&lt;201,G194/2,IF(G194&lt;=301,G194/3,G194/4))))</f>
        <v>1026.2128499999999</v>
      </c>
      <c r="I194" s="33">
        <f>4.5*3.3+2.4*3.3+3.3*3+3.95*3+2.45*1.2+1.35*1.8+1.35*2.2+0.6*2+0.6*2+0.9*2.45+2.3*3</f>
        <v>64.365000000000009</v>
      </c>
      <c r="J194" s="34">
        <f>4.5*3.3+2.4*3.3+3.3*3+3.95*3+2.45*1.2+1.35*1.8+1.35*2.2+2.45*0.9+2.3*3+0.6*2*2</f>
        <v>64.364999999999995</v>
      </c>
      <c r="K194" s="34">
        <f>K$193*H194</f>
        <v>3489123.6899999995</v>
      </c>
      <c r="L194" s="207"/>
      <c r="M194" s="207"/>
      <c r="N194" s="33"/>
    </row>
    <row r="195" spans="1:20" s="34" customFormat="1" ht="15.75" customHeight="1" x14ac:dyDescent="0.25">
      <c r="A195" s="151">
        <f>A194+1</f>
        <v>2</v>
      </c>
      <c r="B195" s="152"/>
      <c r="C195" s="65" t="s">
        <v>352</v>
      </c>
      <c r="D195" s="58">
        <f>(65.75)*10.764</f>
        <v>707.73299999999995</v>
      </c>
      <c r="E195" s="39">
        <v>0</v>
      </c>
      <c r="F195" s="50">
        <f>D195+E195</f>
        <v>707.73299999999995</v>
      </c>
      <c r="G195" s="80">
        <v>0</v>
      </c>
      <c r="H195" s="50">
        <f>F195*(($H$191)+1)+(IF(G195&lt;101,G195,IF(G195&lt;201,G195/2,IF(G195&lt;=301,G195/3,G195/4))))</f>
        <v>1026.2128499999999</v>
      </c>
      <c r="I195" s="33"/>
      <c r="K195" s="77">
        <f t="shared" ref="K195:K220" si="20">K$193*H195</f>
        <v>3489123.6899999995</v>
      </c>
      <c r="L195" s="207"/>
      <c r="M195" s="207"/>
      <c r="N195" s="33"/>
    </row>
    <row r="196" spans="1:20" s="34" customFormat="1" ht="15.75" customHeight="1" x14ac:dyDescent="0.25">
      <c r="A196" s="151">
        <f>A195+1</f>
        <v>3</v>
      </c>
      <c r="B196" s="152"/>
      <c r="C196" s="65" t="s">
        <v>352</v>
      </c>
      <c r="D196" s="58">
        <f>(65.74)*10.764</f>
        <v>707.62535999999989</v>
      </c>
      <c r="E196" s="39">
        <v>0</v>
      </c>
      <c r="F196" s="50">
        <f>D196+E196</f>
        <v>707.62535999999989</v>
      </c>
      <c r="G196" s="80">
        <v>0</v>
      </c>
      <c r="H196" s="50">
        <f>F196*(($H$191)+1)+(IF(G196&lt;101,G196,IF(G196&lt;201,G196/2,IF(G196&lt;=301,G196/3,G196/4))))</f>
        <v>1026.0567719999999</v>
      </c>
      <c r="I196" s="33"/>
      <c r="K196" s="77">
        <f t="shared" si="20"/>
        <v>3488593.0247999998</v>
      </c>
      <c r="L196" s="207"/>
      <c r="M196" s="207"/>
      <c r="N196" s="33"/>
    </row>
    <row r="197" spans="1:20" s="34" customFormat="1" ht="15.75" customHeight="1" x14ac:dyDescent="0.25">
      <c r="A197" s="151">
        <f>A196+1</f>
        <v>4</v>
      </c>
      <c r="B197" s="152"/>
      <c r="C197" s="65" t="s">
        <v>334</v>
      </c>
      <c r="D197" s="58">
        <f>(39.36)*10.764</f>
        <v>423.67103999999995</v>
      </c>
      <c r="E197" s="39">
        <v>0</v>
      </c>
      <c r="F197" s="50">
        <f>D197+E197</f>
        <v>423.67103999999995</v>
      </c>
      <c r="G197" s="80">
        <v>0</v>
      </c>
      <c r="H197" s="50">
        <f>F197*(($H$191)+1)+(IF(G197&lt;101,G197,IF(G197&lt;201,G197/2,IF(G197&lt;=301,G197/3,G197/4))))</f>
        <v>614.32300799999996</v>
      </c>
      <c r="I197" s="33">
        <f>4*3.1+2.1*3.5+3.2*3.5+1.2*1.1+1.5*1.85+1.1*2</f>
        <v>37.245000000000005</v>
      </c>
      <c r="J197" s="34">
        <f>4*3.1+2.1*3.5+3.2*3.5+1.2*1.1+1.5*1.85+2*1.1+0.6*2</f>
        <v>38.445000000000007</v>
      </c>
      <c r="K197" s="77">
        <f t="shared" si="20"/>
        <v>2088698.2271999998</v>
      </c>
      <c r="L197" s="207"/>
      <c r="M197" s="207"/>
      <c r="N197" s="33"/>
      <c r="T197" s="18"/>
    </row>
    <row r="198" spans="1:20" s="66" customFormat="1" ht="15.75" customHeight="1" x14ac:dyDescent="0.25">
      <c r="A198" s="151">
        <f t="shared" ref="A198:A206" si="21">A197+1</f>
        <v>5</v>
      </c>
      <c r="B198" s="152"/>
      <c r="C198" s="78" t="s">
        <v>334</v>
      </c>
      <c r="D198" s="58">
        <f>(39.36)*10.764</f>
        <v>423.67103999999995</v>
      </c>
      <c r="E198" s="65">
        <v>0</v>
      </c>
      <c r="F198" s="65">
        <f t="shared" ref="F198:F206" si="22">D198+E198</f>
        <v>423.67103999999995</v>
      </c>
      <c r="G198" s="80">
        <v>0</v>
      </c>
      <c r="H198" s="65">
        <f t="shared" ref="H198:H206" si="23">F198*(($H$191)+1)+(IF(G198&lt;101,G198,IF(G198&lt;201,G198/2,IF(G198&lt;=301,G198/3,G198/4))))</f>
        <v>614.32300799999996</v>
      </c>
      <c r="I198" s="33"/>
      <c r="K198" s="77">
        <f t="shared" si="20"/>
        <v>2088698.2271999998</v>
      </c>
      <c r="L198" s="207"/>
      <c r="M198" s="207"/>
      <c r="N198" s="33"/>
      <c r="T198" s="18"/>
    </row>
    <row r="199" spans="1:20" s="66" customFormat="1" ht="15.75" customHeight="1" x14ac:dyDescent="0.25">
      <c r="A199" s="151">
        <f t="shared" si="21"/>
        <v>6</v>
      </c>
      <c r="B199" s="152"/>
      <c r="C199" s="78" t="s">
        <v>334</v>
      </c>
      <c r="D199" s="58">
        <f>(39.36)*10.764</f>
        <v>423.67103999999995</v>
      </c>
      <c r="E199" s="65">
        <v>0</v>
      </c>
      <c r="F199" s="65">
        <f t="shared" si="22"/>
        <v>423.67103999999995</v>
      </c>
      <c r="G199" s="80">
        <v>0</v>
      </c>
      <c r="H199" s="65">
        <f t="shared" si="23"/>
        <v>614.32300799999996</v>
      </c>
      <c r="I199" s="33"/>
      <c r="K199" s="77">
        <f t="shared" si="20"/>
        <v>2088698.2271999998</v>
      </c>
      <c r="L199" s="207"/>
      <c r="M199" s="207"/>
      <c r="N199" s="33"/>
      <c r="T199" s="18"/>
    </row>
    <row r="200" spans="1:20" s="66" customFormat="1" ht="15.75" customHeight="1" x14ac:dyDescent="0.25">
      <c r="A200" s="151">
        <f t="shared" si="21"/>
        <v>7</v>
      </c>
      <c r="B200" s="152"/>
      <c r="C200" s="78" t="s">
        <v>334</v>
      </c>
      <c r="D200" s="58">
        <f>(39.36)*10.764</f>
        <v>423.67103999999995</v>
      </c>
      <c r="E200" s="65">
        <v>0</v>
      </c>
      <c r="F200" s="65">
        <f t="shared" si="22"/>
        <v>423.67103999999995</v>
      </c>
      <c r="G200" s="80">
        <v>0</v>
      </c>
      <c r="H200" s="65">
        <f t="shared" si="23"/>
        <v>614.32300799999996</v>
      </c>
      <c r="I200" s="33"/>
      <c r="K200" s="77">
        <f t="shared" si="20"/>
        <v>2088698.2271999998</v>
      </c>
      <c r="L200" s="207"/>
      <c r="M200" s="207"/>
      <c r="N200" s="33"/>
      <c r="T200" s="18"/>
    </row>
    <row r="201" spans="1:20" s="66" customFormat="1" ht="15.75" customHeight="1" x14ac:dyDescent="0.25">
      <c r="A201" s="151">
        <f t="shared" si="21"/>
        <v>8</v>
      </c>
      <c r="B201" s="152"/>
      <c r="C201" s="78" t="s">
        <v>353</v>
      </c>
      <c r="D201" s="58">
        <f t="shared" ref="D201:D206" si="24">(43.4)*10.764</f>
        <v>467.15759999999995</v>
      </c>
      <c r="E201" s="65">
        <v>0</v>
      </c>
      <c r="F201" s="65">
        <f t="shared" si="22"/>
        <v>467.15759999999995</v>
      </c>
      <c r="G201" s="80">
        <v>0</v>
      </c>
      <c r="H201" s="65">
        <f t="shared" si="23"/>
        <v>677.37851999999987</v>
      </c>
      <c r="I201" s="33">
        <f>3.1*4+3.5*2.1+3.5*3.2+1.2*1.1+1.85*1.5+1.1*2+3.5*1.75</f>
        <v>43.370000000000005</v>
      </c>
      <c r="J201" s="66">
        <f>3.1*4+3.5*2.1+3.5*3.2+1.2*1.1+1.85*1.5+1.1*2+0.6*2+3.5*1.75</f>
        <v>44.570000000000007</v>
      </c>
      <c r="K201" s="77">
        <f t="shared" si="20"/>
        <v>2303086.9679999994</v>
      </c>
      <c r="L201" s="207"/>
      <c r="M201" s="207"/>
      <c r="N201" s="33"/>
      <c r="T201" s="18"/>
    </row>
    <row r="202" spans="1:20" s="66" customFormat="1" ht="15.75" customHeight="1" x14ac:dyDescent="0.25">
      <c r="A202" s="151">
        <f t="shared" si="21"/>
        <v>9</v>
      </c>
      <c r="B202" s="152"/>
      <c r="C202" s="78" t="s">
        <v>353</v>
      </c>
      <c r="D202" s="58">
        <f t="shared" si="24"/>
        <v>467.15759999999995</v>
      </c>
      <c r="E202" s="65">
        <v>0</v>
      </c>
      <c r="F202" s="65">
        <f t="shared" si="22"/>
        <v>467.15759999999995</v>
      </c>
      <c r="G202" s="80">
        <v>0</v>
      </c>
      <c r="H202" s="65">
        <f t="shared" si="23"/>
        <v>677.37851999999987</v>
      </c>
      <c r="I202" s="33"/>
      <c r="K202" s="77">
        <f t="shared" si="20"/>
        <v>2303086.9679999994</v>
      </c>
      <c r="L202" s="207"/>
      <c r="M202" s="207"/>
      <c r="N202" s="33"/>
      <c r="T202" s="18"/>
    </row>
    <row r="203" spans="1:20" s="66" customFormat="1" ht="15.75" customHeight="1" x14ac:dyDescent="0.25">
      <c r="A203" s="151">
        <f t="shared" si="21"/>
        <v>10</v>
      </c>
      <c r="B203" s="152"/>
      <c r="C203" s="78" t="s">
        <v>353</v>
      </c>
      <c r="D203" s="58">
        <f t="shared" si="24"/>
        <v>467.15759999999995</v>
      </c>
      <c r="E203" s="65">
        <v>0</v>
      </c>
      <c r="F203" s="65">
        <f t="shared" si="22"/>
        <v>467.15759999999995</v>
      </c>
      <c r="G203" s="80">
        <v>0</v>
      </c>
      <c r="H203" s="65">
        <f t="shared" si="23"/>
        <v>677.37851999999987</v>
      </c>
      <c r="I203" s="33"/>
      <c r="K203" s="77">
        <f t="shared" si="20"/>
        <v>2303086.9679999994</v>
      </c>
      <c r="L203" s="207"/>
      <c r="M203" s="207"/>
      <c r="N203" s="33"/>
      <c r="T203" s="18"/>
    </row>
    <row r="204" spans="1:20" s="66" customFormat="1" ht="15.75" customHeight="1" x14ac:dyDescent="0.25">
      <c r="A204" s="151">
        <f t="shared" si="21"/>
        <v>11</v>
      </c>
      <c r="B204" s="152"/>
      <c r="C204" s="78" t="s">
        <v>353</v>
      </c>
      <c r="D204" s="58">
        <f t="shared" si="24"/>
        <v>467.15759999999995</v>
      </c>
      <c r="E204" s="65">
        <v>0</v>
      </c>
      <c r="F204" s="65">
        <f t="shared" si="22"/>
        <v>467.15759999999995</v>
      </c>
      <c r="G204" s="80">
        <v>0</v>
      </c>
      <c r="H204" s="65">
        <f t="shared" si="23"/>
        <v>677.37851999999987</v>
      </c>
      <c r="I204" s="33"/>
      <c r="K204" s="77">
        <f t="shared" si="20"/>
        <v>2303086.9679999994</v>
      </c>
      <c r="L204" s="207"/>
      <c r="M204" s="207"/>
      <c r="N204" s="33"/>
      <c r="T204" s="18"/>
    </row>
    <row r="205" spans="1:20" s="66" customFormat="1" ht="15.75" customHeight="1" x14ac:dyDescent="0.25">
      <c r="A205" s="151">
        <f t="shared" si="21"/>
        <v>12</v>
      </c>
      <c r="B205" s="152"/>
      <c r="C205" s="78" t="s">
        <v>353</v>
      </c>
      <c r="D205" s="58">
        <f t="shared" si="24"/>
        <v>467.15759999999995</v>
      </c>
      <c r="E205" s="65">
        <v>0</v>
      </c>
      <c r="F205" s="65">
        <f t="shared" si="22"/>
        <v>467.15759999999995</v>
      </c>
      <c r="G205" s="80">
        <v>0</v>
      </c>
      <c r="H205" s="65">
        <f t="shared" si="23"/>
        <v>677.37851999999987</v>
      </c>
      <c r="I205" s="33"/>
      <c r="K205" s="77">
        <f t="shared" si="20"/>
        <v>2303086.9679999994</v>
      </c>
      <c r="L205" s="207"/>
      <c r="M205" s="207"/>
      <c r="N205" s="33"/>
      <c r="T205" s="18"/>
    </row>
    <row r="206" spans="1:20" s="66" customFormat="1" ht="15.75" customHeight="1" x14ac:dyDescent="0.25">
      <c r="A206" s="151">
        <f t="shared" si="21"/>
        <v>13</v>
      </c>
      <c r="B206" s="152"/>
      <c r="C206" s="78" t="s">
        <v>353</v>
      </c>
      <c r="D206" s="58">
        <f t="shared" si="24"/>
        <v>467.15759999999995</v>
      </c>
      <c r="E206" s="65">
        <v>0</v>
      </c>
      <c r="F206" s="65">
        <f t="shared" si="22"/>
        <v>467.15759999999995</v>
      </c>
      <c r="G206" s="80">
        <v>0</v>
      </c>
      <c r="H206" s="65">
        <f t="shared" si="23"/>
        <v>677.37851999999987</v>
      </c>
      <c r="I206" s="33"/>
      <c r="K206" s="77">
        <f t="shared" si="20"/>
        <v>2303086.9679999994</v>
      </c>
      <c r="L206" s="207"/>
      <c r="M206" s="207"/>
      <c r="N206" s="33"/>
      <c r="T206" s="18"/>
    </row>
    <row r="207" spans="1:20" s="66" customFormat="1" x14ac:dyDescent="0.25">
      <c r="A207" s="190" t="s">
        <v>116</v>
      </c>
      <c r="B207" s="190"/>
      <c r="C207" s="190"/>
      <c r="D207" s="190"/>
      <c r="E207" s="190"/>
      <c r="F207" s="190"/>
      <c r="G207" s="190"/>
      <c r="H207" s="190"/>
      <c r="J207" s="33"/>
      <c r="K207" s="77">
        <f t="shared" si="20"/>
        <v>0</v>
      </c>
    </row>
    <row r="208" spans="1:20" s="66" customFormat="1" ht="15.75" customHeight="1" x14ac:dyDescent="0.25">
      <c r="A208" s="137">
        <v>1</v>
      </c>
      <c r="B208" s="137"/>
      <c r="C208" s="82" t="s">
        <v>352</v>
      </c>
      <c r="D208" s="58">
        <f>(65.75)*10.764</f>
        <v>707.73299999999995</v>
      </c>
      <c r="E208" s="82">
        <v>0</v>
      </c>
      <c r="F208" s="82">
        <f>D208+E208</f>
        <v>707.73299999999995</v>
      </c>
      <c r="G208" s="82">
        <v>0</v>
      </c>
      <c r="H208" s="82">
        <f>F208*(($H$191)+1)+(IF(G208&lt;101,G208,IF(G208&lt;201,G208/2,IF(G208&lt;=301,G208/3,G208/4))))</f>
        <v>1026.2128499999999</v>
      </c>
      <c r="I208" s="33"/>
      <c r="K208" s="77">
        <f t="shared" si="20"/>
        <v>3489123.6899999995</v>
      </c>
      <c r="L208" s="207"/>
      <c r="M208" s="207"/>
      <c r="N208" s="33"/>
    </row>
    <row r="209" spans="1:20" s="66" customFormat="1" ht="15.75" customHeight="1" x14ac:dyDescent="0.25">
      <c r="A209" s="137">
        <f>A208+1</f>
        <v>2</v>
      </c>
      <c r="B209" s="137"/>
      <c r="C209" s="82" t="s">
        <v>352</v>
      </c>
      <c r="D209" s="58">
        <f>(65.75)*10.764</f>
        <v>707.73299999999995</v>
      </c>
      <c r="E209" s="82">
        <v>0</v>
      </c>
      <c r="F209" s="82">
        <f>D209+E209</f>
        <v>707.73299999999995</v>
      </c>
      <c r="G209" s="82">
        <v>0</v>
      </c>
      <c r="H209" s="82">
        <f>F209*(($H$191)+1)+(IF(G209&lt;101,G209,IF(G209&lt;201,G209/2,IF(G209&lt;=301,G209/3,G209/4))))</f>
        <v>1026.2128499999999</v>
      </c>
      <c r="I209" s="33"/>
      <c r="K209" s="77">
        <f>K$193*H209</f>
        <v>3489123.6899999995</v>
      </c>
      <c r="L209" s="207"/>
      <c r="M209" s="207"/>
      <c r="N209" s="33"/>
    </row>
    <row r="210" spans="1:20" s="66" customFormat="1" ht="15.75" customHeight="1" x14ac:dyDescent="0.25">
      <c r="A210" s="137">
        <f>A209+1</f>
        <v>3</v>
      </c>
      <c r="B210" s="137"/>
      <c r="C210" s="82" t="s">
        <v>352</v>
      </c>
      <c r="D210" s="58">
        <f>(65.74)*10.764</f>
        <v>707.62535999999989</v>
      </c>
      <c r="E210" s="82">
        <v>0</v>
      </c>
      <c r="F210" s="82">
        <f>D210+E210</f>
        <v>707.62535999999989</v>
      </c>
      <c r="G210" s="82">
        <v>0</v>
      </c>
      <c r="H210" s="82">
        <f>F210*(($H$191)+1)+(IF(G210&lt;101,G210,IF(G210&lt;201,G210/2,IF(G210&lt;=301,G210/3,G210/4))))</f>
        <v>1026.0567719999999</v>
      </c>
      <c r="I210" s="33"/>
      <c r="K210" s="77">
        <f t="shared" si="20"/>
        <v>3488593.0247999998</v>
      </c>
      <c r="L210" s="207"/>
      <c r="M210" s="207"/>
      <c r="N210" s="33"/>
    </row>
    <row r="211" spans="1:20" s="66" customFormat="1" ht="15.75" customHeight="1" x14ac:dyDescent="0.25">
      <c r="A211" s="137">
        <f>A210+1</f>
        <v>4</v>
      </c>
      <c r="B211" s="137"/>
      <c r="C211" s="82" t="s">
        <v>334</v>
      </c>
      <c r="D211" s="58">
        <f>(39.36)*10.764</f>
        <v>423.67103999999995</v>
      </c>
      <c r="E211" s="82">
        <v>0</v>
      </c>
      <c r="F211" s="82">
        <f>D211+E211</f>
        <v>423.67103999999995</v>
      </c>
      <c r="G211" s="82">
        <v>0</v>
      </c>
      <c r="H211" s="82">
        <f>F211*(($H$191)+1)+(IF(G211&lt;101,G211,IF(G211&lt;201,G211/2,IF(G211&lt;=301,G211/3,G211/4))))</f>
        <v>614.32300799999996</v>
      </c>
      <c r="I211" s="33"/>
      <c r="K211" s="77">
        <f t="shared" si="20"/>
        <v>2088698.2271999998</v>
      </c>
      <c r="L211" s="207"/>
      <c r="M211" s="207"/>
      <c r="N211" s="33"/>
      <c r="T211" s="18"/>
    </row>
    <row r="212" spans="1:20" s="66" customFormat="1" ht="15.75" customHeight="1" x14ac:dyDescent="0.25">
      <c r="A212" s="137">
        <f t="shared" ref="A212:A220" si="25">A211+1</f>
        <v>5</v>
      </c>
      <c r="B212" s="137"/>
      <c r="C212" s="82" t="s">
        <v>334</v>
      </c>
      <c r="D212" s="58">
        <f>(39.36)*10.764</f>
        <v>423.67103999999995</v>
      </c>
      <c r="E212" s="82">
        <v>0</v>
      </c>
      <c r="F212" s="82">
        <f t="shared" ref="F212:F220" si="26">D212+E212</f>
        <v>423.67103999999995</v>
      </c>
      <c r="G212" s="82">
        <v>0</v>
      </c>
      <c r="H212" s="82">
        <f t="shared" ref="H212:H220" si="27">F212*(($H$191)+1)+(IF(G212&lt;101,G212,IF(G212&lt;201,G212/2,IF(G212&lt;=301,G212/3,G212/4))))</f>
        <v>614.32300799999996</v>
      </c>
      <c r="I212" s="33"/>
      <c r="K212" s="77">
        <f t="shared" si="20"/>
        <v>2088698.2271999998</v>
      </c>
      <c r="L212" s="207"/>
      <c r="M212" s="207"/>
      <c r="N212" s="33"/>
      <c r="T212" s="18"/>
    </row>
    <row r="213" spans="1:20" s="66" customFormat="1" ht="15.75" customHeight="1" x14ac:dyDescent="0.25">
      <c r="A213" s="137">
        <f t="shared" si="25"/>
        <v>6</v>
      </c>
      <c r="B213" s="137"/>
      <c r="C213" s="82" t="s">
        <v>334</v>
      </c>
      <c r="D213" s="58">
        <f>(39.36)*10.764</f>
        <v>423.67103999999995</v>
      </c>
      <c r="E213" s="82">
        <v>0</v>
      </c>
      <c r="F213" s="82">
        <f t="shared" si="26"/>
        <v>423.67103999999995</v>
      </c>
      <c r="G213" s="82">
        <v>0</v>
      </c>
      <c r="H213" s="82">
        <f t="shared" si="27"/>
        <v>614.32300799999996</v>
      </c>
      <c r="I213" s="33"/>
      <c r="K213" s="77">
        <f t="shared" si="20"/>
        <v>2088698.2271999998</v>
      </c>
      <c r="L213" s="207"/>
      <c r="M213" s="207"/>
      <c r="N213" s="33"/>
      <c r="T213" s="18"/>
    </row>
    <row r="214" spans="1:20" s="66" customFormat="1" ht="15.75" customHeight="1" x14ac:dyDescent="0.25">
      <c r="A214" s="137">
        <f t="shared" si="25"/>
        <v>7</v>
      </c>
      <c r="B214" s="137"/>
      <c r="C214" s="82" t="s">
        <v>334</v>
      </c>
      <c r="D214" s="58">
        <f>(39.36)*10.764</f>
        <v>423.67103999999995</v>
      </c>
      <c r="E214" s="82">
        <v>0</v>
      </c>
      <c r="F214" s="82">
        <f t="shared" si="26"/>
        <v>423.67103999999995</v>
      </c>
      <c r="G214" s="82">
        <v>0</v>
      </c>
      <c r="H214" s="82">
        <f t="shared" si="27"/>
        <v>614.32300799999996</v>
      </c>
      <c r="I214" s="33"/>
      <c r="K214" s="77">
        <f t="shared" si="20"/>
        <v>2088698.2271999998</v>
      </c>
      <c r="L214" s="207"/>
      <c r="M214" s="207"/>
      <c r="N214" s="33"/>
      <c r="T214" s="18"/>
    </row>
    <row r="215" spans="1:20" s="66" customFormat="1" ht="15.75" customHeight="1" x14ac:dyDescent="0.25">
      <c r="A215" s="137">
        <f t="shared" si="25"/>
        <v>8</v>
      </c>
      <c r="B215" s="137"/>
      <c r="C215" s="82" t="s">
        <v>353</v>
      </c>
      <c r="D215" s="58">
        <f t="shared" ref="D215:D220" si="28">(43.4)*10.764</f>
        <v>467.15759999999995</v>
      </c>
      <c r="E215" s="82">
        <v>0</v>
      </c>
      <c r="F215" s="82">
        <f t="shared" si="26"/>
        <v>467.15759999999995</v>
      </c>
      <c r="G215" s="82">
        <v>0</v>
      </c>
      <c r="H215" s="82">
        <f t="shared" si="27"/>
        <v>677.37851999999987</v>
      </c>
      <c r="I215" s="33"/>
      <c r="K215" s="77">
        <f>K$193*H215</f>
        <v>2303086.9679999994</v>
      </c>
      <c r="L215" s="207"/>
      <c r="M215" s="207"/>
      <c r="N215" s="33"/>
      <c r="T215" s="18"/>
    </row>
    <row r="216" spans="1:20" s="66" customFormat="1" ht="15.75" customHeight="1" x14ac:dyDescent="0.25">
      <c r="A216" s="137">
        <f t="shared" si="25"/>
        <v>9</v>
      </c>
      <c r="B216" s="137"/>
      <c r="C216" s="82" t="s">
        <v>353</v>
      </c>
      <c r="D216" s="58">
        <f t="shared" si="28"/>
        <v>467.15759999999995</v>
      </c>
      <c r="E216" s="82">
        <v>0</v>
      </c>
      <c r="F216" s="82">
        <f t="shared" si="26"/>
        <v>467.15759999999995</v>
      </c>
      <c r="G216" s="82">
        <v>0</v>
      </c>
      <c r="H216" s="82">
        <f t="shared" si="27"/>
        <v>677.37851999999987</v>
      </c>
      <c r="I216" s="33"/>
      <c r="K216" s="77">
        <f t="shared" si="20"/>
        <v>2303086.9679999994</v>
      </c>
      <c r="L216" s="207"/>
      <c r="M216" s="207"/>
      <c r="N216" s="33"/>
      <c r="T216" s="18"/>
    </row>
    <row r="217" spans="1:20" s="66" customFormat="1" ht="15.75" customHeight="1" x14ac:dyDescent="0.25">
      <c r="A217" s="151">
        <f t="shared" si="25"/>
        <v>10</v>
      </c>
      <c r="B217" s="152"/>
      <c r="C217" s="78" t="s">
        <v>353</v>
      </c>
      <c r="D217" s="58">
        <f t="shared" si="28"/>
        <v>467.15759999999995</v>
      </c>
      <c r="E217" s="65">
        <v>0</v>
      </c>
      <c r="F217" s="65">
        <f t="shared" si="26"/>
        <v>467.15759999999995</v>
      </c>
      <c r="G217" s="65">
        <v>0</v>
      </c>
      <c r="H217" s="65">
        <f t="shared" si="27"/>
        <v>677.37851999999987</v>
      </c>
      <c r="I217" s="33"/>
      <c r="K217" s="77">
        <f t="shared" si="20"/>
        <v>2303086.9679999994</v>
      </c>
      <c r="L217" s="207"/>
      <c r="M217" s="207"/>
      <c r="N217" s="33"/>
      <c r="T217" s="18"/>
    </row>
    <row r="218" spans="1:20" s="66" customFormat="1" ht="15.75" customHeight="1" x14ac:dyDescent="0.25">
      <c r="A218" s="151">
        <f t="shared" si="25"/>
        <v>11</v>
      </c>
      <c r="B218" s="152"/>
      <c r="C218" s="78" t="s">
        <v>353</v>
      </c>
      <c r="D218" s="58">
        <f t="shared" si="28"/>
        <v>467.15759999999995</v>
      </c>
      <c r="E218" s="65">
        <v>0</v>
      </c>
      <c r="F218" s="65">
        <f t="shared" si="26"/>
        <v>467.15759999999995</v>
      </c>
      <c r="G218" s="65">
        <v>0</v>
      </c>
      <c r="H218" s="65">
        <f t="shared" si="27"/>
        <v>677.37851999999987</v>
      </c>
      <c r="I218" s="33"/>
      <c r="K218" s="77">
        <f t="shared" si="20"/>
        <v>2303086.9679999994</v>
      </c>
      <c r="L218" s="207"/>
      <c r="M218" s="207"/>
      <c r="N218" s="33"/>
      <c r="T218" s="18"/>
    </row>
    <row r="219" spans="1:20" s="66" customFormat="1" ht="15.75" customHeight="1" x14ac:dyDescent="0.25">
      <c r="A219" s="151">
        <f t="shared" si="25"/>
        <v>12</v>
      </c>
      <c r="B219" s="152"/>
      <c r="C219" s="78" t="s">
        <v>353</v>
      </c>
      <c r="D219" s="58">
        <f t="shared" si="28"/>
        <v>467.15759999999995</v>
      </c>
      <c r="E219" s="65">
        <v>0</v>
      </c>
      <c r="F219" s="65">
        <f t="shared" si="26"/>
        <v>467.15759999999995</v>
      </c>
      <c r="G219" s="65">
        <v>0</v>
      </c>
      <c r="H219" s="65">
        <f t="shared" si="27"/>
        <v>677.37851999999987</v>
      </c>
      <c r="I219" s="33"/>
      <c r="K219" s="77">
        <f t="shared" si="20"/>
        <v>2303086.9679999994</v>
      </c>
      <c r="L219" s="207"/>
      <c r="M219" s="207"/>
      <c r="N219" s="33"/>
      <c r="T219" s="18"/>
    </row>
    <row r="220" spans="1:20" s="66" customFormat="1" ht="15.75" customHeight="1" x14ac:dyDescent="0.25">
      <c r="A220" s="151">
        <f t="shared" si="25"/>
        <v>13</v>
      </c>
      <c r="B220" s="152"/>
      <c r="C220" s="78" t="s">
        <v>353</v>
      </c>
      <c r="D220" s="58">
        <f t="shared" si="28"/>
        <v>467.15759999999995</v>
      </c>
      <c r="E220" s="65">
        <v>0</v>
      </c>
      <c r="F220" s="65">
        <f t="shared" si="26"/>
        <v>467.15759999999995</v>
      </c>
      <c r="G220" s="65">
        <v>0</v>
      </c>
      <c r="H220" s="65">
        <f t="shared" si="27"/>
        <v>677.37851999999987</v>
      </c>
      <c r="I220" s="33"/>
      <c r="K220" s="77">
        <f t="shared" si="20"/>
        <v>2303086.9679999994</v>
      </c>
      <c r="L220" s="207"/>
      <c r="M220" s="207"/>
      <c r="N220" s="33"/>
      <c r="T220" s="18"/>
    </row>
    <row r="221" spans="1:20" s="66" customFormat="1" x14ac:dyDescent="0.25">
      <c r="A221" s="182" t="s">
        <v>336</v>
      </c>
      <c r="B221" s="183"/>
      <c r="C221" s="183"/>
      <c r="D221" s="183"/>
      <c r="E221" s="183"/>
      <c r="F221" s="183"/>
      <c r="G221" s="183"/>
      <c r="H221" s="184"/>
      <c r="J221" s="33"/>
    </row>
    <row r="222" spans="1:20" s="66" customFormat="1" ht="15.75" customHeight="1" x14ac:dyDescent="0.25">
      <c r="A222" s="151">
        <v>1</v>
      </c>
      <c r="B222" s="152"/>
      <c r="C222" s="78" t="s">
        <v>352</v>
      </c>
      <c r="D222" s="67">
        <f>(65.75)*10.764</f>
        <v>707.73299999999995</v>
      </c>
      <c r="E222" s="65">
        <v>0</v>
      </c>
      <c r="F222" s="65">
        <f>D222+E222</f>
        <v>707.73299999999995</v>
      </c>
      <c r="G222" s="65">
        <v>0</v>
      </c>
      <c r="H222" s="65">
        <f>F222*(($H$191)+1)+(IF(G222&lt;101,G222,IF(G222&lt;201,G222/2,IF(G222&lt;=301,G222/3,G222/4))))</f>
        <v>1026.2128499999999</v>
      </c>
      <c r="I222" s="33"/>
      <c r="L222" s="207"/>
      <c r="M222" s="207"/>
      <c r="N222" s="33"/>
    </row>
    <row r="223" spans="1:20" s="66" customFormat="1" ht="15.75" customHeight="1" x14ac:dyDescent="0.25">
      <c r="A223" s="151">
        <f>A222+1</f>
        <v>2</v>
      </c>
      <c r="B223" s="152"/>
      <c r="C223" s="78" t="s">
        <v>352</v>
      </c>
      <c r="D223" s="67">
        <f>(65.75)*10.764</f>
        <v>707.73299999999995</v>
      </c>
      <c r="E223" s="65">
        <v>0</v>
      </c>
      <c r="F223" s="65">
        <f>D223+E223</f>
        <v>707.73299999999995</v>
      </c>
      <c r="G223" s="65">
        <v>0</v>
      </c>
      <c r="H223" s="65">
        <f>F223*(($H$191)+1)+(IF(G223&lt;101,G223,IF(G223&lt;201,G223/2,IF(G223&lt;=301,G223/3,G223/4))))</f>
        <v>1026.2128499999999</v>
      </c>
      <c r="I223" s="33"/>
      <c r="L223" s="207"/>
      <c r="M223" s="207"/>
      <c r="N223" s="33"/>
    </row>
    <row r="224" spans="1:20" s="66" customFormat="1" ht="15.75" customHeight="1" x14ac:dyDescent="0.25">
      <c r="A224" s="151">
        <f>A223+1</f>
        <v>3</v>
      </c>
      <c r="B224" s="152"/>
      <c r="C224" s="78" t="s">
        <v>352</v>
      </c>
      <c r="D224" s="67">
        <f>(65.74)*10.764</f>
        <v>707.62535999999989</v>
      </c>
      <c r="E224" s="65">
        <v>0</v>
      </c>
      <c r="F224" s="65">
        <f>D224+E224</f>
        <v>707.62535999999989</v>
      </c>
      <c r="G224" s="65">
        <v>0</v>
      </c>
      <c r="H224" s="65">
        <f>F224*(($H$191)+1)+(IF(G224&lt;101,G224,IF(G224&lt;201,G224/2,IF(G224&lt;=301,G224/3,G224/4))))</f>
        <v>1026.0567719999999</v>
      </c>
      <c r="I224" s="33"/>
      <c r="L224" s="207"/>
      <c r="M224" s="207"/>
      <c r="N224" s="33"/>
    </row>
    <row r="225" spans="1:20" s="66" customFormat="1" ht="15.75" customHeight="1" x14ac:dyDescent="0.25">
      <c r="A225" s="151">
        <f>A224+1</f>
        <v>4</v>
      </c>
      <c r="B225" s="152"/>
      <c r="C225" s="78" t="s">
        <v>334</v>
      </c>
      <c r="D225" s="67">
        <f>(39.36)*10.764</f>
        <v>423.67103999999995</v>
      </c>
      <c r="E225" s="65">
        <v>0</v>
      </c>
      <c r="F225" s="65">
        <f>D225+E225</f>
        <v>423.67103999999995</v>
      </c>
      <c r="G225" s="65">
        <v>0</v>
      </c>
      <c r="H225" s="65">
        <f>F225*(($H$191)+1)+(IF(G225&lt;101,G225,IF(G225&lt;201,G225/2,IF(G225&lt;=301,G225/3,G225/4))))</f>
        <v>614.32300799999996</v>
      </c>
      <c r="I225" s="33"/>
      <c r="L225" s="207"/>
      <c r="M225" s="207"/>
      <c r="N225" s="33"/>
      <c r="T225" s="18"/>
    </row>
    <row r="226" spans="1:20" s="66" customFormat="1" ht="15.75" customHeight="1" x14ac:dyDescent="0.25">
      <c r="A226" s="151">
        <f t="shared" ref="A226:A234" si="29">A225+1</f>
        <v>5</v>
      </c>
      <c r="B226" s="152"/>
      <c r="C226" s="78" t="s">
        <v>334</v>
      </c>
      <c r="D226" s="67">
        <f>(39.36)*10.764</f>
        <v>423.67103999999995</v>
      </c>
      <c r="E226" s="65">
        <v>0</v>
      </c>
      <c r="F226" s="65">
        <f t="shared" ref="F226:F234" si="30">D226+E226</f>
        <v>423.67103999999995</v>
      </c>
      <c r="G226" s="65">
        <v>0</v>
      </c>
      <c r="H226" s="65">
        <f t="shared" ref="H226:H234" si="31">F226*(($H$191)+1)+(IF(G226&lt;101,G226,IF(G226&lt;201,G226/2,IF(G226&lt;=301,G226/3,G226/4))))</f>
        <v>614.32300799999996</v>
      </c>
      <c r="I226" s="33"/>
      <c r="L226" s="207"/>
      <c r="M226" s="207"/>
      <c r="N226" s="33"/>
      <c r="T226" s="18"/>
    </row>
    <row r="227" spans="1:20" s="66" customFormat="1" ht="15.75" customHeight="1" x14ac:dyDescent="0.25">
      <c r="A227" s="151">
        <f t="shared" si="29"/>
        <v>6</v>
      </c>
      <c r="B227" s="152"/>
      <c r="C227" s="78" t="s">
        <v>334</v>
      </c>
      <c r="D227" s="67">
        <f>(39.36)*10.764</f>
        <v>423.67103999999995</v>
      </c>
      <c r="E227" s="65">
        <v>0</v>
      </c>
      <c r="F227" s="65">
        <f t="shared" si="30"/>
        <v>423.67103999999995</v>
      </c>
      <c r="G227" s="65">
        <v>0</v>
      </c>
      <c r="H227" s="65">
        <f t="shared" si="31"/>
        <v>614.32300799999996</v>
      </c>
      <c r="I227" s="33"/>
      <c r="L227" s="207"/>
      <c r="M227" s="207"/>
      <c r="N227" s="33"/>
      <c r="T227" s="18"/>
    </row>
    <row r="228" spans="1:20" s="66" customFormat="1" ht="15.75" customHeight="1" x14ac:dyDescent="0.25">
      <c r="A228" s="151">
        <f t="shared" si="29"/>
        <v>7</v>
      </c>
      <c r="B228" s="152"/>
      <c r="C228" s="78" t="s">
        <v>334</v>
      </c>
      <c r="D228" s="67">
        <f>(39.36)*10.764</f>
        <v>423.67103999999995</v>
      </c>
      <c r="E228" s="65">
        <v>0</v>
      </c>
      <c r="F228" s="65">
        <f t="shared" si="30"/>
        <v>423.67103999999995</v>
      </c>
      <c r="G228" s="65">
        <v>0</v>
      </c>
      <c r="H228" s="65">
        <f t="shared" si="31"/>
        <v>614.32300799999996</v>
      </c>
      <c r="I228" s="33"/>
      <c r="L228" s="207"/>
      <c r="M228" s="207"/>
      <c r="N228" s="33"/>
      <c r="T228" s="18"/>
    </row>
    <row r="229" spans="1:20" s="66" customFormat="1" ht="15.75" customHeight="1" x14ac:dyDescent="0.25">
      <c r="A229" s="151">
        <f t="shared" si="29"/>
        <v>8</v>
      </c>
      <c r="B229" s="152"/>
      <c r="C229" s="78" t="s">
        <v>353</v>
      </c>
      <c r="D229" s="67">
        <f t="shared" ref="D229:D234" si="32">(43.4)*10.764</f>
        <v>467.15759999999995</v>
      </c>
      <c r="E229" s="65">
        <v>0</v>
      </c>
      <c r="F229" s="65">
        <f t="shared" si="30"/>
        <v>467.15759999999995</v>
      </c>
      <c r="G229" s="65">
        <v>0</v>
      </c>
      <c r="H229" s="65">
        <f t="shared" si="31"/>
        <v>677.37851999999987</v>
      </c>
      <c r="I229" s="33"/>
      <c r="L229" s="207"/>
      <c r="M229" s="207"/>
      <c r="N229" s="33"/>
      <c r="T229" s="18"/>
    </row>
    <row r="230" spans="1:20" s="66" customFormat="1" ht="15.75" customHeight="1" x14ac:dyDescent="0.25">
      <c r="A230" s="151">
        <f t="shared" si="29"/>
        <v>9</v>
      </c>
      <c r="B230" s="152"/>
      <c r="C230" s="78" t="s">
        <v>353</v>
      </c>
      <c r="D230" s="67">
        <f t="shared" si="32"/>
        <v>467.15759999999995</v>
      </c>
      <c r="E230" s="65">
        <v>0</v>
      </c>
      <c r="F230" s="65">
        <f t="shared" si="30"/>
        <v>467.15759999999995</v>
      </c>
      <c r="G230" s="65">
        <v>0</v>
      </c>
      <c r="H230" s="65">
        <f t="shared" si="31"/>
        <v>677.37851999999987</v>
      </c>
      <c r="I230" s="33"/>
      <c r="L230" s="207"/>
      <c r="M230" s="207"/>
      <c r="N230" s="33"/>
      <c r="T230" s="18"/>
    </row>
    <row r="231" spans="1:20" s="66" customFormat="1" ht="15.75" customHeight="1" x14ac:dyDescent="0.25">
      <c r="A231" s="151">
        <f t="shared" si="29"/>
        <v>10</v>
      </c>
      <c r="B231" s="152"/>
      <c r="C231" s="78" t="s">
        <v>353</v>
      </c>
      <c r="D231" s="67">
        <f t="shared" si="32"/>
        <v>467.15759999999995</v>
      </c>
      <c r="E231" s="65">
        <v>0</v>
      </c>
      <c r="F231" s="65">
        <f t="shared" si="30"/>
        <v>467.15759999999995</v>
      </c>
      <c r="G231" s="65">
        <v>0</v>
      </c>
      <c r="H231" s="65">
        <f t="shared" si="31"/>
        <v>677.37851999999987</v>
      </c>
      <c r="I231" s="33"/>
      <c r="L231" s="207"/>
      <c r="M231" s="207"/>
      <c r="N231" s="33"/>
      <c r="T231" s="18"/>
    </row>
    <row r="232" spans="1:20" s="66" customFormat="1" ht="15.75" customHeight="1" x14ac:dyDescent="0.25">
      <c r="A232" s="151">
        <f t="shared" si="29"/>
        <v>11</v>
      </c>
      <c r="B232" s="152"/>
      <c r="C232" s="78" t="s">
        <v>353</v>
      </c>
      <c r="D232" s="67">
        <f t="shared" si="32"/>
        <v>467.15759999999995</v>
      </c>
      <c r="E232" s="65">
        <v>0</v>
      </c>
      <c r="F232" s="65">
        <f t="shared" si="30"/>
        <v>467.15759999999995</v>
      </c>
      <c r="G232" s="65">
        <v>0</v>
      </c>
      <c r="H232" s="65">
        <f t="shared" si="31"/>
        <v>677.37851999999987</v>
      </c>
      <c r="I232" s="33"/>
      <c r="L232" s="207"/>
      <c r="M232" s="207"/>
      <c r="N232" s="33"/>
      <c r="T232" s="18"/>
    </row>
    <row r="233" spans="1:20" s="66" customFormat="1" ht="15.75" customHeight="1" x14ac:dyDescent="0.25">
      <c r="A233" s="151">
        <f t="shared" si="29"/>
        <v>12</v>
      </c>
      <c r="B233" s="152"/>
      <c r="C233" s="78" t="s">
        <v>353</v>
      </c>
      <c r="D233" s="67">
        <f t="shared" si="32"/>
        <v>467.15759999999995</v>
      </c>
      <c r="E233" s="65">
        <v>0</v>
      </c>
      <c r="F233" s="65">
        <f t="shared" si="30"/>
        <v>467.15759999999995</v>
      </c>
      <c r="G233" s="65">
        <v>0</v>
      </c>
      <c r="H233" s="65">
        <f t="shared" si="31"/>
        <v>677.37851999999987</v>
      </c>
      <c r="I233" s="33" t="s">
        <v>346</v>
      </c>
      <c r="J233" s="66" t="s">
        <v>347</v>
      </c>
      <c r="K233" s="66" t="s">
        <v>348</v>
      </c>
      <c r="L233" s="207"/>
      <c r="M233" s="207"/>
      <c r="N233" s="33"/>
      <c r="T233" s="18"/>
    </row>
    <row r="234" spans="1:20" s="66" customFormat="1" ht="15.75" customHeight="1" x14ac:dyDescent="0.25">
      <c r="A234" s="151">
        <f t="shared" si="29"/>
        <v>13</v>
      </c>
      <c r="B234" s="152"/>
      <c r="C234" s="78" t="s">
        <v>353</v>
      </c>
      <c r="D234" s="67">
        <f t="shared" si="32"/>
        <v>467.15759999999995</v>
      </c>
      <c r="E234" s="65">
        <v>0</v>
      </c>
      <c r="F234" s="65">
        <f t="shared" si="30"/>
        <v>467.15759999999995</v>
      </c>
      <c r="G234" s="65">
        <v>0</v>
      </c>
      <c r="H234" s="65">
        <f t="shared" si="31"/>
        <v>677.37851999999987</v>
      </c>
      <c r="I234" s="33">
        <f>3.1*4+3.5*2.1+3.5*3.2+1.1*1.2+1.85*1.5+1.1*1.85+0.6*1.8</f>
        <v>38.159999999999997</v>
      </c>
      <c r="J234" s="66">
        <f>2.35*1.75</f>
        <v>4.1124999999999998</v>
      </c>
      <c r="K234" s="33">
        <f>I234+J234</f>
        <v>42.272499999999994</v>
      </c>
      <c r="L234" s="207"/>
      <c r="M234" s="207"/>
      <c r="N234" s="33"/>
      <c r="T234" s="18"/>
    </row>
    <row r="235" spans="1:20" s="66" customFormat="1" x14ac:dyDescent="0.25">
      <c r="A235" s="182" t="s">
        <v>330</v>
      </c>
      <c r="B235" s="183"/>
      <c r="C235" s="183"/>
      <c r="D235" s="183"/>
      <c r="E235" s="183"/>
      <c r="F235" s="183"/>
      <c r="G235" s="183"/>
      <c r="H235" s="184"/>
      <c r="J235" s="33"/>
    </row>
    <row r="236" spans="1:20" s="34" customFormat="1" x14ac:dyDescent="0.25">
      <c r="A236" s="190" t="s">
        <v>335</v>
      </c>
      <c r="B236" s="190"/>
      <c r="C236" s="190"/>
      <c r="D236" s="190"/>
      <c r="E236" s="190"/>
      <c r="F236" s="190"/>
      <c r="G236" s="190"/>
      <c r="H236" s="190"/>
      <c r="I236" s="33"/>
      <c r="L236" s="207"/>
      <c r="M236" s="207"/>
    </row>
    <row r="237" spans="1:20" s="34" customFormat="1" x14ac:dyDescent="0.25">
      <c r="A237" s="137">
        <v>14</v>
      </c>
      <c r="B237" s="137"/>
      <c r="C237" s="65" t="s">
        <v>353</v>
      </c>
      <c r="D237" s="58">
        <f>(43.74)*10.764</f>
        <v>470.81736000000001</v>
      </c>
      <c r="E237" s="50">
        <v>0</v>
      </c>
      <c r="F237" s="50">
        <f>D237+E237</f>
        <v>470.81736000000001</v>
      </c>
      <c r="G237" s="80">
        <v>0</v>
      </c>
      <c r="H237" s="50">
        <f>F237*(($H$191)+1)+(IF(G237&lt;101,G237,IF(G237&lt;201,G237/2,IF(G237&lt;=301,G237/3,G237/4))))</f>
        <v>682.68517199999997</v>
      </c>
      <c r="I237" s="33">
        <f>3.1*4+3.5*2.1+3.5*3.2+1.85*1.5+1.1*1.2+1.1*1.8+3.5*1.75</f>
        <v>43.15</v>
      </c>
      <c r="N237" s="33"/>
    </row>
    <row r="238" spans="1:20" s="34" customFormat="1" x14ac:dyDescent="0.25">
      <c r="A238" s="137">
        <f>A237+1</f>
        <v>15</v>
      </c>
      <c r="B238" s="137"/>
      <c r="C238" s="65" t="s">
        <v>353</v>
      </c>
      <c r="D238" s="58">
        <f>(43.74)*10.764</f>
        <v>470.81736000000001</v>
      </c>
      <c r="E238" s="50">
        <v>0</v>
      </c>
      <c r="F238" s="50">
        <f>D238+E238</f>
        <v>470.81736000000001</v>
      </c>
      <c r="G238" s="80">
        <v>0</v>
      </c>
      <c r="H238" s="50">
        <f>F238*(($H$191)+1)+(IF(G238&lt;101,G238,IF(G238&lt;201,G238/2,IF(G238&lt;=301,G238/3,G238/4))))</f>
        <v>682.68517199999997</v>
      </c>
      <c r="I238" s="33"/>
      <c r="N238" s="33"/>
    </row>
    <row r="239" spans="1:20" s="34" customFormat="1" x14ac:dyDescent="0.25">
      <c r="A239" s="137">
        <f>A238+1</f>
        <v>16</v>
      </c>
      <c r="B239" s="137"/>
      <c r="C239" s="65" t="s">
        <v>353</v>
      </c>
      <c r="D239" s="58">
        <f>(43.74)*10.764</f>
        <v>470.81736000000001</v>
      </c>
      <c r="E239" s="50">
        <v>0</v>
      </c>
      <c r="F239" s="50">
        <f>D239+E239</f>
        <v>470.81736000000001</v>
      </c>
      <c r="G239" s="80">
        <v>0</v>
      </c>
      <c r="H239" s="50">
        <f>F239*(($H$191)+1)+(IF(G239&lt;101,G239,IF(G239&lt;201,G239/2,IF(G239&lt;=301,G239/3,G239/4))))</f>
        <v>682.68517199999997</v>
      </c>
      <c r="I239" s="33"/>
      <c r="N239" s="33"/>
    </row>
    <row r="240" spans="1:20" s="34" customFormat="1" x14ac:dyDescent="0.25">
      <c r="A240" s="137">
        <f>A239+1</f>
        <v>17</v>
      </c>
      <c r="B240" s="137"/>
      <c r="C240" s="65" t="s">
        <v>334</v>
      </c>
      <c r="D240" s="58">
        <f>(39.36)*10.764</f>
        <v>423.67103999999995</v>
      </c>
      <c r="E240" s="50">
        <v>0</v>
      </c>
      <c r="F240" s="50">
        <f>D240+E240</f>
        <v>423.67103999999995</v>
      </c>
      <c r="G240" s="80">
        <v>0</v>
      </c>
      <c r="H240" s="50">
        <f>F240*(($H$191)+1)+(IF(G240&lt;101,G240,IF(G240&lt;201,G240/2,IF(G240&lt;=301,G240/3,G240/4))))</f>
        <v>614.32300799999996</v>
      </c>
      <c r="I240" s="33"/>
      <c r="N240" s="33"/>
    </row>
    <row r="241" spans="1:14" s="34" customFormat="1" x14ac:dyDescent="0.25">
      <c r="A241" s="137">
        <f>A240+1</f>
        <v>18</v>
      </c>
      <c r="B241" s="137"/>
      <c r="C241" s="78" t="s">
        <v>353</v>
      </c>
      <c r="D241" s="58">
        <f>(43.74)*10.764</f>
        <v>470.81736000000001</v>
      </c>
      <c r="E241" s="50">
        <v>0</v>
      </c>
      <c r="F241" s="50">
        <f>D241+E241</f>
        <v>470.81736000000001</v>
      </c>
      <c r="G241" s="80">
        <v>0</v>
      </c>
      <c r="H241" s="50">
        <f>F241*(($H$191)+1)+(IF(G241&lt;101,G241,IF(G241&lt;201,G241/2,IF(G241&lt;=301,G241/3,G241/4))))</f>
        <v>682.68517199999997</v>
      </c>
      <c r="I241" s="33"/>
      <c r="N241" s="33"/>
    </row>
    <row r="242" spans="1:14" s="66" customFormat="1" x14ac:dyDescent="0.25">
      <c r="A242" s="137">
        <f t="shared" ref="A242:A244" si="33">A241+1</f>
        <v>19</v>
      </c>
      <c r="B242" s="137"/>
      <c r="C242" s="78" t="s">
        <v>353</v>
      </c>
      <c r="D242" s="58">
        <f>(43.74)*10.764</f>
        <v>470.81736000000001</v>
      </c>
      <c r="E242" s="65">
        <v>0</v>
      </c>
      <c r="F242" s="65">
        <f t="shared" ref="F242:F244" si="34">D242+E242</f>
        <v>470.81736000000001</v>
      </c>
      <c r="G242" s="80">
        <v>0</v>
      </c>
      <c r="H242" s="65">
        <f t="shared" ref="H242:H244" si="35">F242*(($H$191)+1)+(IF(G242&lt;101,G242,IF(G242&lt;201,G242/2,IF(G242&lt;=301,G242/3,G242/4))))</f>
        <v>682.68517199999997</v>
      </c>
      <c r="I242" s="33"/>
      <c r="N242" s="33"/>
    </row>
    <row r="243" spans="1:14" s="66" customFormat="1" x14ac:dyDescent="0.25">
      <c r="A243" s="185">
        <f t="shared" si="33"/>
        <v>20</v>
      </c>
      <c r="B243" s="185"/>
      <c r="C243" s="74" t="s">
        <v>352</v>
      </c>
      <c r="D243" s="58">
        <f>(73.54)*10.764</f>
        <v>791.58456000000001</v>
      </c>
      <c r="E243" s="74">
        <v>0</v>
      </c>
      <c r="F243" s="74">
        <f t="shared" si="34"/>
        <v>791.58456000000001</v>
      </c>
      <c r="G243" s="80">
        <v>0</v>
      </c>
      <c r="H243" s="74">
        <f t="shared" si="35"/>
        <v>1147.7976120000001</v>
      </c>
      <c r="I243" s="33"/>
      <c r="N243" s="33"/>
    </row>
    <row r="244" spans="1:14" s="66" customFormat="1" x14ac:dyDescent="0.25">
      <c r="A244" s="185">
        <f t="shared" si="33"/>
        <v>21</v>
      </c>
      <c r="B244" s="185"/>
      <c r="C244" s="74" t="s">
        <v>352</v>
      </c>
      <c r="D244" s="58">
        <f>(64.12)*10.764</f>
        <v>690.18768</v>
      </c>
      <c r="E244" s="74">
        <v>0</v>
      </c>
      <c r="F244" s="74">
        <f t="shared" si="34"/>
        <v>690.18768</v>
      </c>
      <c r="G244" s="80">
        <v>0</v>
      </c>
      <c r="H244" s="74">
        <f t="shared" si="35"/>
        <v>1000.7721359999999</v>
      </c>
      <c r="I244" s="33">
        <f>4.5*3.3+2.4*3.3+3.3*3+3.95*3+1.78*1.65+1.1*1.95+0.75*3.3+1.1*1.35+2.3*3+0.6*2+0.6*2</f>
        <v>62.862000000000009</v>
      </c>
      <c r="N244" s="33"/>
    </row>
    <row r="245" spans="1:14" s="66" customFormat="1" x14ac:dyDescent="0.25">
      <c r="A245" s="229" t="s">
        <v>345</v>
      </c>
      <c r="B245" s="229"/>
      <c r="C245" s="229"/>
      <c r="D245" s="229"/>
      <c r="E245" s="229"/>
      <c r="F245" s="229"/>
      <c r="G245" s="229"/>
      <c r="H245" s="229"/>
      <c r="I245" s="33"/>
      <c r="L245" s="207"/>
      <c r="M245" s="207"/>
    </row>
    <row r="246" spans="1:14" s="66" customFormat="1" x14ac:dyDescent="0.25">
      <c r="A246" s="185">
        <v>14</v>
      </c>
      <c r="B246" s="185"/>
      <c r="C246" s="78" t="s">
        <v>353</v>
      </c>
      <c r="D246" s="58">
        <f>(43.74)*10.764</f>
        <v>470.81736000000001</v>
      </c>
      <c r="E246" s="74">
        <v>0</v>
      </c>
      <c r="F246" s="74">
        <f>D246+E246</f>
        <v>470.81736000000001</v>
      </c>
      <c r="G246" s="74">
        <v>0</v>
      </c>
      <c r="H246" s="74">
        <f>F246*(($H$191)+1)+(IF(G246&lt;101,G246,IF(G246&lt;201,G246/2,IF(G246&lt;=301,G246/3,G246/4))))</f>
        <v>682.68517199999997</v>
      </c>
      <c r="I246" s="33"/>
      <c r="N246" s="33"/>
    </row>
    <row r="247" spans="1:14" s="66" customFormat="1" x14ac:dyDescent="0.25">
      <c r="A247" s="185">
        <f>A246+1</f>
        <v>15</v>
      </c>
      <c r="B247" s="185"/>
      <c r="C247" s="78" t="s">
        <v>353</v>
      </c>
      <c r="D247" s="58">
        <f>(43.74)*10.764</f>
        <v>470.81736000000001</v>
      </c>
      <c r="E247" s="74">
        <v>0</v>
      </c>
      <c r="F247" s="74">
        <f>D247+E247</f>
        <v>470.81736000000001</v>
      </c>
      <c r="G247" s="74">
        <v>0</v>
      </c>
      <c r="H247" s="74">
        <f>F247*(($H$191)+1)+(IF(G247&lt;101,G247,IF(G247&lt;201,G247/2,IF(G247&lt;=301,G247/3,G247/4))))</f>
        <v>682.68517199999997</v>
      </c>
      <c r="I247" s="33"/>
      <c r="N247" s="33"/>
    </row>
    <row r="248" spans="1:14" s="66" customFormat="1" x14ac:dyDescent="0.25">
      <c r="A248" s="185">
        <f>A247+1</f>
        <v>16</v>
      </c>
      <c r="B248" s="185"/>
      <c r="C248" s="78" t="s">
        <v>353</v>
      </c>
      <c r="D248" s="58">
        <f>(43.74)*10.764</f>
        <v>470.81736000000001</v>
      </c>
      <c r="E248" s="74">
        <v>0</v>
      </c>
      <c r="F248" s="74">
        <f>D248+E248</f>
        <v>470.81736000000001</v>
      </c>
      <c r="G248" s="74">
        <v>0</v>
      </c>
      <c r="H248" s="74">
        <f>F248*(($H$191)+1)+(IF(G248&lt;101,G248,IF(G248&lt;201,G248/2,IF(G248&lt;=301,G248/3,G248/4))))</f>
        <v>682.68517199999997</v>
      </c>
      <c r="I248" s="33"/>
      <c r="N248" s="33"/>
    </row>
    <row r="249" spans="1:14" s="66" customFormat="1" x14ac:dyDescent="0.25">
      <c r="A249" s="185">
        <f>A248+1</f>
        <v>17</v>
      </c>
      <c r="B249" s="185"/>
      <c r="C249" s="78" t="s">
        <v>334</v>
      </c>
      <c r="D249" s="58">
        <f>(39.36)*10.764</f>
        <v>423.67103999999995</v>
      </c>
      <c r="E249" s="74">
        <v>0</v>
      </c>
      <c r="F249" s="74">
        <f>D249+E249</f>
        <v>423.67103999999995</v>
      </c>
      <c r="G249" s="74">
        <v>0</v>
      </c>
      <c r="H249" s="74">
        <f>F249*(($H$191)+1)+(IF(G249&lt;101,G249,IF(G249&lt;201,G249/2,IF(G249&lt;=301,G249/3,G249/4))))</f>
        <v>614.32300799999996</v>
      </c>
      <c r="I249" s="33"/>
      <c r="N249" s="33"/>
    </row>
    <row r="250" spans="1:14" s="66" customFormat="1" x14ac:dyDescent="0.25">
      <c r="A250" s="185">
        <f>A249+1</f>
        <v>18</v>
      </c>
      <c r="B250" s="185"/>
      <c r="C250" s="78" t="s">
        <v>353</v>
      </c>
      <c r="D250" s="58">
        <f>(43.74)*10.764</f>
        <v>470.81736000000001</v>
      </c>
      <c r="E250" s="74">
        <v>0</v>
      </c>
      <c r="F250" s="74">
        <f>D250+E250</f>
        <v>470.81736000000001</v>
      </c>
      <c r="G250" s="74">
        <v>0</v>
      </c>
      <c r="H250" s="74">
        <f>F250*(($H$191)+1)+(IF(G250&lt;101,G250,IF(G250&lt;201,G250/2,IF(G250&lt;=301,G250/3,G250/4))))</f>
        <v>682.68517199999997</v>
      </c>
      <c r="I250" s="33"/>
      <c r="N250" s="33"/>
    </row>
    <row r="251" spans="1:14" s="66" customFormat="1" x14ac:dyDescent="0.25">
      <c r="A251" s="185">
        <f t="shared" ref="A251:A253" si="36">A250+1</f>
        <v>19</v>
      </c>
      <c r="B251" s="185"/>
      <c r="C251" s="78" t="s">
        <v>353</v>
      </c>
      <c r="D251" s="58">
        <f>(43.74)*10.764</f>
        <v>470.81736000000001</v>
      </c>
      <c r="E251" s="74">
        <v>0</v>
      </c>
      <c r="F251" s="74">
        <f t="shared" ref="F251:F253" si="37">D251+E251</f>
        <v>470.81736000000001</v>
      </c>
      <c r="G251" s="74">
        <v>0</v>
      </c>
      <c r="H251" s="74">
        <f t="shared" ref="H251:H253" si="38">F251*(($H$191)+1)+(IF(G251&lt;101,G251,IF(G251&lt;201,G251/2,IF(G251&lt;=301,G251/3,G251/4))))</f>
        <v>682.68517199999997</v>
      </c>
      <c r="I251" s="33"/>
      <c r="L251" s="75">
        <v>10.763999999999999</v>
      </c>
      <c r="N251" s="33"/>
    </row>
    <row r="252" spans="1:14" s="66" customFormat="1" x14ac:dyDescent="0.25">
      <c r="A252" s="185">
        <f t="shared" si="36"/>
        <v>20</v>
      </c>
      <c r="B252" s="185"/>
      <c r="C252" s="76" t="s">
        <v>353</v>
      </c>
      <c r="D252" s="58">
        <f>(43.74)*10.764</f>
        <v>470.81736000000001</v>
      </c>
      <c r="E252" s="74">
        <v>0</v>
      </c>
      <c r="F252" s="74">
        <f t="shared" si="37"/>
        <v>470.81736000000001</v>
      </c>
      <c r="G252" s="75">
        <f>(9*2.5+3.4*1.2+0.4*1.5)*10.764</f>
        <v>292.56551999999999</v>
      </c>
      <c r="H252" s="74">
        <f t="shared" si="38"/>
        <v>780.20701199999996</v>
      </c>
      <c r="I252" s="33"/>
      <c r="N252" s="33"/>
    </row>
    <row r="253" spans="1:14" s="66" customFormat="1" x14ac:dyDescent="0.25">
      <c r="A253" s="185">
        <f t="shared" si="36"/>
        <v>21</v>
      </c>
      <c r="B253" s="185"/>
      <c r="C253" s="76" t="s">
        <v>352</v>
      </c>
      <c r="D253" s="58">
        <f>(65.75)*10.764</f>
        <v>707.73299999999995</v>
      </c>
      <c r="E253" s="74">
        <v>0</v>
      </c>
      <c r="F253" s="74">
        <f t="shared" si="37"/>
        <v>707.73299999999995</v>
      </c>
      <c r="G253" s="75">
        <f>(11.2*2+7*1+1.1*3.1)*10.764</f>
        <v>353.16683999999998</v>
      </c>
      <c r="H253" s="74">
        <f t="shared" si="38"/>
        <v>1114.5045599999999</v>
      </c>
      <c r="I253" s="33"/>
      <c r="N253" s="33"/>
    </row>
    <row r="254" spans="1:14" s="66" customFormat="1" x14ac:dyDescent="0.25">
      <c r="A254" s="185">
        <f t="shared" ref="A254:A256" si="39">A253+1</f>
        <v>22</v>
      </c>
      <c r="B254" s="185"/>
      <c r="C254" s="74" t="s">
        <v>352</v>
      </c>
      <c r="D254" s="58">
        <f>(64.12)*10.764</f>
        <v>690.18768</v>
      </c>
      <c r="E254" s="74">
        <v>0</v>
      </c>
      <c r="F254" s="74">
        <f t="shared" ref="F254:F256" si="40">D254+E254</f>
        <v>690.18768</v>
      </c>
      <c r="G254" s="75">
        <v>0</v>
      </c>
      <c r="H254" s="74">
        <f t="shared" ref="H254:H256" si="41">F254*(($H$191)+1)+(IF(G254&lt;101,G254,IF(G254&lt;201,G254/2,IF(G254&lt;=301,G254/3,G254/4))))</f>
        <v>1000.7721359999999</v>
      </c>
      <c r="I254" s="76">
        <f>(11.2*2+7*1+1.1*3.1+(((3.4+2.4)/2)*6.5)+2*2)*10.764</f>
        <v>599.12423999999987</v>
      </c>
      <c r="N254" s="33"/>
    </row>
    <row r="255" spans="1:14" s="66" customFormat="1" x14ac:dyDescent="0.25">
      <c r="A255" s="185">
        <f t="shared" si="39"/>
        <v>23</v>
      </c>
      <c r="B255" s="185"/>
      <c r="C255" s="74" t="s">
        <v>352</v>
      </c>
      <c r="D255" s="58">
        <f>(68.92)*10.764</f>
        <v>741.85487999999998</v>
      </c>
      <c r="E255" s="74">
        <v>0</v>
      </c>
      <c r="F255" s="74">
        <f t="shared" si="40"/>
        <v>741.85487999999998</v>
      </c>
      <c r="G255" s="76">
        <f>(11.2*2+7*1+1.1*3.1+(((3.4+2.4)/2)*6.5)+2*2)*10.764</f>
        <v>599.12423999999987</v>
      </c>
      <c r="H255" s="74">
        <f t="shared" si="41"/>
        <v>1225.470636</v>
      </c>
      <c r="I255" s="33"/>
      <c r="N255" s="33"/>
    </row>
    <row r="256" spans="1:14" s="66" customFormat="1" x14ac:dyDescent="0.25">
      <c r="A256" s="185">
        <f t="shared" si="39"/>
        <v>24</v>
      </c>
      <c r="B256" s="185"/>
      <c r="C256" s="74" t="s">
        <v>352</v>
      </c>
      <c r="D256" s="58">
        <f>(69.13)*10.764</f>
        <v>744.11531999999988</v>
      </c>
      <c r="E256" s="74">
        <v>0</v>
      </c>
      <c r="F256" s="74">
        <f t="shared" si="40"/>
        <v>744.11531999999988</v>
      </c>
      <c r="G256" s="74">
        <v>0</v>
      </c>
      <c r="H256" s="74">
        <f t="shared" si="41"/>
        <v>1078.9672139999998</v>
      </c>
      <c r="I256" s="33"/>
      <c r="N256" s="33"/>
    </row>
    <row r="257" spans="1:20" s="66" customFormat="1" x14ac:dyDescent="0.25">
      <c r="A257" s="229" t="s">
        <v>336</v>
      </c>
      <c r="B257" s="229"/>
      <c r="C257" s="229"/>
      <c r="D257" s="229"/>
      <c r="E257" s="229"/>
      <c r="F257" s="229"/>
      <c r="G257" s="229"/>
      <c r="H257" s="229"/>
      <c r="I257" s="33"/>
      <c r="L257" s="207"/>
      <c r="M257" s="207"/>
    </row>
    <row r="258" spans="1:20" s="66" customFormat="1" x14ac:dyDescent="0.25">
      <c r="A258" s="185">
        <v>14</v>
      </c>
      <c r="B258" s="185"/>
      <c r="C258" s="82" t="s">
        <v>353</v>
      </c>
      <c r="D258" s="82">
        <f>(43.74)*10.764</f>
        <v>470.81736000000001</v>
      </c>
      <c r="E258" s="81">
        <v>0</v>
      </c>
      <c r="F258" s="81">
        <f>D258+E258</f>
        <v>470.81736000000001</v>
      </c>
      <c r="G258" s="81">
        <v>0</v>
      </c>
      <c r="H258" s="81">
        <f>F258*(($H$191)+1)+(IF(G258&lt;101,G258,IF(G258&lt;201,G258/2,IF(G258&lt;=301,G258/3,G258/4))))</f>
        <v>682.68517199999997</v>
      </c>
      <c r="I258" s="33"/>
      <c r="N258" s="33"/>
    </row>
    <row r="259" spans="1:20" s="66" customFormat="1" x14ac:dyDescent="0.25">
      <c r="A259" s="185">
        <f>A258+1</f>
        <v>15</v>
      </c>
      <c r="B259" s="185"/>
      <c r="C259" s="82" t="s">
        <v>353</v>
      </c>
      <c r="D259" s="82">
        <f>(43.74)*10.764</f>
        <v>470.81736000000001</v>
      </c>
      <c r="E259" s="81">
        <v>0</v>
      </c>
      <c r="F259" s="81">
        <f>D259+E259</f>
        <v>470.81736000000001</v>
      </c>
      <c r="G259" s="81">
        <v>0</v>
      </c>
      <c r="H259" s="81">
        <f>F259*(($H$191)+1)+(IF(G259&lt;101,G259,IF(G259&lt;201,G259/2,IF(G259&lt;=301,G259/3,G259/4))))</f>
        <v>682.68517199999997</v>
      </c>
      <c r="I259" s="33"/>
      <c r="N259" s="33"/>
    </row>
    <row r="260" spans="1:20" s="66" customFormat="1" x14ac:dyDescent="0.25">
      <c r="A260" s="185">
        <f>A259+1</f>
        <v>16</v>
      </c>
      <c r="B260" s="185"/>
      <c r="C260" s="82" t="s">
        <v>353</v>
      </c>
      <c r="D260" s="82">
        <f>(43.74)*10.764</f>
        <v>470.81736000000001</v>
      </c>
      <c r="E260" s="81">
        <v>0</v>
      </c>
      <c r="F260" s="81">
        <f>D260+E260</f>
        <v>470.81736000000001</v>
      </c>
      <c r="G260" s="81">
        <v>0</v>
      </c>
      <c r="H260" s="81">
        <f>F260*(($H$191)+1)+(IF(G260&lt;101,G260,IF(G260&lt;201,G260/2,IF(G260&lt;=301,G260/3,G260/4))))</f>
        <v>682.68517199999997</v>
      </c>
      <c r="I260" s="33"/>
      <c r="N260" s="33"/>
    </row>
    <row r="261" spans="1:20" s="66" customFormat="1" x14ac:dyDescent="0.25">
      <c r="A261" s="185">
        <f>A260+1</f>
        <v>17</v>
      </c>
      <c r="B261" s="185"/>
      <c r="C261" s="82" t="s">
        <v>334</v>
      </c>
      <c r="D261" s="82">
        <f>(39.36)*10.764</f>
        <v>423.67103999999995</v>
      </c>
      <c r="E261" s="81">
        <v>0</v>
      </c>
      <c r="F261" s="81">
        <f>D261+E261</f>
        <v>423.67103999999995</v>
      </c>
      <c r="G261" s="81">
        <v>0</v>
      </c>
      <c r="H261" s="81">
        <f>F261*(($H$191)+1)+(IF(G261&lt;101,G261,IF(G261&lt;201,G261/2,IF(G261&lt;=301,G261/3,G261/4))))</f>
        <v>614.32300799999996</v>
      </c>
      <c r="I261" s="33"/>
      <c r="N261" s="33"/>
    </row>
    <row r="262" spans="1:20" s="66" customFormat="1" x14ac:dyDescent="0.25">
      <c r="A262" s="185">
        <f>A261+1</f>
        <v>18</v>
      </c>
      <c r="B262" s="185"/>
      <c r="C262" s="82" t="s">
        <v>353</v>
      </c>
      <c r="D262" s="82">
        <f>(43.74)*10.764</f>
        <v>470.81736000000001</v>
      </c>
      <c r="E262" s="81">
        <v>0</v>
      </c>
      <c r="F262" s="81">
        <f>D262+E262</f>
        <v>470.81736000000001</v>
      </c>
      <c r="G262" s="81">
        <v>0</v>
      </c>
      <c r="H262" s="81">
        <f>F262*(($H$191)+1)+(IF(G262&lt;101,G262,IF(G262&lt;201,G262/2,IF(G262&lt;=301,G262/3,G262/4))))</f>
        <v>682.68517199999997</v>
      </c>
      <c r="I262" s="33"/>
      <c r="N262" s="33"/>
    </row>
    <row r="263" spans="1:20" s="66" customFormat="1" x14ac:dyDescent="0.25">
      <c r="A263" s="185">
        <f t="shared" ref="A263:A268" si="42">A262+1</f>
        <v>19</v>
      </c>
      <c r="B263" s="185"/>
      <c r="C263" s="82" t="s">
        <v>353</v>
      </c>
      <c r="D263" s="82">
        <f>(43.74)*10.764</f>
        <v>470.81736000000001</v>
      </c>
      <c r="E263" s="81">
        <v>0</v>
      </c>
      <c r="F263" s="81">
        <f t="shared" ref="F263:F268" si="43">D263+E263</f>
        <v>470.81736000000001</v>
      </c>
      <c r="G263" s="81">
        <v>0</v>
      </c>
      <c r="H263" s="81">
        <f t="shared" ref="H263:H268" si="44">F263*(($H$191)+1)+(IF(G263&lt;101,G263,IF(G263&lt;201,G263/2,IF(G263&lt;=301,G263/3,G263/4))))</f>
        <v>682.68517199999997</v>
      </c>
      <c r="I263" s="33"/>
      <c r="N263" s="33"/>
    </row>
    <row r="264" spans="1:20" s="66" customFormat="1" x14ac:dyDescent="0.25">
      <c r="A264" s="185">
        <f t="shared" si="42"/>
        <v>20</v>
      </c>
      <c r="B264" s="185"/>
      <c r="C264" s="76" t="s">
        <v>353</v>
      </c>
      <c r="D264" s="67">
        <f>(43.74)*10.764</f>
        <v>470.81736000000001</v>
      </c>
      <c r="E264" s="74">
        <v>0</v>
      </c>
      <c r="F264" s="74">
        <f t="shared" si="43"/>
        <v>470.81736000000001</v>
      </c>
      <c r="G264" s="74">
        <v>0</v>
      </c>
      <c r="H264" s="74">
        <f t="shared" si="44"/>
        <v>682.68517199999997</v>
      </c>
      <c r="I264" s="33"/>
      <c r="N264" s="33"/>
    </row>
    <row r="265" spans="1:20" s="66" customFormat="1" x14ac:dyDescent="0.25">
      <c r="A265" s="185">
        <f t="shared" si="42"/>
        <v>21</v>
      </c>
      <c r="B265" s="185"/>
      <c r="C265" s="76" t="s">
        <v>352</v>
      </c>
      <c r="D265" s="67">
        <f>(65.75)*10.764</f>
        <v>707.73299999999995</v>
      </c>
      <c r="E265" s="74">
        <v>0</v>
      </c>
      <c r="F265" s="74">
        <f t="shared" si="43"/>
        <v>707.73299999999995</v>
      </c>
      <c r="G265" s="74">
        <v>0</v>
      </c>
      <c r="H265" s="74">
        <f t="shared" si="44"/>
        <v>1026.2128499999999</v>
      </c>
      <c r="I265" s="33"/>
      <c r="N265" s="33"/>
    </row>
    <row r="266" spans="1:20" s="66" customFormat="1" x14ac:dyDescent="0.25">
      <c r="A266" s="185">
        <f t="shared" si="42"/>
        <v>22</v>
      </c>
      <c r="B266" s="185"/>
      <c r="C266" s="76" t="s">
        <v>352</v>
      </c>
      <c r="D266" s="80">
        <f>(64.12)*10.764</f>
        <v>690.18768</v>
      </c>
      <c r="E266" s="74">
        <v>0</v>
      </c>
      <c r="F266" s="74">
        <f t="shared" si="43"/>
        <v>690.18768</v>
      </c>
      <c r="G266" s="74">
        <v>0</v>
      </c>
      <c r="H266" s="74">
        <f t="shared" si="44"/>
        <v>1000.7721359999999</v>
      </c>
      <c r="I266" s="33"/>
      <c r="N266" s="33"/>
    </row>
    <row r="267" spans="1:20" s="66" customFormat="1" x14ac:dyDescent="0.25">
      <c r="A267" s="185">
        <f t="shared" si="42"/>
        <v>23</v>
      </c>
      <c r="B267" s="185"/>
      <c r="C267" s="76" t="s">
        <v>352</v>
      </c>
      <c r="D267" s="67">
        <f>(65.75)*10.764</f>
        <v>707.73299999999995</v>
      </c>
      <c r="E267" s="74">
        <v>0</v>
      </c>
      <c r="F267" s="74">
        <f t="shared" si="43"/>
        <v>707.73299999999995</v>
      </c>
      <c r="G267" s="74">
        <v>0</v>
      </c>
      <c r="H267" s="74">
        <f t="shared" si="44"/>
        <v>1026.2128499999999</v>
      </c>
      <c r="I267" s="33">
        <f>4.5*3.3+2.4*3.3+3.3*3+3.95*3+2.45*1.2+1.35*1.8+1.35*2.2+0.9*2.6+2.3*3</f>
        <v>62.1</v>
      </c>
      <c r="N267" s="33"/>
    </row>
    <row r="268" spans="1:20" s="66" customFormat="1" x14ac:dyDescent="0.25">
      <c r="A268" s="185">
        <f t="shared" si="42"/>
        <v>24</v>
      </c>
      <c r="B268" s="185"/>
      <c r="C268" s="76" t="s">
        <v>352</v>
      </c>
      <c r="D268" s="67">
        <f>(65.75)*10.764</f>
        <v>707.73299999999995</v>
      </c>
      <c r="E268" s="74">
        <v>0</v>
      </c>
      <c r="F268" s="74">
        <f t="shared" si="43"/>
        <v>707.73299999999995</v>
      </c>
      <c r="G268" s="74">
        <v>0</v>
      </c>
      <c r="H268" s="74">
        <f t="shared" si="44"/>
        <v>1026.2128499999999</v>
      </c>
      <c r="I268" s="33"/>
      <c r="N268" s="33"/>
    </row>
    <row r="269" spans="1:20" s="32" customFormat="1" x14ac:dyDescent="0.25">
      <c r="A269" s="230" t="s">
        <v>64</v>
      </c>
      <c r="B269" s="230"/>
      <c r="C269" s="230"/>
      <c r="D269" s="230"/>
      <c r="E269" s="230"/>
      <c r="F269" s="230"/>
      <c r="G269" s="230"/>
      <c r="H269" s="230"/>
      <c r="T269" s="34"/>
    </row>
    <row r="270" spans="1:20" s="32" customFormat="1" x14ac:dyDescent="0.25">
      <c r="A270" s="41">
        <v>1</v>
      </c>
      <c r="B270" s="179" t="s">
        <v>361</v>
      </c>
      <c r="C270" s="180"/>
      <c r="D270" s="180"/>
      <c r="E270" s="180"/>
      <c r="F270" s="180"/>
      <c r="G270" s="180"/>
      <c r="H270" s="181"/>
      <c r="T270" s="34"/>
    </row>
    <row r="271" spans="1:20" s="32" customFormat="1" x14ac:dyDescent="0.25">
      <c r="A271" s="79">
        <f>A270+1</f>
        <v>2</v>
      </c>
      <c r="B271" s="179" t="str">
        <f>(IF(H190="Saleable area Loading :","We have considered Saleable area of Flats as per our Calculation.","We considered Saleable area of Flat as per Builder area Sheet."))</f>
        <v>We have considered Saleable area of Flats as per our Calculation.</v>
      </c>
      <c r="C271" s="180"/>
      <c r="D271" s="180"/>
      <c r="E271" s="180"/>
      <c r="F271" s="180"/>
      <c r="G271" s="180"/>
      <c r="H271" s="181"/>
      <c r="T271" s="34"/>
    </row>
    <row r="272" spans="1:20" s="32" customFormat="1" x14ac:dyDescent="0.25">
      <c r="A272" s="79">
        <f t="shared" ref="A272:A279" si="45">A271+1</f>
        <v>3</v>
      </c>
      <c r="B272" s="179" t="str">
        <f>(IF(H128="Saleable area Loading :","We have considered Saleable area of Commercial as per our Calculation.","We considered Saleable area of Commercial as per Builder area Sheet."))</f>
        <v>We have considered Saleable area of Commercial as per our Calculation.</v>
      </c>
      <c r="C272" s="180"/>
      <c r="D272" s="180"/>
      <c r="E272" s="180"/>
      <c r="F272" s="180"/>
      <c r="G272" s="180"/>
      <c r="H272" s="181"/>
      <c r="T272" s="34"/>
    </row>
    <row r="273" spans="1:20" s="32" customFormat="1" x14ac:dyDescent="0.25">
      <c r="A273" s="79">
        <f t="shared" si="45"/>
        <v>4</v>
      </c>
      <c r="B273" s="176" t="s">
        <v>119</v>
      </c>
      <c r="C273" s="177"/>
      <c r="D273" s="177"/>
      <c r="E273" s="177"/>
      <c r="F273" s="177"/>
      <c r="G273" s="177"/>
      <c r="H273" s="178"/>
      <c r="T273" s="34"/>
    </row>
    <row r="274" spans="1:20" s="32" customFormat="1" x14ac:dyDescent="0.25">
      <c r="A274" s="79">
        <f t="shared" si="45"/>
        <v>5</v>
      </c>
      <c r="B274" s="176" t="s">
        <v>354</v>
      </c>
      <c r="C274" s="177"/>
      <c r="D274" s="177"/>
      <c r="E274" s="177"/>
      <c r="F274" s="177"/>
      <c r="G274" s="177"/>
      <c r="H274" s="178"/>
      <c r="T274" s="34"/>
    </row>
    <row r="275" spans="1:20" s="32" customFormat="1" x14ac:dyDescent="0.25">
      <c r="A275" s="79">
        <f t="shared" si="45"/>
        <v>6</v>
      </c>
      <c r="B275" s="176" t="s">
        <v>148</v>
      </c>
      <c r="C275" s="177"/>
      <c r="D275" s="177"/>
      <c r="E275" s="177"/>
      <c r="F275" s="177"/>
      <c r="G275" s="177"/>
      <c r="H275" s="178"/>
    </row>
    <row r="276" spans="1:20" s="32" customFormat="1" x14ac:dyDescent="0.25">
      <c r="A276" s="79">
        <f t="shared" si="45"/>
        <v>7</v>
      </c>
      <c r="B276" s="176" t="s">
        <v>120</v>
      </c>
      <c r="C276" s="177"/>
      <c r="D276" s="177"/>
      <c r="E276" s="177"/>
      <c r="F276" s="177"/>
      <c r="G276" s="177"/>
      <c r="H276" s="178"/>
    </row>
    <row r="277" spans="1:20" s="32" customFormat="1" ht="34.5" customHeight="1" x14ac:dyDescent="0.25">
      <c r="A277" s="79">
        <f t="shared" si="45"/>
        <v>8</v>
      </c>
      <c r="B277" s="176" t="s">
        <v>150</v>
      </c>
      <c r="C277" s="177"/>
      <c r="D277" s="177"/>
      <c r="E277" s="177"/>
      <c r="F277" s="177"/>
      <c r="G277" s="177"/>
      <c r="H277" s="178"/>
    </row>
    <row r="278" spans="1:20" s="32" customFormat="1" x14ac:dyDescent="0.25">
      <c r="A278" s="79">
        <f t="shared" si="45"/>
        <v>9</v>
      </c>
      <c r="B278" s="176" t="s">
        <v>121</v>
      </c>
      <c r="C278" s="177"/>
      <c r="D278" s="177"/>
      <c r="E278" s="177"/>
      <c r="F278" s="177"/>
      <c r="G278" s="177"/>
      <c r="H278" s="178"/>
    </row>
    <row r="279" spans="1:20" s="32" customFormat="1" ht="49.5" customHeight="1" x14ac:dyDescent="0.25">
      <c r="A279" s="79">
        <f t="shared" si="45"/>
        <v>10</v>
      </c>
      <c r="B279" s="176" t="s">
        <v>355</v>
      </c>
      <c r="C279" s="177"/>
      <c r="D279" s="177"/>
      <c r="E279" s="177"/>
      <c r="F279" s="177"/>
      <c r="G279" s="177"/>
      <c r="H279" s="178"/>
    </row>
    <row r="280" spans="1:20" s="32" customFormat="1" ht="32.25" hidden="1" customHeight="1" x14ac:dyDescent="0.25">
      <c r="A280" s="47" t="s">
        <v>149</v>
      </c>
      <c r="B280" s="167" t="s">
        <v>175</v>
      </c>
      <c r="C280" s="168"/>
      <c r="D280" s="168"/>
      <c r="E280" s="168"/>
      <c r="F280" s="168"/>
      <c r="G280" s="168"/>
      <c r="H280" s="169"/>
    </row>
    <row r="281" spans="1:20" s="32" customFormat="1" hidden="1" x14ac:dyDescent="0.25">
      <c r="A281" s="51" t="s">
        <v>149</v>
      </c>
      <c r="B281" s="167" t="s">
        <v>231</v>
      </c>
      <c r="C281" s="168"/>
      <c r="D281" s="168"/>
      <c r="E281" s="168"/>
      <c r="F281" s="168"/>
      <c r="G281" s="168"/>
      <c r="H281" s="169"/>
    </row>
    <row r="282" spans="1:20" x14ac:dyDescent="0.25">
      <c r="A282" s="128" t="s">
        <v>57</v>
      </c>
      <c r="B282" s="128"/>
      <c r="C282" s="128"/>
      <c r="D282" s="128"/>
      <c r="E282" s="128"/>
      <c r="F282" s="128"/>
      <c r="G282" s="128"/>
      <c r="H282" s="128"/>
      <c r="T282" s="32"/>
    </row>
    <row r="283" spans="1:20" x14ac:dyDescent="0.25">
      <c r="A283" s="93" t="s">
        <v>58</v>
      </c>
      <c r="B283" s="93"/>
      <c r="C283" s="93"/>
      <c r="D283" s="93"/>
      <c r="E283" s="93"/>
      <c r="F283" s="93"/>
      <c r="G283" s="93"/>
      <c r="H283" s="93"/>
      <c r="T283" s="32"/>
    </row>
    <row r="284" spans="1:20" ht="15.75" customHeight="1" x14ac:dyDescent="0.25">
      <c r="A284" s="136" t="s">
        <v>59</v>
      </c>
      <c r="B284" s="136"/>
      <c r="C284" s="136"/>
      <c r="D284" s="136"/>
      <c r="E284" s="136"/>
      <c r="F284" s="136"/>
      <c r="G284" s="136"/>
      <c r="H284" s="136"/>
      <c r="T284" s="32"/>
    </row>
    <row r="285" spans="1:20" x14ac:dyDescent="0.25">
      <c r="A285" s="93" t="s">
        <v>60</v>
      </c>
      <c r="B285" s="93"/>
      <c r="C285" s="93"/>
      <c r="D285" s="93"/>
      <c r="E285" s="93"/>
      <c r="F285" s="93"/>
      <c r="G285" s="93"/>
      <c r="H285" s="93"/>
      <c r="T285" s="32"/>
    </row>
    <row r="286" spans="1:20" x14ac:dyDescent="0.25">
      <c r="A286" s="93" t="s">
        <v>61</v>
      </c>
      <c r="B286" s="93"/>
      <c r="C286" s="93"/>
      <c r="D286" s="93"/>
      <c r="E286" s="93"/>
      <c r="F286" s="93"/>
      <c r="G286" s="93"/>
      <c r="H286" s="93"/>
      <c r="T286" s="32"/>
    </row>
    <row r="287" spans="1:20" x14ac:dyDescent="0.25">
      <c r="A287" s="93" t="s">
        <v>122</v>
      </c>
      <c r="B287" s="93"/>
      <c r="C287" s="93"/>
      <c r="D287" s="93"/>
      <c r="E287" s="93"/>
      <c r="F287" s="93"/>
      <c r="G287" s="93"/>
      <c r="H287" s="93"/>
      <c r="T287" s="32"/>
    </row>
    <row r="288" spans="1:20" ht="33.950000000000003" customHeight="1" x14ac:dyDescent="0.25">
      <c r="A288" s="191" t="s">
        <v>123</v>
      </c>
      <c r="B288" s="191"/>
      <c r="C288" s="191"/>
      <c r="D288" s="191"/>
      <c r="E288" s="191"/>
      <c r="F288" s="191"/>
      <c r="G288" s="191"/>
      <c r="H288" s="191"/>
    </row>
    <row r="289" spans="1:8" x14ac:dyDescent="0.25">
      <c r="A289" s="187" t="s">
        <v>73</v>
      </c>
      <c r="B289" s="187"/>
      <c r="C289" s="187" t="s">
        <v>357</v>
      </c>
      <c r="D289" s="187"/>
      <c r="E289" s="187" t="s">
        <v>103</v>
      </c>
      <c r="F289" s="187"/>
      <c r="G289" s="187" t="s">
        <v>360</v>
      </c>
      <c r="H289" s="187"/>
    </row>
    <row r="290" spans="1:8" x14ac:dyDescent="0.25">
      <c r="A290" s="186" t="s">
        <v>75</v>
      </c>
      <c r="B290" s="186"/>
      <c r="C290" s="186"/>
      <c r="D290" s="186"/>
      <c r="E290" s="186"/>
      <c r="F290" s="186"/>
      <c r="G290" s="186"/>
      <c r="H290" s="186"/>
    </row>
    <row r="291" spans="1:8" x14ac:dyDescent="0.25">
      <c r="A291" s="186"/>
      <c r="B291" s="186"/>
      <c r="C291" s="186"/>
      <c r="D291" s="186"/>
      <c r="E291" s="186"/>
      <c r="F291" s="186"/>
      <c r="G291" s="186"/>
      <c r="H291" s="186"/>
    </row>
    <row r="292" spans="1:8" x14ac:dyDescent="0.25">
      <c r="A292" s="186"/>
      <c r="B292" s="186"/>
      <c r="C292" s="186"/>
      <c r="D292" s="186"/>
      <c r="E292" s="186"/>
      <c r="F292" s="186"/>
      <c r="G292" s="186"/>
      <c r="H292" s="186"/>
    </row>
    <row r="293" spans="1:8" x14ac:dyDescent="0.25">
      <c r="A293" s="186"/>
      <c r="B293" s="186"/>
      <c r="C293" s="186"/>
      <c r="D293" s="186"/>
      <c r="E293" s="186"/>
      <c r="F293" s="186"/>
      <c r="G293" s="186"/>
      <c r="H293" s="186"/>
    </row>
    <row r="294" spans="1:8" x14ac:dyDescent="0.25">
      <c r="A294" s="35" t="s">
        <v>62</v>
      </c>
      <c r="B294" s="36"/>
      <c r="C294" s="36"/>
      <c r="D294" s="35" t="str">
        <f>E9</f>
        <v>Siya 24 K Phase II</v>
      </c>
      <c r="F294" s="36"/>
      <c r="G294" s="36"/>
      <c r="H294" s="36"/>
    </row>
    <row r="295" spans="1:8" x14ac:dyDescent="0.25">
      <c r="A295" s="36"/>
      <c r="B295" s="36"/>
      <c r="C295" s="36"/>
      <c r="D295" s="36"/>
      <c r="E295" s="36"/>
      <c r="F295" s="36"/>
      <c r="G295" s="36"/>
      <c r="H295" s="36"/>
    </row>
    <row r="296" spans="1:8" x14ac:dyDescent="0.25">
      <c r="A296" s="36"/>
      <c r="B296" s="36"/>
      <c r="C296" s="36"/>
      <c r="D296" s="36"/>
      <c r="E296" s="36"/>
      <c r="F296" s="36"/>
      <c r="G296" s="36"/>
      <c r="H296" s="36"/>
    </row>
    <row r="297" spans="1:8" ht="15" customHeight="1" x14ac:dyDescent="0.25"/>
    <row r="337" spans="1:1" x14ac:dyDescent="0.25">
      <c r="A337" s="38" t="s">
        <v>160</v>
      </c>
    </row>
    <row r="374" spans="1:1" x14ac:dyDescent="0.25">
      <c r="A374" s="38" t="s">
        <v>356</v>
      </c>
    </row>
    <row r="410" spans="1:1" x14ac:dyDescent="0.25">
      <c r="A410" s="38" t="s">
        <v>63</v>
      </c>
    </row>
  </sheetData>
  <mergeCells count="531">
    <mergeCell ref="B278:H278"/>
    <mergeCell ref="A265:B265"/>
    <mergeCell ref="A266:B266"/>
    <mergeCell ref="A267:B267"/>
    <mergeCell ref="A268:B268"/>
    <mergeCell ref="A257:H257"/>
    <mergeCell ref="L257:M257"/>
    <mergeCell ref="A258:B258"/>
    <mergeCell ref="A259:B259"/>
    <mergeCell ref="A260:B260"/>
    <mergeCell ref="A261:B261"/>
    <mergeCell ref="A262:B262"/>
    <mergeCell ref="A263:B263"/>
    <mergeCell ref="A264:B264"/>
    <mergeCell ref="B274:H274"/>
    <mergeCell ref="A269:H269"/>
    <mergeCell ref="A249:B249"/>
    <mergeCell ref="A250:B250"/>
    <mergeCell ref="A251:B251"/>
    <mergeCell ref="A252:B252"/>
    <mergeCell ref="A253:B253"/>
    <mergeCell ref="A228:B228"/>
    <mergeCell ref="L228:M228"/>
    <mergeCell ref="A229:B229"/>
    <mergeCell ref="L229:M229"/>
    <mergeCell ref="L232:M232"/>
    <mergeCell ref="A233:B233"/>
    <mergeCell ref="L233:M233"/>
    <mergeCell ref="A234:B234"/>
    <mergeCell ref="L234:M234"/>
    <mergeCell ref="A245:H245"/>
    <mergeCell ref="A246:B246"/>
    <mergeCell ref="A247:B247"/>
    <mergeCell ref="A248:B248"/>
    <mergeCell ref="L245:M245"/>
    <mergeCell ref="A207:H207"/>
    <mergeCell ref="A208:B208"/>
    <mergeCell ref="L208:M208"/>
    <mergeCell ref="A209:B209"/>
    <mergeCell ref="L209:M209"/>
    <mergeCell ref="A210:B210"/>
    <mergeCell ref="L210:M210"/>
    <mergeCell ref="A211:B211"/>
    <mergeCell ref="L211:M211"/>
    <mergeCell ref="A212:B212"/>
    <mergeCell ref="L212:M212"/>
    <mergeCell ref="A213:B213"/>
    <mergeCell ref="L213:M213"/>
    <mergeCell ref="A214:B214"/>
    <mergeCell ref="L214:M214"/>
    <mergeCell ref="A215:B215"/>
    <mergeCell ref="A223:B223"/>
    <mergeCell ref="L223:M223"/>
    <mergeCell ref="L231:M231"/>
    <mergeCell ref="A232:B232"/>
    <mergeCell ref="L236:M236"/>
    <mergeCell ref="A217:B217"/>
    <mergeCell ref="L217:M217"/>
    <mergeCell ref="A218:B218"/>
    <mergeCell ref="L218:M218"/>
    <mergeCell ref="A230:B230"/>
    <mergeCell ref="L230:M230"/>
    <mergeCell ref="A231:B231"/>
    <mergeCell ref="A227:B227"/>
    <mergeCell ref="L227:M227"/>
    <mergeCell ref="A225:B225"/>
    <mergeCell ref="L225:M225"/>
    <mergeCell ref="A226:B226"/>
    <mergeCell ref="L226:M226"/>
    <mergeCell ref="A219:B219"/>
    <mergeCell ref="A220:B220"/>
    <mergeCell ref="L220:M220"/>
    <mergeCell ref="A222:B222"/>
    <mergeCell ref="L222:M222"/>
    <mergeCell ref="L219:M219"/>
    <mergeCell ref="A224:B224"/>
    <mergeCell ref="L224:M224"/>
    <mergeCell ref="A221:H221"/>
    <mergeCell ref="L197:M197"/>
    <mergeCell ref="L194:M194"/>
    <mergeCell ref="L195:M195"/>
    <mergeCell ref="L196:M196"/>
    <mergeCell ref="L215:M215"/>
    <mergeCell ref="A216:B216"/>
    <mergeCell ref="L216:M216"/>
    <mergeCell ref="A201:B201"/>
    <mergeCell ref="L201:M201"/>
    <mergeCell ref="A202:B202"/>
    <mergeCell ref="L202:M202"/>
    <mergeCell ref="L203:M203"/>
    <mergeCell ref="A204:B204"/>
    <mergeCell ref="L204:M204"/>
    <mergeCell ref="A198:B198"/>
    <mergeCell ref="L198:M198"/>
    <mergeCell ref="A199:B199"/>
    <mergeCell ref="L199:M199"/>
    <mergeCell ref="A200:B200"/>
    <mergeCell ref="L200:M200"/>
    <mergeCell ref="A205:B205"/>
    <mergeCell ref="L205:M205"/>
    <mergeCell ref="A206:B206"/>
    <mergeCell ref="L206:M206"/>
    <mergeCell ref="L187:M187"/>
    <mergeCell ref="A188:B188"/>
    <mergeCell ref="L188:M188"/>
    <mergeCell ref="A181:B181"/>
    <mergeCell ref="L181:M181"/>
    <mergeCell ref="A182:B182"/>
    <mergeCell ref="L182:M182"/>
    <mergeCell ref="A183:B183"/>
    <mergeCell ref="L183:M183"/>
    <mergeCell ref="A184:B184"/>
    <mergeCell ref="L184:M184"/>
    <mergeCell ref="A185:B185"/>
    <mergeCell ref="L185:M185"/>
    <mergeCell ref="L177:M177"/>
    <mergeCell ref="A178:B178"/>
    <mergeCell ref="L178:M178"/>
    <mergeCell ref="A179:B179"/>
    <mergeCell ref="L179:M179"/>
    <mergeCell ref="A180:B180"/>
    <mergeCell ref="L180:M180"/>
    <mergeCell ref="A186:B186"/>
    <mergeCell ref="L186:M186"/>
    <mergeCell ref="L171:M171"/>
    <mergeCell ref="A172:H172"/>
    <mergeCell ref="A173:H173"/>
    <mergeCell ref="A174:B174"/>
    <mergeCell ref="L174:M174"/>
    <mergeCell ref="A175:B175"/>
    <mergeCell ref="L175:M175"/>
    <mergeCell ref="A176:B176"/>
    <mergeCell ref="L176:M176"/>
    <mergeCell ref="L166:M166"/>
    <mergeCell ref="A167:B167"/>
    <mergeCell ref="L167:M167"/>
    <mergeCell ref="A168:B168"/>
    <mergeCell ref="L168:M168"/>
    <mergeCell ref="A169:B169"/>
    <mergeCell ref="L169:M169"/>
    <mergeCell ref="A170:B170"/>
    <mergeCell ref="L170:M170"/>
    <mergeCell ref="L161:M161"/>
    <mergeCell ref="A162:B162"/>
    <mergeCell ref="L162:M162"/>
    <mergeCell ref="A163:B163"/>
    <mergeCell ref="L163:M163"/>
    <mergeCell ref="A164:B164"/>
    <mergeCell ref="L164:M164"/>
    <mergeCell ref="A165:B165"/>
    <mergeCell ref="L165:M165"/>
    <mergeCell ref="L156:M156"/>
    <mergeCell ref="A157:B157"/>
    <mergeCell ref="L157:M157"/>
    <mergeCell ref="A158:B158"/>
    <mergeCell ref="L158:M158"/>
    <mergeCell ref="A159:B159"/>
    <mergeCell ref="L159:M159"/>
    <mergeCell ref="A160:B160"/>
    <mergeCell ref="L160:M160"/>
    <mergeCell ref="L151:M151"/>
    <mergeCell ref="A152:B152"/>
    <mergeCell ref="L152:M152"/>
    <mergeCell ref="A153:B153"/>
    <mergeCell ref="L153:M153"/>
    <mergeCell ref="A154:B154"/>
    <mergeCell ref="L154:M154"/>
    <mergeCell ref="A155:B155"/>
    <mergeCell ref="L155:M155"/>
    <mergeCell ref="L146:M146"/>
    <mergeCell ref="A147:B147"/>
    <mergeCell ref="L147:M147"/>
    <mergeCell ref="A148:B148"/>
    <mergeCell ref="L148:M148"/>
    <mergeCell ref="A149:B149"/>
    <mergeCell ref="L149:M149"/>
    <mergeCell ref="A150:B150"/>
    <mergeCell ref="L150:M150"/>
    <mergeCell ref="L144:M144"/>
    <mergeCell ref="A130:H130"/>
    <mergeCell ref="A136:B136"/>
    <mergeCell ref="L136:M136"/>
    <mergeCell ref="A137:B137"/>
    <mergeCell ref="L137:M137"/>
    <mergeCell ref="A138:B138"/>
    <mergeCell ref="L138:M138"/>
    <mergeCell ref="A139:B139"/>
    <mergeCell ref="L139:M139"/>
    <mergeCell ref="A133:B133"/>
    <mergeCell ref="A134:B134"/>
    <mergeCell ref="L145:M145"/>
    <mergeCell ref="A146:B146"/>
    <mergeCell ref="A112:E112"/>
    <mergeCell ref="G124:H124"/>
    <mergeCell ref="C118:D118"/>
    <mergeCell ref="E118:F118"/>
    <mergeCell ref="G118:H118"/>
    <mergeCell ref="A119:B119"/>
    <mergeCell ref="C119:D119"/>
    <mergeCell ref="E119:F119"/>
    <mergeCell ref="G119:H119"/>
    <mergeCell ref="A123:B123"/>
    <mergeCell ref="C123:D123"/>
    <mergeCell ref="E123:F123"/>
    <mergeCell ref="G123:H123"/>
    <mergeCell ref="A140:B140"/>
    <mergeCell ref="L140:M140"/>
    <mergeCell ref="A141:B141"/>
    <mergeCell ref="L141:M141"/>
    <mergeCell ref="A142:B142"/>
    <mergeCell ref="L142:M142"/>
    <mergeCell ref="A143:B143"/>
    <mergeCell ref="L143:M143"/>
    <mergeCell ref="A144:B144"/>
    <mergeCell ref="A49:B49"/>
    <mergeCell ref="C49:H49"/>
    <mergeCell ref="B275:H275"/>
    <mergeCell ref="G92:H101"/>
    <mergeCell ref="A93:B93"/>
    <mergeCell ref="A94:B94"/>
    <mergeCell ref="A95:B95"/>
    <mergeCell ref="F104:H104"/>
    <mergeCell ref="A104:E104"/>
    <mergeCell ref="D128:D129"/>
    <mergeCell ref="A106:E106"/>
    <mergeCell ref="A105:E105"/>
    <mergeCell ref="A102:E102"/>
    <mergeCell ref="F106:H106"/>
    <mergeCell ref="G128:G129"/>
    <mergeCell ref="A80:B80"/>
    <mergeCell ref="A241:B241"/>
    <mergeCell ref="A238:B238"/>
    <mergeCell ref="A239:B239"/>
    <mergeCell ref="A195:B195"/>
    <mergeCell ref="A196:B196"/>
    <mergeCell ref="A197:B197"/>
    <mergeCell ref="A81:B81"/>
    <mergeCell ref="E77:F77"/>
    <mergeCell ref="A40:B40"/>
    <mergeCell ref="C40:H40"/>
    <mergeCell ref="F128:F129"/>
    <mergeCell ref="C117:D117"/>
    <mergeCell ref="E117:F117"/>
    <mergeCell ref="B128:B129"/>
    <mergeCell ref="A128:A129"/>
    <mergeCell ref="C190:C191"/>
    <mergeCell ref="G190:G191"/>
    <mergeCell ref="G125:H125"/>
    <mergeCell ref="C55:H55"/>
    <mergeCell ref="A77:B77"/>
    <mergeCell ref="A86:B86"/>
    <mergeCell ref="A87:B87"/>
    <mergeCell ref="A91:B91"/>
    <mergeCell ref="A90:B90"/>
    <mergeCell ref="A76:B76"/>
    <mergeCell ref="A74:B74"/>
    <mergeCell ref="C74:H74"/>
    <mergeCell ref="A82:B82"/>
    <mergeCell ref="A69:C69"/>
    <mergeCell ref="D69:H69"/>
    <mergeCell ref="C76:H76"/>
    <mergeCell ref="A79:B79"/>
    <mergeCell ref="A39:B39"/>
    <mergeCell ref="C39:H39"/>
    <mergeCell ref="A46:D46"/>
    <mergeCell ref="L135:M135"/>
    <mergeCell ref="L134:M134"/>
    <mergeCell ref="L133:M133"/>
    <mergeCell ref="L132:M132"/>
    <mergeCell ref="A85:B85"/>
    <mergeCell ref="C122:D122"/>
    <mergeCell ref="E122:F122"/>
    <mergeCell ref="G122:H122"/>
    <mergeCell ref="A103:E103"/>
    <mergeCell ref="A131:H131"/>
    <mergeCell ref="E128:E129"/>
    <mergeCell ref="A92:B92"/>
    <mergeCell ref="A47:D47"/>
    <mergeCell ref="A48:H48"/>
    <mergeCell ref="D64:H64"/>
    <mergeCell ref="A64:C64"/>
    <mergeCell ref="A84:B84"/>
    <mergeCell ref="C90:H90"/>
    <mergeCell ref="A45:D45"/>
    <mergeCell ref="E78:F87"/>
    <mergeCell ref="G78:H87"/>
    <mergeCell ref="A38:H38"/>
    <mergeCell ref="A37:B37"/>
    <mergeCell ref="C37:E37"/>
    <mergeCell ref="A42:D42"/>
    <mergeCell ref="E42:H42"/>
    <mergeCell ref="A41:H41"/>
    <mergeCell ref="A67:C67"/>
    <mergeCell ref="A68:C68"/>
    <mergeCell ref="D67:H67"/>
    <mergeCell ref="D68:H68"/>
    <mergeCell ref="A44:D44"/>
    <mergeCell ref="E44:H44"/>
    <mergeCell ref="E45:H45"/>
    <mergeCell ref="E46:H46"/>
    <mergeCell ref="E47:H47"/>
    <mergeCell ref="C57:H57"/>
    <mergeCell ref="C59:H59"/>
    <mergeCell ref="F37:H37"/>
    <mergeCell ref="C50:E50"/>
    <mergeCell ref="G50:H50"/>
    <mergeCell ref="A62:C62"/>
    <mergeCell ref="A63:C63"/>
    <mergeCell ref="D63:H63"/>
    <mergeCell ref="G60:H60"/>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90:H293"/>
    <mergeCell ref="A289:B289"/>
    <mergeCell ref="E289:F289"/>
    <mergeCell ref="C289:D289"/>
    <mergeCell ref="G289:H289"/>
    <mergeCell ref="A115:H115"/>
    <mergeCell ref="A113:E113"/>
    <mergeCell ref="F113:H113"/>
    <mergeCell ref="A114:E114"/>
    <mergeCell ref="F114:H114"/>
    <mergeCell ref="A236:H236"/>
    <mergeCell ref="A122:B122"/>
    <mergeCell ref="A117:B117"/>
    <mergeCell ref="A285:H285"/>
    <mergeCell ref="A120:H120"/>
    <mergeCell ref="A288:H288"/>
    <mergeCell ref="B281:H281"/>
    <mergeCell ref="A124:B124"/>
    <mergeCell ref="E124:F124"/>
    <mergeCell ref="B277:H277"/>
    <mergeCell ref="A240:B240"/>
    <mergeCell ref="B270:H270"/>
    <mergeCell ref="B271:H271"/>
    <mergeCell ref="B273:H273"/>
    <mergeCell ref="B280:H280"/>
    <mergeCell ref="A125:B125"/>
    <mergeCell ref="C125:D125"/>
    <mergeCell ref="E125:F125"/>
    <mergeCell ref="B279:H279"/>
    <mergeCell ref="B276:H276"/>
    <mergeCell ref="B272:H272"/>
    <mergeCell ref="A145:B145"/>
    <mergeCell ref="A151:B151"/>
    <mergeCell ref="A156:B156"/>
    <mergeCell ref="A161:B161"/>
    <mergeCell ref="A166:B166"/>
    <mergeCell ref="A171:B171"/>
    <mergeCell ref="A177:B177"/>
    <mergeCell ref="A187:B187"/>
    <mergeCell ref="A192:H192"/>
    <mergeCell ref="A203:B203"/>
    <mergeCell ref="A243:B243"/>
    <mergeCell ref="A244:B244"/>
    <mergeCell ref="A235:H235"/>
    <mergeCell ref="A242:B242"/>
    <mergeCell ref="A254:B254"/>
    <mergeCell ref="A255:B255"/>
    <mergeCell ref="A256:B256"/>
    <mergeCell ref="A71:C71"/>
    <mergeCell ref="D72:H72"/>
    <mergeCell ref="A78:B78"/>
    <mergeCell ref="G77:H77"/>
    <mergeCell ref="A189:H189"/>
    <mergeCell ref="E121:F121"/>
    <mergeCell ref="A126:H126"/>
    <mergeCell ref="A190:A191"/>
    <mergeCell ref="F190:F191"/>
    <mergeCell ref="A132:B132"/>
    <mergeCell ref="A83:B83"/>
    <mergeCell ref="E91:F91"/>
    <mergeCell ref="G91:H91"/>
    <mergeCell ref="A108:E108"/>
    <mergeCell ref="F108:H108"/>
    <mergeCell ref="A110:E110"/>
    <mergeCell ref="F105:H105"/>
    <mergeCell ref="A109:E109"/>
    <mergeCell ref="E92:F101"/>
    <mergeCell ref="A99:B99"/>
    <mergeCell ref="A100:B100"/>
    <mergeCell ref="A107:E107"/>
    <mergeCell ref="A101:B101"/>
    <mergeCell ref="F102:H102"/>
    <mergeCell ref="F107:H107"/>
    <mergeCell ref="A287:H287"/>
    <mergeCell ref="A284:H284"/>
    <mergeCell ref="A237:B237"/>
    <mergeCell ref="A121:B121"/>
    <mergeCell ref="D190:D191"/>
    <mergeCell ref="E190:E191"/>
    <mergeCell ref="A96:B96"/>
    <mergeCell ref="A97:B97"/>
    <mergeCell ref="A98:B98"/>
    <mergeCell ref="F103:H103"/>
    <mergeCell ref="G117:H117"/>
    <mergeCell ref="F109:H109"/>
    <mergeCell ref="C116:D116"/>
    <mergeCell ref="C124:D124"/>
    <mergeCell ref="A193:H193"/>
    <mergeCell ref="A286:H286"/>
    <mergeCell ref="A282:H282"/>
    <mergeCell ref="G121:H121"/>
    <mergeCell ref="C128:C129"/>
    <mergeCell ref="B190:B191"/>
    <mergeCell ref="A283:H283"/>
    <mergeCell ref="A194:B194"/>
    <mergeCell ref="A135:B135"/>
    <mergeCell ref="A50:B50"/>
    <mergeCell ref="G51:H51"/>
    <mergeCell ref="A52:B53"/>
    <mergeCell ref="C53:H53"/>
    <mergeCell ref="A54:B55"/>
    <mergeCell ref="C54:E54"/>
    <mergeCell ref="G54:H54"/>
    <mergeCell ref="A56:B57"/>
    <mergeCell ref="C56:E56"/>
    <mergeCell ref="G56:H56"/>
    <mergeCell ref="A58:B59"/>
    <mergeCell ref="C58:E58"/>
    <mergeCell ref="G58:H58"/>
    <mergeCell ref="C52:E52"/>
    <mergeCell ref="A65:C66"/>
    <mergeCell ref="D65:H65"/>
    <mergeCell ref="D66:H66"/>
    <mergeCell ref="C51:E51"/>
    <mergeCell ref="G52:H52"/>
    <mergeCell ref="A51:B51"/>
    <mergeCell ref="A61:H61"/>
    <mergeCell ref="I15:P15"/>
    <mergeCell ref="F112:H112"/>
    <mergeCell ref="F110:H110"/>
    <mergeCell ref="A127:H127"/>
    <mergeCell ref="G116:H116"/>
    <mergeCell ref="A111:E111"/>
    <mergeCell ref="A60:B60"/>
    <mergeCell ref="C60:E60"/>
    <mergeCell ref="D62:H62"/>
    <mergeCell ref="F111:H111"/>
    <mergeCell ref="E116:F116"/>
    <mergeCell ref="A116:B116"/>
    <mergeCell ref="A118:B118"/>
    <mergeCell ref="C121:D121"/>
    <mergeCell ref="D71:H71"/>
    <mergeCell ref="A72:C72"/>
    <mergeCell ref="E43:H43"/>
    <mergeCell ref="A43:D43"/>
    <mergeCell ref="A88:B88"/>
    <mergeCell ref="C88:H88"/>
    <mergeCell ref="A70:C70"/>
    <mergeCell ref="D70:H70"/>
    <mergeCell ref="A73:C73"/>
    <mergeCell ref="D73:H7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8:E129">
      <formula1>"Attached Loft area,Attached Otla area,Attached Mezzanine area"</formula1>
    </dataValidation>
    <dataValidation type="list" allowBlank="1" showInputMessage="1" showErrorMessage="1" sqref="G289:H289">
      <formula1>"Kunal Kadam,Pranita Mhatre,Shruti Fule,Pooja Kawale,Neha Dhokale,Shruti Tathare,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8:B129">
      <formula1>"Shop No. (Sale Plan),Sale / Rehab,Sale / Mhada"</formula1>
    </dataValidation>
    <dataValidation type="list" allowBlank="1" showInputMessage="1" showErrorMessage="1" sqref="B190:B19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90:E191">
      <formula1>"Fungible area,Balcony Area,Chajja Area,Cornice Area,AP Area,WS Area"</formula1>
    </dataValidation>
    <dataValidation type="list" allowBlank="1" showInputMessage="1" showErrorMessage="1" sqref="H129 H19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3">
      <formula1>0</formula1>
      <formula2>H75</formula2>
    </dataValidation>
    <dataValidation type="list" allowBlank="1" showInputMessage="1" showErrorMessage="1" sqref="H128 H190">
      <formula1>"Saleable area Loading :,Builder Saleable Area"</formula1>
    </dataValidation>
    <dataValidation type="list" allowBlank="1" showInputMessage="1" showErrorMessage="1" sqref="D128:D129 D190:D19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9" fitToHeight="0" orientation="portrait" r:id="rId2"/>
  <headerFooter>
    <oddHeader>&amp;C&amp;G</oddHeader>
    <oddFooter>&amp;L&amp;"Times New Roman,Bold"&amp;12Ref No: &amp;F&amp;C&amp;G&amp;R&amp;"Times New Roman,Bold"&amp;12&amp;P</oddFooter>
  </headerFooter>
  <rowBreaks count="4" manualBreakCount="4">
    <brk id="293" max="16383" man="1"/>
    <brk id="336" max="16383" man="1"/>
    <brk id="373" max="7" man="1"/>
    <brk id="40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1" t="s">
        <v>104</v>
      </c>
      <c r="C3" s="231"/>
      <c r="D3" s="231"/>
      <c r="E3" s="231"/>
      <c r="F3" s="231"/>
      <c r="G3" s="231"/>
      <c r="H3" s="231"/>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10</v>
      </c>
      <c r="D4" s="49" t="s">
        <v>176</v>
      </c>
      <c r="E4" s="49" t="s">
        <v>186</v>
      </c>
      <c r="F4" s="49" t="s">
        <v>169</v>
      </c>
      <c r="G4" s="49" t="s">
        <v>191</v>
      </c>
      <c r="H4" s="49" t="s">
        <v>209</v>
      </c>
      <c r="J4" t="s">
        <v>191</v>
      </c>
      <c r="K4" t="s">
        <v>207</v>
      </c>
    </row>
    <row r="5" spans="2:11" x14ac:dyDescent="0.25">
      <c r="B5" s="48"/>
      <c r="C5" s="48"/>
      <c r="D5" s="49" t="s">
        <v>177</v>
      </c>
      <c r="E5" s="49" t="s">
        <v>184</v>
      </c>
      <c r="F5" s="49" t="s">
        <v>206</v>
      </c>
      <c r="G5" s="49" t="s">
        <v>192</v>
      </c>
      <c r="H5" s="49" t="s">
        <v>210</v>
      </c>
    </row>
    <row r="6" spans="2:11" x14ac:dyDescent="0.25">
      <c r="B6" s="48"/>
      <c r="C6" s="48"/>
      <c r="D6" s="49" t="s">
        <v>178</v>
      </c>
      <c r="E6" s="49" t="s">
        <v>185</v>
      </c>
      <c r="F6" s="49" t="s">
        <v>207</v>
      </c>
      <c r="G6" s="49" t="s">
        <v>193</v>
      </c>
      <c r="H6" s="49" t="s">
        <v>223</v>
      </c>
    </row>
    <row r="7" spans="2:11" x14ac:dyDescent="0.25">
      <c r="B7" s="48"/>
      <c r="C7" s="48"/>
      <c r="D7" s="49" t="s">
        <v>179</v>
      </c>
      <c r="E7" s="49" t="s">
        <v>187</v>
      </c>
      <c r="F7" s="49" t="s">
        <v>208</v>
      </c>
      <c r="G7" s="49" t="s">
        <v>194</v>
      </c>
      <c r="H7" s="49" t="s">
        <v>211</v>
      </c>
    </row>
    <row r="8" spans="2:11" x14ac:dyDescent="0.25">
      <c r="B8" s="48"/>
      <c r="C8" s="48"/>
      <c r="D8" s="49" t="s">
        <v>180</v>
      </c>
      <c r="E8" s="49" t="s">
        <v>188</v>
      </c>
      <c r="F8" s="49"/>
      <c r="G8" s="49" t="s">
        <v>195</v>
      </c>
      <c r="H8" s="49" t="s">
        <v>212</v>
      </c>
    </row>
    <row r="9" spans="2:11" x14ac:dyDescent="0.25">
      <c r="B9" s="48"/>
      <c r="C9" s="48"/>
      <c r="D9" s="49" t="s">
        <v>181</v>
      </c>
      <c r="E9" s="49" t="s">
        <v>186</v>
      </c>
      <c r="F9" s="49"/>
      <c r="G9" s="49" t="s">
        <v>196</v>
      </c>
      <c r="H9" s="49" t="s">
        <v>213</v>
      </c>
    </row>
    <row r="10" spans="2:11" x14ac:dyDescent="0.25">
      <c r="B10" s="48"/>
      <c r="C10" s="48"/>
      <c r="D10" s="49" t="s">
        <v>182</v>
      </c>
      <c r="E10" s="49" t="s">
        <v>189</v>
      </c>
      <c r="F10" s="49"/>
      <c r="G10" s="49" t="s">
        <v>197</v>
      </c>
      <c r="H10" s="49" t="s">
        <v>214</v>
      </c>
    </row>
    <row r="11" spans="2:11" x14ac:dyDescent="0.25">
      <c r="B11" s="48"/>
      <c r="C11" s="48"/>
      <c r="D11" s="49" t="s">
        <v>183</v>
      </c>
      <c r="E11" s="49" t="s">
        <v>190</v>
      </c>
      <c r="F11" s="49"/>
      <c r="G11" s="49" t="s">
        <v>198</v>
      </c>
      <c r="H11" s="49" t="s">
        <v>215</v>
      </c>
    </row>
    <row r="12" spans="2:11" x14ac:dyDescent="0.25">
      <c r="B12" s="48"/>
      <c r="C12" s="48"/>
      <c r="D12" s="49"/>
      <c r="E12" s="49"/>
      <c r="F12" s="49"/>
      <c r="G12" s="49" t="s">
        <v>199</v>
      </c>
      <c r="H12" s="49" t="s">
        <v>216</v>
      </c>
    </row>
    <row r="13" spans="2:11" x14ac:dyDescent="0.25">
      <c r="B13" s="48"/>
      <c r="C13" s="48"/>
      <c r="D13" s="49"/>
      <c r="E13" s="49"/>
      <c r="F13" s="49"/>
      <c r="G13" s="49" t="s">
        <v>200</v>
      </c>
      <c r="H13" s="49" t="s">
        <v>217</v>
      </c>
    </row>
    <row r="14" spans="2:11" x14ac:dyDescent="0.25">
      <c r="B14" s="48"/>
      <c r="C14" s="48"/>
      <c r="D14" s="49"/>
      <c r="E14" s="49"/>
      <c r="F14" s="49"/>
      <c r="G14" s="49" t="s">
        <v>201</v>
      </c>
      <c r="H14" s="49" t="s">
        <v>218</v>
      </c>
    </row>
    <row r="15" spans="2:11" x14ac:dyDescent="0.25">
      <c r="B15" s="48"/>
      <c r="C15" s="48"/>
      <c r="D15" s="49"/>
      <c r="E15" s="49"/>
      <c r="F15" s="49"/>
      <c r="G15" s="49" t="s">
        <v>202</v>
      </c>
      <c r="H15" s="49" t="s">
        <v>219</v>
      </c>
    </row>
    <row r="16" spans="2:11" x14ac:dyDescent="0.25">
      <c r="B16" s="48"/>
      <c r="C16" s="48"/>
      <c r="D16" s="49"/>
      <c r="E16" s="49"/>
      <c r="F16" s="49"/>
      <c r="G16" s="49" t="s">
        <v>203</v>
      </c>
      <c r="H16" s="49" t="s">
        <v>220</v>
      </c>
    </row>
    <row r="17" spans="2:8" x14ac:dyDescent="0.25">
      <c r="B17" s="48"/>
      <c r="C17" s="48"/>
      <c r="D17" s="49"/>
      <c r="E17" s="49"/>
      <c r="F17" s="49"/>
      <c r="G17" s="49" t="s">
        <v>204</v>
      </c>
      <c r="H17" s="49" t="s">
        <v>221</v>
      </c>
    </row>
    <row r="18" spans="2:8" x14ac:dyDescent="0.25">
      <c r="B18" s="48"/>
      <c r="C18" s="48"/>
      <c r="D18" s="49"/>
      <c r="E18" s="49"/>
      <c r="F18" s="49"/>
      <c r="G18" s="49" t="s">
        <v>205</v>
      </c>
      <c r="H18" s="49" t="s">
        <v>222</v>
      </c>
    </row>
    <row r="24" spans="2:8" x14ac:dyDescent="0.25">
      <c r="C24" t="s">
        <v>166</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166</v>
      </c>
    </row>
    <row r="33" spans="3:11" x14ac:dyDescent="0.25">
      <c r="J33">
        <v>1</v>
      </c>
      <c r="K33">
        <v>2</v>
      </c>
    </row>
    <row r="34" spans="3:11" x14ac:dyDescent="0.25">
      <c r="C34" s="52" t="s">
        <v>235</v>
      </c>
      <c r="D34" s="49" t="s">
        <v>233</v>
      </c>
      <c r="E34" s="49" t="s">
        <v>238</v>
      </c>
      <c r="F34" s="49" t="s">
        <v>236</v>
      </c>
      <c r="G34" s="49" t="s">
        <v>237</v>
      </c>
      <c r="H34" s="49" t="s">
        <v>239</v>
      </c>
      <c r="J34" t="s">
        <v>191</v>
      </c>
      <c r="K34" t="s">
        <v>207</v>
      </c>
    </row>
    <row r="35" spans="3:11" x14ac:dyDescent="0.25">
      <c r="C35" s="48" t="s">
        <v>234</v>
      </c>
      <c r="D35" s="49" t="s">
        <v>167</v>
      </c>
      <c r="E35" s="49" t="s">
        <v>243</v>
      </c>
      <c r="F35" s="49" t="s">
        <v>245</v>
      </c>
      <c r="G35" s="49" t="s">
        <v>247</v>
      </c>
      <c r="H35" s="49"/>
    </row>
    <row r="36" spans="3:11" x14ac:dyDescent="0.25">
      <c r="C36" s="48"/>
      <c r="D36" s="49" t="s">
        <v>240</v>
      </c>
      <c r="E36" s="49" t="s">
        <v>244</v>
      </c>
      <c r="F36" s="49" t="s">
        <v>246</v>
      </c>
      <c r="G36" s="49" t="s">
        <v>248</v>
      </c>
      <c r="H36" s="49"/>
    </row>
    <row r="37" spans="3:11" x14ac:dyDescent="0.25">
      <c r="C37" s="48"/>
      <c r="D37" s="49" t="s">
        <v>241</v>
      </c>
      <c r="E37" s="49"/>
      <c r="F37" s="49"/>
      <c r="G37" s="49" t="s">
        <v>249</v>
      </c>
      <c r="H37" s="49"/>
    </row>
    <row r="38" spans="3:11" x14ac:dyDescent="0.25">
      <c r="C38" s="48"/>
      <c r="D38" s="49" t="s">
        <v>242</v>
      </c>
      <c r="E38" s="49"/>
      <c r="F38" s="49"/>
      <c r="G38" s="49" t="s">
        <v>249</v>
      </c>
      <c r="H38" s="49"/>
    </row>
    <row r="39" spans="3:11" x14ac:dyDescent="0.25">
      <c r="C39" s="48"/>
      <c r="D39" s="49"/>
      <c r="E39" s="49"/>
      <c r="F39" s="49"/>
      <c r="G39" s="49" t="s">
        <v>250</v>
      </c>
      <c r="H39" s="49"/>
    </row>
    <row r="40" spans="3:11" x14ac:dyDescent="0.25">
      <c r="C40" s="48"/>
      <c r="D40" s="49"/>
      <c r="E40" s="49"/>
      <c r="F40" s="49"/>
      <c r="G40" s="49" t="s">
        <v>251</v>
      </c>
      <c r="H40" s="49"/>
    </row>
    <row r="41" spans="3:11" x14ac:dyDescent="0.25">
      <c r="C41" s="48"/>
      <c r="D41" s="49"/>
      <c r="E41" s="49"/>
      <c r="F41" s="49"/>
      <c r="G41" s="49"/>
      <c r="H41" s="49"/>
    </row>
    <row r="43" spans="3:11" x14ac:dyDescent="0.25">
      <c r="C43" t="s">
        <v>252</v>
      </c>
    </row>
    <row r="44" spans="3:11" x14ac:dyDescent="0.25">
      <c r="C44" t="s">
        <v>169</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176</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191</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186</v>
      </c>
      <c r="D67" t="s">
        <v>274</v>
      </c>
    </row>
    <row r="68" spans="3:4" x14ac:dyDescent="0.25">
      <c r="D68" t="s">
        <v>275</v>
      </c>
    </row>
    <row r="69" spans="3:4" x14ac:dyDescent="0.2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53">
        <v>1</v>
      </c>
      <c r="C2" s="56" t="s">
        <v>282</v>
      </c>
    </row>
    <row r="3" spans="2:3" x14ac:dyDescent="0.25">
      <c r="B3" s="53">
        <v>2</v>
      </c>
      <c r="C3" s="54" t="s">
        <v>283</v>
      </c>
    </row>
    <row r="4" spans="2:3" x14ac:dyDescent="0.25">
      <c r="B4" s="53">
        <v>3</v>
      </c>
      <c r="C4" s="55" t="s">
        <v>284</v>
      </c>
    </row>
    <row r="5" spans="2:3" ht="30" x14ac:dyDescent="0.25">
      <c r="B5" s="53">
        <v>4</v>
      </c>
      <c r="C5" s="54" t="s">
        <v>285</v>
      </c>
    </row>
    <row r="6" spans="2:3" x14ac:dyDescent="0.25">
      <c r="B6" s="53">
        <v>5</v>
      </c>
      <c r="C6" s="55" t="s">
        <v>286</v>
      </c>
    </row>
    <row r="7" spans="2:3" ht="30" x14ac:dyDescent="0.25">
      <c r="B7" s="53">
        <v>6</v>
      </c>
      <c r="C7" s="54" t="s">
        <v>287</v>
      </c>
    </row>
    <row r="8" spans="2:3" ht="90" x14ac:dyDescent="0.25">
      <c r="B8" s="53">
        <v>7</v>
      </c>
      <c r="C8" s="54" t="s">
        <v>288</v>
      </c>
    </row>
    <row r="9" spans="2:3" x14ac:dyDescent="0.25">
      <c r="B9" s="53">
        <v>8</v>
      </c>
      <c r="C9" s="55" t="s">
        <v>289</v>
      </c>
    </row>
    <row r="10" spans="2:3" x14ac:dyDescent="0.25">
      <c r="B10" s="53">
        <v>9</v>
      </c>
      <c r="C10" s="55" t="s">
        <v>290</v>
      </c>
    </row>
    <row r="11" spans="2:3" x14ac:dyDescent="0.25">
      <c r="B11" s="53">
        <v>10</v>
      </c>
      <c r="C11" s="55" t="s">
        <v>291</v>
      </c>
    </row>
    <row r="12" spans="2:3" x14ac:dyDescent="0.25">
      <c r="B12" s="53">
        <v>11</v>
      </c>
      <c r="C12" s="55" t="s">
        <v>292</v>
      </c>
    </row>
    <row r="13" spans="2:3" x14ac:dyDescent="0.25">
      <c r="B13" s="53">
        <v>12</v>
      </c>
      <c r="C13" s="55" t="s">
        <v>293</v>
      </c>
    </row>
    <row r="14" spans="2:3" x14ac:dyDescent="0.25">
      <c r="B14" s="53">
        <v>13</v>
      </c>
      <c r="C14" s="55" t="s">
        <v>294</v>
      </c>
    </row>
    <row r="15" spans="2:3" x14ac:dyDescent="0.25">
      <c r="B15" s="53">
        <v>14</v>
      </c>
      <c r="C15" s="55" t="s">
        <v>284</v>
      </c>
    </row>
    <row r="16" spans="2:3" x14ac:dyDescent="0.25">
      <c r="B16" s="53">
        <v>15</v>
      </c>
      <c r="C16" s="55" t="s">
        <v>296</v>
      </c>
    </row>
    <row r="17" spans="2:3" ht="31.5" customHeight="1" x14ac:dyDescent="0.25">
      <c r="B17" s="59">
        <v>16</v>
      </c>
      <c r="C17" s="61" t="s">
        <v>297</v>
      </c>
    </row>
    <row r="18" spans="2:3" x14ac:dyDescent="0.25">
      <c r="B18" s="60">
        <v>17</v>
      </c>
      <c r="C18" s="61" t="s">
        <v>298</v>
      </c>
    </row>
    <row r="19" spans="2:3" x14ac:dyDescent="0.25">
      <c r="B19" s="59">
        <v>18</v>
      </c>
      <c r="C19" s="53" t="s">
        <v>299</v>
      </c>
    </row>
    <row r="20" spans="2:3" x14ac:dyDescent="0.25">
      <c r="B20" s="60">
        <v>19</v>
      </c>
      <c r="C20" s="53"/>
    </row>
    <row r="21" spans="2:3" x14ac:dyDescent="0.25">
      <c r="B21" s="62">
        <v>20</v>
      </c>
      <c r="C21" s="53"/>
    </row>
    <row r="22" spans="2:3" x14ac:dyDescent="0.25">
      <c r="B22" s="53"/>
      <c r="C22" s="53"/>
    </row>
    <row r="23" spans="2:3" x14ac:dyDescent="0.25">
      <c r="B23" s="53"/>
      <c r="C23" s="53"/>
    </row>
    <row r="24" spans="2:3" x14ac:dyDescent="0.25">
      <c r="B24" s="53"/>
      <c r="C24" s="53"/>
    </row>
    <row r="25" spans="2:3" x14ac:dyDescent="0.25">
      <c r="B25" s="53"/>
      <c r="C25" s="53"/>
    </row>
    <row r="26" spans="2:3" x14ac:dyDescent="0.25">
      <c r="B26" s="53"/>
      <c r="C26" s="53"/>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2025-07-15T09:48:22Z</cp:lastPrinted>
  <dcterms:created xsi:type="dcterms:W3CDTF">2019-07-16T09:29:46Z</dcterms:created>
  <dcterms:modified xsi:type="dcterms:W3CDTF">2025-07-15T09:48:32Z</dcterms:modified>
</cp:coreProperties>
</file>