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8" i="1" l="1"/>
  <c r="I147" i="1" l="1"/>
  <c r="K147" i="1" s="1"/>
  <c r="M147" i="1" s="1"/>
  <c r="I146" i="1"/>
  <c r="K146" i="1" s="1"/>
  <c r="M146" i="1" s="1"/>
  <c r="K135" i="1"/>
  <c r="J135" i="1"/>
  <c r="J185" i="1"/>
  <c r="E139" i="1"/>
  <c r="E138" i="1"/>
  <c r="E137" i="1"/>
  <c r="E136" i="1"/>
  <c r="D140" i="1"/>
  <c r="D141" i="1"/>
  <c r="D139" i="1"/>
  <c r="I135" i="1"/>
  <c r="L135" i="1" l="1"/>
  <c r="N135" i="1" s="1"/>
  <c r="C118" i="1"/>
  <c r="E177" i="1"/>
  <c r="D177" i="1"/>
  <c r="E176" i="1"/>
  <c r="D176" i="1"/>
  <c r="E175" i="1"/>
  <c r="D175" i="1"/>
  <c r="E174" i="1"/>
  <c r="D174" i="1"/>
  <c r="E173" i="1"/>
  <c r="D173" i="1"/>
  <c r="F173" i="1" s="1"/>
  <c r="H173" i="1" s="1"/>
  <c r="E172" i="1"/>
  <c r="D172" i="1"/>
  <c r="F172" i="1" s="1"/>
  <c r="H172" i="1" s="1"/>
  <c r="E170" i="1"/>
  <c r="F170" i="1" s="1"/>
  <c r="H170" i="1" s="1"/>
  <c r="D170" i="1"/>
  <c r="E169" i="1"/>
  <c r="D169" i="1"/>
  <c r="E168" i="1"/>
  <c r="D168" i="1"/>
  <c r="E167" i="1"/>
  <c r="D167" i="1"/>
  <c r="F167" i="1" s="1"/>
  <c r="H167" i="1" s="1"/>
  <c r="E166" i="1"/>
  <c r="D166" i="1"/>
  <c r="E165" i="1"/>
  <c r="D165" i="1"/>
  <c r="G156" i="1"/>
  <c r="E161" i="1"/>
  <c r="D161" i="1"/>
  <c r="F161" i="1" s="1"/>
  <c r="H161" i="1" s="1"/>
  <c r="E160" i="1"/>
  <c r="D160" i="1"/>
  <c r="E159" i="1"/>
  <c r="D159" i="1"/>
  <c r="E158" i="1"/>
  <c r="D158" i="1"/>
  <c r="E157" i="1"/>
  <c r="D157" i="1"/>
  <c r="E156" i="1"/>
  <c r="D156" i="1"/>
  <c r="D144" i="1"/>
  <c r="D143" i="1"/>
  <c r="D142" i="1"/>
  <c r="D138" i="1"/>
  <c r="D137" i="1"/>
  <c r="D136" i="1"/>
  <c r="C117" i="1" s="1"/>
  <c r="F176" i="1"/>
  <c r="H176" i="1" s="1"/>
  <c r="C119" i="1" l="1"/>
  <c r="C120" i="1" s="1"/>
  <c r="F156" i="1"/>
  <c r="H156" i="1" s="1"/>
  <c r="F160" i="1"/>
  <c r="H160" i="1" s="1"/>
  <c r="F165" i="1"/>
  <c r="H165" i="1" s="1"/>
  <c r="F169" i="1"/>
  <c r="H169" i="1" s="1"/>
  <c r="F177" i="1"/>
  <c r="F157" i="1"/>
  <c r="H157" i="1" s="1"/>
  <c r="F166" i="1"/>
  <c r="H166" i="1" s="1"/>
  <c r="F175" i="1"/>
  <c r="H175" i="1" s="1"/>
  <c r="F168" i="1"/>
  <c r="H168" i="1" s="1"/>
  <c r="F159" i="1"/>
  <c r="H159" i="1" s="1"/>
  <c r="F158" i="1"/>
  <c r="H158" i="1" s="1"/>
  <c r="E118" i="1" l="1"/>
  <c r="H177" i="1"/>
  <c r="F174" i="1"/>
  <c r="H174" i="1" s="1"/>
  <c r="E188" i="1"/>
  <c r="D188" i="1"/>
  <c r="F188" i="1" s="1"/>
  <c r="E187" i="1"/>
  <c r="D187" i="1"/>
  <c r="E186" i="1"/>
  <c r="D186" i="1"/>
  <c r="E185" i="1"/>
  <c r="D185" i="1"/>
  <c r="J182" i="1"/>
  <c r="J188" i="1"/>
  <c r="I188" i="1"/>
  <c r="J186" i="1"/>
  <c r="I186" i="1"/>
  <c r="I185" i="1"/>
  <c r="F144" i="1"/>
  <c r="H144" i="1" s="1"/>
  <c r="F143" i="1"/>
  <c r="H143" i="1" s="1"/>
  <c r="F142" i="1"/>
  <c r="H142" i="1" s="1"/>
  <c r="F140" i="1"/>
  <c r="F137" i="1"/>
  <c r="H137" i="1" s="1"/>
  <c r="F139" i="1"/>
  <c r="H139" i="1" s="1"/>
  <c r="F141" i="1"/>
  <c r="H141" i="1" s="1"/>
  <c r="F138" i="1"/>
  <c r="H138" i="1" s="1"/>
  <c r="A185" i="1"/>
  <c r="F187" i="1" l="1"/>
  <c r="H187" i="1" s="1"/>
  <c r="K187" i="1" s="1"/>
  <c r="F186" i="1"/>
  <c r="H186" i="1" s="1"/>
  <c r="K186" i="1" s="1"/>
  <c r="E119" i="1"/>
  <c r="H188" i="1"/>
  <c r="K188" i="1" s="1"/>
  <c r="C123" i="1"/>
  <c r="C124" i="1" s="1"/>
  <c r="H140" i="1"/>
  <c r="G119" i="1" s="1"/>
  <c r="F185" i="1"/>
  <c r="E43" i="1"/>
  <c r="A186" i="1"/>
  <c r="H185" i="1" l="1"/>
  <c r="E123" i="1"/>
  <c r="E124"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A187" i="1"/>
  <c r="K185" i="1" l="1"/>
  <c r="G123" i="1"/>
  <c r="G124" i="1" s="1"/>
  <c r="I42" i="7"/>
  <c r="H42" i="7" s="1"/>
  <c r="L42" i="7"/>
  <c r="K42" i="7" s="1"/>
  <c r="E42" i="7"/>
  <c r="D42" i="7"/>
  <c r="A188" i="1"/>
  <c r="E44" i="7" l="1"/>
  <c r="D44" i="7"/>
  <c r="E31" i="1"/>
  <c r="B220" i="1" l="1"/>
  <c r="F136" i="1" l="1"/>
  <c r="H136" i="1" l="1"/>
  <c r="G117" i="1" s="1"/>
  <c r="G120" i="1" s="1"/>
  <c r="E117" i="1"/>
  <c r="E120" i="1" s="1"/>
  <c r="G58" i="1"/>
  <c r="C58" i="1"/>
  <c r="G56" i="1"/>
  <c r="C56" i="1"/>
  <c r="C54" i="1"/>
  <c r="S33" i="1" l="1"/>
  <c r="F11" i="5" l="1"/>
  <c r="G11" i="5" s="1"/>
  <c r="G10" i="5"/>
  <c r="F10" i="5"/>
  <c r="F9" i="5"/>
  <c r="G9" i="5" s="1"/>
  <c r="F8" i="5"/>
  <c r="G8" i="5" s="1"/>
  <c r="F7" i="5"/>
  <c r="G7" i="5" s="1"/>
  <c r="F6" i="5"/>
  <c r="G6" i="5" s="1"/>
  <c r="F5" i="5"/>
  <c r="G5" i="5" s="1"/>
  <c r="G12" i="5" s="1"/>
  <c r="D246" i="1"/>
  <c r="B221" i="1"/>
  <c r="F217" i="1"/>
  <c r="H217" i="1" s="1"/>
  <c r="F216" i="1"/>
  <c r="H216" i="1" s="1"/>
  <c r="F215" i="1"/>
  <c r="H215" i="1" s="1"/>
  <c r="F214" i="1"/>
  <c r="H214" i="1" s="1"/>
  <c r="F213" i="1"/>
  <c r="H213" i="1" s="1"/>
  <c r="F211" i="1"/>
  <c r="H211" i="1" s="1"/>
  <c r="F210" i="1"/>
  <c r="H210" i="1" s="1"/>
  <c r="F209" i="1"/>
  <c r="H209" i="1" s="1"/>
  <c r="F208" i="1"/>
  <c r="H208" i="1" s="1"/>
  <c r="F207" i="1"/>
  <c r="H207" i="1" s="1"/>
  <c r="F205" i="1"/>
  <c r="H205" i="1" s="1"/>
  <c r="F204" i="1"/>
  <c r="H204" i="1" s="1"/>
  <c r="F203" i="1"/>
  <c r="H203" i="1" s="1"/>
  <c r="F202" i="1"/>
  <c r="H202" i="1" s="1"/>
  <c r="F201" i="1"/>
  <c r="H201" i="1" s="1"/>
  <c r="F199" i="1"/>
  <c r="H199" i="1" s="1"/>
  <c r="F198" i="1"/>
  <c r="H198" i="1" s="1"/>
  <c r="F197" i="1"/>
  <c r="H197" i="1" s="1"/>
  <c r="F196" i="1"/>
  <c r="H196" i="1" s="1"/>
  <c r="F195" i="1"/>
  <c r="H195" i="1" s="1"/>
  <c r="A195" i="1"/>
  <c r="A196" i="1" s="1"/>
  <c r="A197" i="1" s="1"/>
  <c r="A198" i="1" s="1"/>
  <c r="A199" i="1" s="1"/>
  <c r="F193" i="1"/>
  <c r="H193" i="1" s="1"/>
  <c r="F192" i="1"/>
  <c r="H192" i="1" s="1"/>
  <c r="F191" i="1"/>
  <c r="H191" i="1" s="1"/>
  <c r="A191" i="1"/>
  <c r="A192" i="1" s="1"/>
  <c r="A193" i="1" s="1"/>
  <c r="F190" i="1"/>
  <c r="H190" i="1" s="1"/>
  <c r="G125" i="1"/>
  <c r="E125" i="1"/>
  <c r="C125" i="1"/>
  <c r="F114" i="1"/>
  <c r="C88" i="1"/>
  <c r="C74" i="1"/>
  <c r="D68" i="1"/>
  <c r="D62" i="1"/>
  <c r="C51" i="1"/>
  <c r="E44" i="1"/>
  <c r="E45" i="1" s="1"/>
  <c r="E28" i="1"/>
  <c r="E26" i="1"/>
  <c r="C16" i="1"/>
  <c r="I15" i="1"/>
  <c r="Z13" i="1"/>
  <c r="E8" i="1"/>
  <c r="E3" i="1"/>
  <c r="A207" i="1"/>
  <c r="A213" i="1"/>
  <c r="H89" i="1"/>
  <c r="H75" i="1"/>
  <c r="A201" i="1"/>
  <c r="J74" i="1" l="1"/>
  <c r="J76" i="1" s="1"/>
  <c r="J77" i="1"/>
  <c r="J78" i="1"/>
  <c r="J79" i="1"/>
  <c r="J93" i="1"/>
  <c r="C92" i="1" s="1"/>
  <c r="D97" i="1"/>
  <c r="D99" i="1"/>
  <c r="J92" i="1"/>
  <c r="D98" i="1"/>
  <c r="J88" i="1"/>
  <c r="J90" i="1" s="1"/>
  <c r="D96" i="1"/>
  <c r="J91" i="1"/>
  <c r="D95" i="1"/>
  <c r="D101" i="1"/>
  <c r="D100" i="1"/>
  <c r="D94" i="1"/>
  <c r="D82" i="1"/>
  <c r="D84" i="1"/>
  <c r="D83" i="1"/>
  <c r="D87" i="1"/>
  <c r="D81" i="1"/>
  <c r="D86" i="1"/>
  <c r="D80" i="1"/>
  <c r="D85" i="1"/>
  <c r="B89" i="1"/>
  <c r="B75" i="1"/>
  <c r="J80" i="1" s="1"/>
  <c r="A202" i="1"/>
  <c r="A208" i="1"/>
  <c r="A214" i="1"/>
  <c r="D92" i="1" l="1"/>
  <c r="D78" i="1"/>
  <c r="J99" i="1"/>
  <c r="J96" i="1"/>
  <c r="J98" i="1"/>
  <c r="J97" i="1"/>
  <c r="J94" i="1"/>
  <c r="J95" i="1" s="1"/>
  <c r="J84" i="1"/>
  <c r="J82" i="1"/>
  <c r="J83" i="1"/>
  <c r="J81" i="1"/>
  <c r="J86" i="1" s="1"/>
  <c r="J87" i="1" s="1"/>
  <c r="J85" i="1"/>
  <c r="A215" i="1"/>
  <c r="A203" i="1"/>
  <c r="A209" i="1"/>
  <c r="J75" i="1" l="1"/>
  <c r="J100" i="1"/>
  <c r="J101" i="1" s="1"/>
  <c r="E78" i="1"/>
  <c r="D79" i="1"/>
  <c r="I75" i="1" s="1"/>
  <c r="G78" i="1"/>
  <c r="A204" i="1"/>
  <c r="A216" i="1"/>
  <c r="A210" i="1"/>
  <c r="C93" i="1" l="1"/>
  <c r="I76" i="1"/>
  <c r="I74" i="1" s="1"/>
  <c r="C76" i="1" s="1"/>
  <c r="A217" i="1"/>
  <c r="A211" i="1"/>
  <c r="A205" i="1"/>
  <c r="D93" i="1" l="1"/>
  <c r="I89" i="1" s="1"/>
  <c r="I90" i="1" s="1"/>
  <c r="E92" i="1"/>
  <c r="G92" i="1"/>
  <c r="D72" i="1" s="1"/>
  <c r="J89" i="1"/>
  <c r="D73" i="1" l="1"/>
  <c r="F73" i="1"/>
  <c r="I88" i="1"/>
  <c r="C90"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0"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<sst xmlns="http://schemas.openxmlformats.org/spreadsheetml/2006/main" count="723" uniqueCount="442">
  <si>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</si>
  <si>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</si>
  <si>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</si>
  <si>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</si>
  <si>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</si>
  <si>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</si>
  <si>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</si>
  <si>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</si>
  <si>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</si>
  <si>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</si>
  <si>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</si>
  <si>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</si>
  <si>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</si>
  <si>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</si>
  <si>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</si>
  <si>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</si>
  <si>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</si>
  <si>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</si>
  <si>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</si>
  <si>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</si>
  <si>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</si>
  <si>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</si>
  <si>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</si>
  <si>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</si>
  <si>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</si>
  <si>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</si>
  <si>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</si>
  <si>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</si>
  <si>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</si>
  <si>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</si>
  <si>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</si>
  <si>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</si>
  <si>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</si>
  <si>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</si>
  <si>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</si>
  <si>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</si>
  <si>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</si>
  <si>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</si>
  <si>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</si>
  <si>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</si>
  <si>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</si>
  <si>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</si>
  <si>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</si>
  <si>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</si>
  <si>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</si>
  <si>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</si>
  <si>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</si>
  <si>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</si>
  <si>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</si>
  <si>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</si>
  <si>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</si>
  <si>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</si>
  <si>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</si>
  <si>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</si>
  <si>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</si>
  <si>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</si>
  <si>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</si>
  <si>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</si>
  <si>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</si>
  <si>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</si>
  <si>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</si>
  <si>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</si>
  <si>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</si>
  <si>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</si>
  <si>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</si>
  <si>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</si>
  <si>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</si>
  <si>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</si>
  <si>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</si>
  <si>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</si>
  <si>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</si>
  <si>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</si>
  <si>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</si>
  <si>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</si>
  <si>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</si>
  <si>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</si>
  <si>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</si>
  <si>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</si>
  <si>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</si>
  <si>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</si>
  <si>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</si>
  <si>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</si>
  <si>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</si>
  <si>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</si>
  <si>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</si>
  <si>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</si>
  <si>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</si>
  <si>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</si>
  <si>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</si>
  <si>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</si>
  <si>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</si>
  <si>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</si>
  <si>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</si>
  <si>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</si>
  <si>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</si>
  <si>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</si>
  <si>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</si>
  <si>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</si>
  <si>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</si>
  <si>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</si>
  <si>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</si>
  <si>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</si>
  <si>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</si>
  <si>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</si>
  <si>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</si>
  <si>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</si>
  <si>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</si>
  <si>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</si>
  <si>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</si>
  <si>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</si>
  <si>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</si>
  <si>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</si>
  <si>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</si>
  <si>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</si>
  <si>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</si>
  <si>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</si>
  <si>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</si>
  <si>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</si>
  <si>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</si>
  <si>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</si>
  <si>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</si>
  <si>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</si>
  <si>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</si>
  <si>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</si>
  <si>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</si>
  <si>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</si>
  <si>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</si>
  <si>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</si>
  <si>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</si>
  <si>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</si>
  <si>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</si>
  <si>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</si>
  <si>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</si>
  <si>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</si>
  <si>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</si>
  <si>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</si>
  <si>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</si>
  <si>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</si>
  <si>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</si>
  <si>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</si>
  <si>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</si>
  <si>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</si>
  <si>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</si>
  <si>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</si>
  <si>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</si>
  <si>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</si>
  <si>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</si>
  <si>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</si>
  <si>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</si>
  <si>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</si>
  <si>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</si>
  <si>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</si>
  <si>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</si>
  <si>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</si>
  <si>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</si>
  <si>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</si>
  <si>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</si>
  <si>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</si>
  <si>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</si>
  <si>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</si>
  <si>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</si>
  <si>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</si>
  <si>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</si>
  <si>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</si>
  <si>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</si>
  <si>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</si>
  <si>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</si>
  <si>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</si>
  <si>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</si>
  <si>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</si>
  <si>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</si>
  <si>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</si>
  <si>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</si>
  <si>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</si>
  <si>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</si>
  <si>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</si>
  <si>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</si>
  <si>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</si>
  <si>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</si>
  <si>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</si>
  <si>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</si>
  <si>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</si>
  <si>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</si>
  <si>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</si>
  <si>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</si>
  <si>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</si>
  <si>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</si>
  <si>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</si>
  <si>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</si>
  <si>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</si>
  <si>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</si>
  <si>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</si>
  <si>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</si>
  <si>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</si>
  <si>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</si>
  <si>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</si>
  <si>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</si>
  <si>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</si>
  <si>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</si>
  <si>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</si>
  <si>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</si>
  <si>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</si>
  <si>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</si>
  <si>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</si>
  <si>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</si>
  <si>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</si>
  <si>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</si>
  <si>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</si>
  <si>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</si>
  <si>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</si>
  <si>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</si>
  <si>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</si>
  <si>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</si>
  <si>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</si>
  <si>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</si>
  <si>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</si>
  <si>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</si>
  <si>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</si>
  <si>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</si>
  <si>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</si>
  <si>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</si>
  <si>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</si>
  <si>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</si>
  <si>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</si>
  <si>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</si>
  <si>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</si>
  <si>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</si>
  <si>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</si>
  <si>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</si>
  <si>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</si>
  <si>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</si>
  <si>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</si>
  <si>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</si>
  <si>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</si>
  <si>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</si>
  <si>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</si>
  <si>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</si>
  <si>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</si>
  <si>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</si>
  <si>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</si>
  <si>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</si>
  <si>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</si>
  <si>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</si>
  <si>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</si>
  <si>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</si>
  <si>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</si>
  <si>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</si>
  <si>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</si>
  <si>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</si>
  <si>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</si>
  <si>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</si>
  <si>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</si>
  <si>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</si>
  <si>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</si>
  <si>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</si>
  <si>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</si>
  <si>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</si>
  <si>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</si>
  <si>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</si>
  <si>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</si>
  <si>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</si>
  <si>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</si>
  <si>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</si>
  <si>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</si>
  <si>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</si>
  <si>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</si>
  <si>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</si>
  <si>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</si>
  <si>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</si>
  <si>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</si>
  <si>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</si>
  <si>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</si>
  <si>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</si>
  <si>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</si>
  <si>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</si>
  <si>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</si>
  <si>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</si>
  <si>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</si>
  <si>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</si>
  <si>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</si>
  <si>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</si>
  <si>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</si>
  <si>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</si>
  <si>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</si>
  <si>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</si>
  <si>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</si>
  <si>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</si>
  <si>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</si>
  <si>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</si>
  <si>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</si>
  <si>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</si>
  <si>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</si>
  <si>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</si>
  <si>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</si>
  <si>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</si>
  <si>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</si>
  <si>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</si>
  <si>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</si>
  <si>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</si>
  <si>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</si>
  <si>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</si>
  <si>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</si>
  <si>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</si>
  <si>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</si>
  <si>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</si>
  <si>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</si>
  <si>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</si>
  <si>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</si>
  <si>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</si>
  <si>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</si>
  <si>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</si>
  <si>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</si>
  <si>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</si>
  <si>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</si>
  <si>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</si>
  <si>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</si>
  <si>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</si>
  <si>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</si>
  <si>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</si>
  <si>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</si>
  <si>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</si>
  <si>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</si>
  <si>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</si>
  <si>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</si>
  <si>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</si>
  <si>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</si>
  <si>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</si>
  <si>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</si>
  <si>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</si>
  <si>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</si>
  <si>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</si>
  <si>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</si>
  <si>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Butala &amp; Shet Assiocates LLP
</t>
  </si>
  <si>
    <t>Astitwa</t>
  </si>
  <si>
    <t xml:space="preserve">Mr. Brijesh Butala 9920111171
</t>
  </si>
  <si>
    <t>Wing 1 &amp; 2</t>
  </si>
  <si>
    <t>P52000047199</t>
  </si>
  <si>
    <t>Plot No</t>
  </si>
  <si>
    <t>115/9A/1</t>
  </si>
  <si>
    <t>Mumbai Goa Highway</t>
  </si>
  <si>
    <t>Chambhar Khind</t>
  </si>
  <si>
    <t>Kalpadeep Building</t>
  </si>
  <si>
    <t>450 M from Mahad Bus Stand</t>
  </si>
  <si>
    <t>Other Plot</t>
  </si>
  <si>
    <t>Unique Residency</t>
  </si>
  <si>
    <t>12 M W Road</t>
  </si>
  <si>
    <t>Service Road</t>
  </si>
  <si>
    <t>Bajaj Showroom</t>
  </si>
  <si>
    <t>18.0858961,73.4299627</t>
  </si>
  <si>
    <t>https://maps.app.goo.gl/aH29omyQBew1PSwp6</t>
  </si>
  <si>
    <t>02 Wings</t>
  </si>
  <si>
    <t>Mahad Municipal Council</t>
  </si>
  <si>
    <t>MNP/BV/Building Permission/2021-2022/3536/2022</t>
  </si>
  <si>
    <t xml:space="preserve">As per RERA - 31/12/2027 </t>
  </si>
  <si>
    <t>Wing 1</t>
  </si>
  <si>
    <t>Basement For Parking</t>
  </si>
  <si>
    <t>Ground Floor For Commercial &amp; Lobby</t>
  </si>
  <si>
    <t>Shop</t>
  </si>
  <si>
    <t>Office</t>
  </si>
  <si>
    <t>S01</t>
  </si>
  <si>
    <t>S02</t>
  </si>
  <si>
    <t>S03</t>
  </si>
  <si>
    <t>S04</t>
  </si>
  <si>
    <t>S05</t>
  </si>
  <si>
    <t>S06</t>
  </si>
  <si>
    <t>S07</t>
  </si>
  <si>
    <t>C01a</t>
  </si>
  <si>
    <t>C01b</t>
  </si>
  <si>
    <t>C02</t>
  </si>
  <si>
    <t>C03a</t>
  </si>
  <si>
    <t>C03b</t>
  </si>
  <si>
    <t>Shop Duplex With Mezzanine Floor</t>
  </si>
  <si>
    <t>Mezzanine Floor For Commercial</t>
  </si>
  <si>
    <t>Shop Duplex With Ground Floor</t>
  </si>
  <si>
    <t>Wing 2</t>
  </si>
  <si>
    <t>1BHK</t>
  </si>
  <si>
    <t>2BHK</t>
  </si>
  <si>
    <t>Ground Floor For Parking</t>
  </si>
  <si>
    <t>We considered Gross carpet area = Net carpet + Enclose balcony + Balcony</t>
  </si>
  <si>
    <t>S101</t>
  </si>
  <si>
    <t>S102 &amp; S103</t>
  </si>
  <si>
    <t>1st Floor For Commercial</t>
  </si>
  <si>
    <t>Office Duplex Wih 1st Floor</t>
  </si>
  <si>
    <t>S101a</t>
  </si>
  <si>
    <t>C101a</t>
  </si>
  <si>
    <t>C101b</t>
  </si>
  <si>
    <t>C102</t>
  </si>
  <si>
    <t>C104</t>
  </si>
  <si>
    <t>C103a</t>
  </si>
  <si>
    <t>C103b</t>
  </si>
  <si>
    <t>2nd Floor For Commercial</t>
  </si>
  <si>
    <t>C201a</t>
  </si>
  <si>
    <t>C201b</t>
  </si>
  <si>
    <t>C202</t>
  </si>
  <si>
    <t>C204</t>
  </si>
  <si>
    <t>C203a</t>
  </si>
  <si>
    <t>C203b</t>
  </si>
  <si>
    <t>Residential</t>
  </si>
  <si>
    <t>C301a to C501a</t>
  </si>
  <si>
    <t>C301b to C501b</t>
  </si>
  <si>
    <t>C302 to C502</t>
  </si>
  <si>
    <t>C303a to C503a</t>
  </si>
  <si>
    <t>C303b to C503b</t>
  </si>
  <si>
    <t>C304 to C504</t>
  </si>
  <si>
    <t>3rd to 5th Floor For Commercial</t>
  </si>
  <si>
    <t>`</t>
  </si>
  <si>
    <t>Commercial Area Details :Wing 1</t>
  </si>
  <si>
    <t>Offices</t>
  </si>
  <si>
    <t>Residential Area Details :Wing 2</t>
  </si>
  <si>
    <t>Flats</t>
  </si>
  <si>
    <t>1st to 7th Floor For Residential</t>
  </si>
  <si>
    <t>MNP/BV/EP/2021-2022/3536</t>
  </si>
  <si>
    <r>
      <t xml:space="preserve">Shop No.
</t>
    </r>
    <r>
      <rPr>
        <b/>
        <sz val="11"/>
        <color theme="1"/>
        <rFont val="Times New Roman"/>
        <family val="1"/>
      </rPr>
      <t>(Approved Plan)</t>
    </r>
  </si>
  <si>
    <t>Approved plan Shops Mismatch With Sale Plan</t>
  </si>
  <si>
    <t>Attached Otla area</t>
  </si>
  <si>
    <r>
      <t xml:space="preserve">Flat No.
</t>
    </r>
    <r>
      <rPr>
        <b/>
        <sz val="11"/>
        <color theme="1"/>
        <rFont val="Times New Roman"/>
        <family val="1"/>
      </rPr>
      <t>(Approved Plan)</t>
    </r>
  </si>
  <si>
    <t>(Wing 1 &amp; 2)</t>
  </si>
  <si>
    <t>Nomenclature for the project Astitwa
As per CC</t>
  </si>
  <si>
    <t>Nomenclature for the project Astitwa
(As per approved plan, Rera &amp; builder documents)</t>
  </si>
  <si>
    <t>Wing A &amp; Wing B</t>
  </si>
  <si>
    <t>S102a</t>
  </si>
  <si>
    <t>S103a</t>
  </si>
  <si>
    <t>S201</t>
  </si>
  <si>
    <t>S202</t>
  </si>
  <si>
    <t>Approved plan Mismatch With Sale Plan</t>
  </si>
  <si>
    <t xml:space="preserve">Due to </t>
  </si>
  <si>
    <t xml:space="preserve">We are unable to draft Unit No. S01 to S03, S101 to S103, &amp; S201 to S202 are because of they are mismatched with the sale plan.
</t>
  </si>
  <si>
    <t>As Approved plan builtup area matches with CC builtup area. So we have consider wing A = wing 1 &amp; wing B = wing 2.</t>
  </si>
  <si>
    <r>
      <t xml:space="preserve">Proposed Amenities :                                                                                                                                                                                                                         </t>
    </r>
    <r>
      <rPr>
        <b/>
        <sz val="12"/>
        <color theme="1"/>
        <rFont val="Times New Roman"/>
        <family val="1"/>
      </rPr>
      <t xml:space="preserve">                                               </t>
    </r>
  </si>
  <si>
    <t xml:space="preserve">CCTV, Vitrified tiles flooring, Granite Kitchen Platform, Decorative Enternace &amp; etc
</t>
  </si>
  <si>
    <t xml:space="preserve">Wing 1  = 1B + Gr + 1st to 5th Floor
Wing 2  = 1B + Gr + 1st to 7th Floor
</t>
  </si>
  <si>
    <t>Wing 2  = 1B + Gr + 1st to 7th Floor</t>
  </si>
  <si>
    <t>Wing 1  = 1B + Gr + 1st to 5th Floor</t>
  </si>
  <si>
    <t>Flats = 28, Shops = 4, Offices = 35</t>
  </si>
  <si>
    <t>Wing A = 1B + Gr + 1st to 5th Floor
Wing B = 1B + Gr + 1st to 7th Floor
(Total Builtup Area = 5970.49 Sq.M.)</t>
  </si>
  <si>
    <t>Nitesh patil</t>
  </si>
  <si>
    <t>10/07/2025.</t>
  </si>
  <si>
    <t>31/01/2022.</t>
  </si>
  <si>
    <t>Shruti Tathare</t>
  </si>
  <si>
    <t>has incresed as compare to last visited date 30/11/2024 but at the time of visit no labour or no active work found on site.</t>
  </si>
  <si>
    <t>Wing B = Construction work is same as visit dtd. 14/04/2025.
Wing A = Construction work not yet started.</t>
  </si>
  <si>
    <t>Mr. Durgesh 7499883819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</si>
</sst>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1">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26" xfId="0" applyFont="1" applyFill="1" applyBorder="1"/>
    <xf numFmtId="0" fontId="24" fillId="0" borderId="27" xfId="0" applyFont="1" applyBorder="1"/>
    <xf numFmtId="0" fontId="24" fillId="0" borderId="1" xfId="0" applyFont="1" applyBorder="1"/>
    <xf numFmtId="0" fontId="24" fillId="0" borderId="5" xfId="0" applyFont="1" applyBorder="1"/>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6" fillId="0" borderId="0" xfId="1" applyNumberFormat="1" applyFont="1" applyBorder="1" applyAlignment="1">
      <alignment horizontal="center" vertical="center"/>
    </xf>
    <xf numFmtId="0" fontId="6" fillId="0" borderId="7"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9" fillId="0" borderId="3" xfId="1" applyNumberFormat="1" applyFont="1" applyBorder="1" applyAlignment="1" applyProtection="1">
      <alignment horizontal="center" vertical="top" wrapText="1"/>
      <protection locked="0"/>
    </xf>
    <xf numFmtId="9" fontId="9" fillId="0" borderId="14" xfId="8" applyFont="1" applyFill="1" applyBorder="1" applyAlignment="1" applyProtection="1">
      <alignment horizontal="center" vertical="top" wrapText="1"/>
      <protection locked="0"/>
    </xf>
    <xf numFmtId="0" fontId="6" fillId="0" borderId="1" xfId="1" applyFont="1" applyBorder="1" applyAlignment="1">
      <alignment horizontal="center" vertical="center"/>
    </xf>
    <xf numFmtId="1" fontId="5" fillId="2" borderId="1" xfId="1" applyNumberFormat="1" applyFont="1" applyFill="1" applyBorder="1" applyAlignment="1" applyProtection="1">
      <alignment horizontal="center" vertical="center" wrapText="1"/>
      <protection locked="0"/>
    </xf>
    <xf numFmtId="1" fontId="6" fillId="2" borderId="1" xfId="1" applyNumberFormat="1" applyFont="1" applyFill="1" applyBorder="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23" fillId="2" borderId="13" xfId="0" applyFont="1" applyFill="1" applyBorder="1"/>
    <xf numFmtId="0" fontId="24" fillId="0" borderId="9" xfId="0" applyFont="1" applyBorder="1"/>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4"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19"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4" fontId="5" fillId="0" borderId="8"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6" fillId="0" borderId="21"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64" fontId="5" fillId="0" borderId="1" xfId="1" applyNumberFormat="1" applyFont="1" applyBorder="1" applyAlignment="1" applyProtection="1">
      <alignment horizontal="left" vertical="top"/>
      <protection locked="0"/>
    </xf>
    <xf numFmtId="0" fontId="9" fillId="0" borderId="28" xfId="1" applyFont="1" applyBorder="1" applyAlignment="1" applyProtection="1">
      <alignment horizontal="left" vertical="top" wrapText="1"/>
      <protection locked="0"/>
    </xf>
    <xf numFmtId="0" fontId="9" fillId="0" borderId="18" xfId="1" applyFont="1" applyBorder="1" applyAlignment="1" applyProtection="1">
      <alignment horizontal="left" vertical="top" wrapText="1"/>
      <protection locked="0"/>
    </xf>
    <xf numFmtId="9" fontId="6" fillId="0" borderId="15" xfId="8" applyFont="1" applyFill="1" applyBorder="1" applyAlignment="1" applyProtection="1">
      <alignment horizontal="center" vertical="center" wrapText="1"/>
      <protection locked="0"/>
    </xf>
    <xf numFmtId="9" fontId="6" fillId="0" borderId="16" xfId="8" applyFont="1" applyFill="1" applyBorder="1" applyAlignment="1" applyProtection="1">
      <alignment horizontal="center" vertical="center" wrapText="1"/>
      <protection locked="0"/>
    </xf>
    <xf numFmtId="9" fontId="6" fillId="0" borderId="21" xfId="8" applyFont="1" applyFill="1" applyBorder="1" applyAlignment="1" applyProtection="1">
      <alignment horizontal="center" vertical="center" wrapText="1"/>
      <protection locked="0"/>
    </xf>
    <xf numFmtId="9" fontId="6" fillId="0" borderId="22" xfId="8" applyFont="1" applyFill="1" applyBorder="1" applyAlignment="1" applyProtection="1">
      <alignment horizontal="center" vertical="center" wrapText="1"/>
      <protection locked="0"/>
    </xf>
    <xf numFmtId="9" fontId="6" fillId="0" borderId="24"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1" fontId="7" fillId="0" borderId="8" xfId="0" applyNumberFormat="1" applyFont="1" applyBorder="1" applyAlignment="1" applyProtection="1">
      <alignment vertical="top" wrapText="1"/>
      <protection locked="0"/>
    </xf>
    <xf numFmtId="1" fontId="7" fillId="0" borderId="19"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19"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9" fillId="0" borderId="8" xfId="0" applyNumberFormat="1" applyFont="1" applyBorder="1" applyAlignment="1" applyProtection="1">
      <alignment vertical="top" wrapText="1"/>
      <protection locked="0"/>
    </xf>
    <xf numFmtId="1" fontId="9" fillId="0" borderId="19"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19"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9" fillId="0" borderId="1" xfId="0" applyNumberFormat="1" applyFont="1" applyFill="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1" fontId="5" fillId="0" borderId="1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5" fillId="0" borderId="1" xfId="1" applyFont="1" applyFill="1" applyBorder="1" applyAlignment="1" applyProtection="1">
      <alignment horizontal="left" vertical="top"/>
      <protection locked="0"/>
    </xf>
    <xf numFmtId="0" fontId="6"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19"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9"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4"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6" fillId="0" borderId="15"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17"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1" fontId="29" fillId="0" borderId="1" xfId="1" applyNumberFormat="1" applyFont="1" applyBorder="1" applyAlignment="1" applyProtection="1">
      <alignment horizontal="center"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 fontId="29" fillId="0" borderId="3" xfId="1" applyNumberFormat="1" applyFont="1" applyBorder="1" applyAlignment="1" applyProtection="1">
      <alignment horizontal="center" vertical="top" wrapText="1"/>
      <protection locked="0"/>
    </xf>
    <xf numFmtId="1" fontId="29" fillId="0" borderId="14" xfId="1" applyNumberFormat="1" applyFont="1" applyBorder="1" applyAlignment="1" applyProtection="1">
      <alignment horizontal="center" vertical="top" wrapText="1"/>
      <protection locked="0"/>
    </xf>
    <xf numFmtId="0" fontId="9" fillId="0" borderId="8" xfId="1" applyFont="1" applyBorder="1" applyAlignment="1" applyProtection="1">
      <alignment horizontal="left" vertical="top"/>
      <protection locked="0"/>
    </xf>
    <xf numFmtId="0" fontId="9" fillId="0" borderId="19"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9" fillId="0" borderId="4"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9" fillId="0" borderId="17"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29" xfId="1" applyFont="1" applyBorder="1" applyAlignment="1" applyProtection="1">
      <alignment horizontal="lef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9" fontId="6" fillId="0" borderId="23"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7" fillId="0" borderId="14" xfId="1" applyFont="1" applyBorder="1" applyAlignment="1" applyProtection="1">
      <alignment horizontal="center" vertical="top"/>
      <protection locked="0"/>
    </xf>
    <xf numFmtId="0" fontId="7" fillId="0" borderId="14" xfId="1" applyFont="1" applyBorder="1" applyAlignment="1" applyProtection="1">
      <alignment horizontal="left" vertical="top"/>
      <protection locked="0"/>
    </xf>
    <xf numFmtId="167" fontId="6" fillId="0" borderId="1" xfId="9" applyNumberFormat="1"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6" fillId="2" borderId="15" xfId="1" applyNumberFormat="1" applyFont="1" applyFill="1" applyBorder="1" applyAlignment="1">
      <alignment horizontal="center" vertical="center"/>
    </xf>
    <xf numFmtId="1" fontId="6" fillId="2" borderId="20" xfId="1" applyNumberFormat="1" applyFont="1" applyFill="1" applyBorder="1" applyAlignment="1">
      <alignment horizontal="center" vertical="center"/>
    </xf>
    <xf numFmtId="1" fontId="6" fillId="2" borderId="16" xfId="1" applyNumberFormat="1" applyFont="1" applyFill="1" applyBorder="1" applyAlignment="1">
      <alignment horizontal="center" vertical="center"/>
    </xf>
    <xf numFmtId="1" fontId="6" fillId="2" borderId="17" xfId="1" applyNumberFormat="1" applyFont="1" applyFill="1" applyBorder="1" applyAlignment="1">
      <alignment horizontal="center" vertical="center"/>
    </xf>
    <xf numFmtId="1" fontId="6" fillId="2" borderId="2" xfId="1" applyNumberFormat="1" applyFont="1" applyFill="1" applyBorder="1" applyAlignment="1">
      <alignment horizontal="center" vertical="center"/>
    </xf>
    <xf numFmtId="1" fontId="6" fillId="2" borderId="18" xfId="1" applyNumberFormat="1" applyFont="1" applyFill="1" applyBorder="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9</xdr:col>
      <xdr:colOff>583923</xdr:colOff>
      <xdr:row>128</xdr:row>
      <xdr:rowOff>27748</xdr:rowOff>
    </xdr:from>
    <xdr:to>
      <xdr:col>14</xdr:col>
      <xdr:colOff>633939</xdr:colOff>
      <xdr:row>136</xdr:row>
      <xdr:rowOff>718989</xdr:rowOff>
    </xdr:to>
    <xdr:pic>
      <xdr:nvPicPr>
        <xdr:cNvPr id="2" name="Picture 1"/>
        <xdr:cNvPicPr>
          <a:picLocks noChangeAspect="1"/>
        </xdr:cNvPicPr>
      </xdr:nvPicPr>
      <xdr:blipFill>
        <a:blip xmlns:r="http://schemas.openxmlformats.org/officeDocument/2006/relationships" r:embed="rId1"/>
        <a:stretch>
          <a:fillRect/>
        </a:stretch>
      </xdr:blipFill>
      <xdr:spPr>
        <a:xfrm>
          <a:off x="8061048" y="27697873"/>
          <a:ext cx="4069566" cy="2862941"/>
        </a:xfrm>
        <a:prstGeom prst="rect">
          <a:avLst/>
        </a:prstGeom>
      </xdr:spPr>
    </xdr:pic>
    <xdr:clientData/>
  </xdr:twoCellAnchor>
  <xdr:twoCellAnchor>
    <xdr:from>
      <xdr:col>1</xdr:col>
      <xdr:colOff>209549</xdr:colOff>
      <xdr:row>289</xdr:row>
      <xdr:rowOff>171451</xdr:rowOff>
    </xdr:from>
    <xdr:to>
      <xdr:col>7</xdr:col>
      <xdr:colOff>0</xdr:colOff>
      <xdr:row>313</xdr:row>
      <xdr:rowOff>27973</xdr:rowOff>
    </xdr:to>
    <xdr:grpSp>
      <xdr:nvGrpSpPr>
        <xdr:cNvPr id="7" name="Group 6"/>
        <xdr:cNvGrpSpPr/>
      </xdr:nvGrpSpPr>
      <xdr:grpSpPr>
        <a:xfrm>
          <a:off x="971549" y="54825901"/>
          <a:ext cx="4610101" cy="4657122"/>
          <a:chOff x="971549" y="57330976"/>
          <a:chExt cx="4610101" cy="4657122"/>
        </a:xfrm>
      </xdr:grpSpPr>
      <xdr:pic>
        <xdr:nvPicPr>
          <xdr:cNvPr id="3" name="Picture 2"/>
          <xdr:cNvPicPr>
            <a:picLocks noChangeAspect="1"/>
          </xdr:cNvPicPr>
        </xdr:nvPicPr>
        <xdr:blipFill rotWithShape="1">
          <a:blip xmlns:r="http://schemas.openxmlformats.org/officeDocument/2006/relationships" r:embed="rId2"/>
          <a:srcRect l="3307" t="3360" r="2517"/>
          <a:stretch/>
        </xdr:blipFill>
        <xdr:spPr>
          <a:xfrm>
            <a:off x="971549" y="57330976"/>
            <a:ext cx="4610101" cy="4657122"/>
          </a:xfrm>
          <a:prstGeom prst="rect">
            <a:avLst/>
          </a:prstGeom>
          <a:ln>
            <a:solidFill>
              <a:sysClr val="windowText" lastClr="000000"/>
            </a:solidFill>
          </a:ln>
        </xdr:spPr>
      </xdr:pic>
      <xdr:cxnSp macro="">
        <xdr:nvCxnSpPr>
          <xdr:cNvPr id="5" name="Straight Arrow Connector 4"/>
          <xdr:cNvCxnSpPr/>
        </xdr:nvCxnSpPr>
        <xdr:spPr>
          <a:xfrm flipV="1">
            <a:off x="1200150" y="57912000"/>
            <a:ext cx="0" cy="4953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TextBox 5"/>
          <xdr:cNvSpPr txBox="1"/>
        </xdr:nvSpPr>
        <xdr:spPr>
          <a:xfrm>
            <a:off x="1028700" y="57511950"/>
            <a:ext cx="45720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solidFill>
                  <a:srgbClr val="FF0000"/>
                </a:solidFill>
              </a:rPr>
              <a:t>N</a:t>
            </a:r>
          </a:p>
        </xdr:txBody>
      </xdr:sp>
    </xdr:grpSp>
    <xdr:clientData/>
  </xdr:twoCellAnchor>
  <xdr:twoCellAnchor editAs="oneCell">
    <xdr:from>
      <xdr:col>1</xdr:col>
      <xdr:colOff>361950</xdr:colOff>
      <xdr:row>339</xdr:row>
      <xdr:rowOff>9525</xdr:rowOff>
    </xdr:from>
    <xdr:to>
      <xdr:col>6</xdr:col>
      <xdr:colOff>558484</xdr:colOff>
      <xdr:row>359</xdr:row>
      <xdr:rowOff>149024</xdr:rowOff>
    </xdr:to>
    <xdr:pic>
      <xdr:nvPicPr>
        <xdr:cNvPr id="8" name="Picture 7"/>
        <xdr:cNvPicPr>
          <a:picLocks noChangeAspect="1"/>
        </xdr:cNvPicPr>
      </xdr:nvPicPr>
      <xdr:blipFill>
        <a:blip xmlns:r="http://schemas.openxmlformats.org/officeDocument/2006/relationships" r:embed="rId3"/>
        <a:stretch>
          <a:fillRect/>
        </a:stretch>
      </xdr:blipFill>
      <xdr:spPr>
        <a:xfrm>
          <a:off x="1123950" y="67170300"/>
          <a:ext cx="4282759" cy="4140000"/>
        </a:xfrm>
        <a:prstGeom prst="rect">
          <a:avLst/>
        </a:prstGeom>
        <a:ln>
          <a:solidFill>
            <a:schemeClr val="tx1"/>
          </a:solidFill>
        </a:ln>
      </xdr:spPr>
    </xdr:pic>
    <xdr:clientData/>
  </xdr:twoCellAnchor>
  <xdr:twoCellAnchor editAs="oneCell">
    <xdr:from>
      <xdr:col>1</xdr:col>
      <xdr:colOff>603040</xdr:colOff>
      <xdr:row>320</xdr:row>
      <xdr:rowOff>66675</xdr:rowOff>
    </xdr:from>
    <xdr:to>
      <xdr:col>6</xdr:col>
      <xdr:colOff>265202</xdr:colOff>
      <xdr:row>338</xdr:row>
      <xdr:rowOff>66226</xdr:rowOff>
    </xdr:to>
    <xdr:pic>
      <xdr:nvPicPr>
        <xdr:cNvPr id="9" name="Picture 8"/>
        <xdr:cNvPicPr>
          <a:picLocks noChangeAspect="1"/>
        </xdr:cNvPicPr>
      </xdr:nvPicPr>
      <xdr:blipFill>
        <a:blip xmlns:r="http://schemas.openxmlformats.org/officeDocument/2006/relationships" r:embed="rId4"/>
        <a:stretch>
          <a:fillRect/>
        </a:stretch>
      </xdr:blipFill>
      <xdr:spPr>
        <a:xfrm>
          <a:off x="1365040" y="63426975"/>
          <a:ext cx="3748387" cy="3600000"/>
        </a:xfrm>
        <a:prstGeom prst="rect">
          <a:avLst/>
        </a:prstGeom>
        <a:ln>
          <a:solidFill>
            <a:schemeClr val="tx1"/>
          </a:solidFill>
        </a:ln>
      </xdr:spPr>
    </xdr:pic>
    <xdr:clientData/>
  </xdr:twoCellAnchor>
  <xdr:twoCellAnchor>
    <xdr:from>
      <xdr:col>3</xdr:col>
      <xdr:colOff>114300</xdr:colOff>
      <xdr:row>343</xdr:row>
      <xdr:rowOff>38100</xdr:rowOff>
    </xdr:from>
    <xdr:to>
      <xdr:col>5</xdr:col>
      <xdr:colOff>428625</xdr:colOff>
      <xdr:row>351</xdr:row>
      <xdr:rowOff>180975</xdr:rowOff>
    </xdr:to>
    <xdr:sp macro="" textlink="">
      <xdr:nvSpPr>
        <xdr:cNvPr id="15" name="Freeform 14"/>
        <xdr:cNvSpPr/>
      </xdr:nvSpPr>
      <xdr:spPr>
        <a:xfrm>
          <a:off x="2524125" y="67998975"/>
          <a:ext cx="2009775" cy="1743075"/>
        </a:xfrm>
        <a:custGeom>
          <a:avLst/>
          <a:gdLst>
            <a:gd name="connsiteX0" fmla="*/ 0 w 2009775"/>
            <a:gd name="connsiteY0" fmla="*/ 742950 h 1743075"/>
            <a:gd name="connsiteX1" fmla="*/ 57150 w 2009775"/>
            <a:gd name="connsiteY1" fmla="*/ 1743075 h 1743075"/>
            <a:gd name="connsiteX2" fmla="*/ 923925 w 2009775"/>
            <a:gd name="connsiteY2" fmla="*/ 1724025 h 1743075"/>
            <a:gd name="connsiteX3" fmla="*/ 790575 w 2009775"/>
            <a:gd name="connsiteY3" fmla="*/ 819150 h 1743075"/>
            <a:gd name="connsiteX4" fmla="*/ 2009775 w 2009775"/>
            <a:gd name="connsiteY4" fmla="*/ 628650 h 1743075"/>
            <a:gd name="connsiteX5" fmla="*/ 1866900 w 2009775"/>
            <a:gd name="connsiteY5" fmla="*/ 0 h 1743075"/>
            <a:gd name="connsiteX6" fmla="*/ 0 w 2009775"/>
            <a:gd name="connsiteY6" fmla="*/ 742950 h 1743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009775" h="1743075">
              <a:moveTo>
                <a:pt x="0" y="742950"/>
              </a:moveTo>
              <a:lnTo>
                <a:pt x="57150" y="1743075"/>
              </a:lnTo>
              <a:lnTo>
                <a:pt x="923925" y="1724025"/>
              </a:lnTo>
              <a:lnTo>
                <a:pt x="790575" y="819150"/>
              </a:lnTo>
              <a:lnTo>
                <a:pt x="2009775" y="628650"/>
              </a:lnTo>
              <a:lnTo>
                <a:pt x="1866900" y="0"/>
              </a:lnTo>
              <a:lnTo>
                <a:pt x="0" y="74295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8</xdr:col>
      <xdr:colOff>619953</xdr:colOff>
      <xdr:row>247</xdr:row>
      <xdr:rowOff>128794</xdr:rowOff>
    </xdr:from>
    <xdr:to>
      <xdr:col>9</xdr:col>
      <xdr:colOff>311425</xdr:colOff>
      <xdr:row>249</xdr:row>
      <xdr:rowOff>184702</xdr:rowOff>
    </xdr:to>
    <xdr:sp macro="" textlink="">
      <xdr:nvSpPr>
        <xdr:cNvPr id="23" name="TextBox 22"/>
        <xdr:cNvSpPr txBox="1"/>
      </xdr:nvSpPr>
      <xdr:spPr>
        <a:xfrm>
          <a:off x="6939583" y="46196664"/>
          <a:ext cx="851038" cy="445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Wing</a:t>
          </a:r>
          <a:r>
            <a:rPr lang="en-IN" sz="1800" b="1" baseline="0">
              <a:solidFill>
                <a:srgbClr val="FF0000"/>
              </a:solidFill>
            </a:rPr>
            <a:t> 1</a:t>
          </a:r>
          <a:endParaRPr lang="en-IN" sz="1800" b="1">
            <a:solidFill>
              <a:srgbClr val="FF0000"/>
            </a:solidFill>
          </a:endParaRPr>
        </a:p>
      </xdr:txBody>
    </xdr:sp>
    <xdr:clientData/>
  </xdr:twoCellAnchor>
  <xdr:twoCellAnchor>
    <xdr:from>
      <xdr:col>8</xdr:col>
      <xdr:colOff>429867</xdr:colOff>
      <xdr:row>240</xdr:row>
      <xdr:rowOff>100219</xdr:rowOff>
    </xdr:from>
    <xdr:to>
      <xdr:col>9</xdr:col>
      <xdr:colOff>120511</xdr:colOff>
      <xdr:row>242</xdr:row>
      <xdr:rowOff>147845</xdr:rowOff>
    </xdr:to>
    <xdr:sp macro="" textlink="">
      <xdr:nvSpPr>
        <xdr:cNvPr id="24" name="TextBox 23"/>
        <xdr:cNvSpPr txBox="1"/>
      </xdr:nvSpPr>
      <xdr:spPr>
        <a:xfrm>
          <a:off x="6749497" y="44577828"/>
          <a:ext cx="850210" cy="44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Wing</a:t>
          </a:r>
          <a:r>
            <a:rPr lang="en-IN" sz="1800" b="1" baseline="0">
              <a:solidFill>
                <a:srgbClr val="FF0000"/>
              </a:solidFill>
            </a:rPr>
            <a:t> 2</a:t>
          </a:r>
          <a:endParaRPr lang="en-IN" sz="1800" b="1">
            <a:solidFill>
              <a:srgbClr val="FF0000"/>
            </a:solidFill>
          </a:endParaRPr>
        </a:p>
      </xdr:txBody>
    </xdr:sp>
    <xdr:clientData/>
  </xdr:twoCellAnchor>
  <xdr:twoCellAnchor>
    <xdr:from>
      <xdr:col>8</xdr:col>
      <xdr:colOff>366920</xdr:colOff>
      <xdr:row>256</xdr:row>
      <xdr:rowOff>144945</xdr:rowOff>
    </xdr:from>
    <xdr:to>
      <xdr:col>9</xdr:col>
      <xdr:colOff>57564</xdr:colOff>
      <xdr:row>258</xdr:row>
      <xdr:rowOff>192570</xdr:rowOff>
    </xdr:to>
    <xdr:sp macro="" textlink="">
      <xdr:nvSpPr>
        <xdr:cNvPr id="31" name="TextBox 30"/>
        <xdr:cNvSpPr txBox="1"/>
      </xdr:nvSpPr>
      <xdr:spPr>
        <a:xfrm>
          <a:off x="6686550" y="47794793"/>
          <a:ext cx="850210" cy="445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Wing</a:t>
          </a:r>
          <a:r>
            <a:rPr lang="en-IN" sz="1800" b="1" baseline="0">
              <a:solidFill>
                <a:srgbClr val="FF0000"/>
              </a:solidFill>
            </a:rPr>
            <a:t> 2</a:t>
          </a:r>
          <a:endParaRPr lang="en-IN" sz="1800" b="1">
            <a:solidFill>
              <a:srgbClr val="FF0000"/>
            </a:solidFill>
          </a:endParaRPr>
        </a:p>
      </xdr:txBody>
    </xdr:sp>
    <xdr:clientData/>
  </xdr:twoCellAnchor>
  <xdr:twoCellAnchor>
    <xdr:from>
      <xdr:col>8</xdr:col>
      <xdr:colOff>560732</xdr:colOff>
      <xdr:row>243</xdr:row>
      <xdr:rowOff>123410</xdr:rowOff>
    </xdr:from>
    <xdr:to>
      <xdr:col>9</xdr:col>
      <xdr:colOff>251376</xdr:colOff>
      <xdr:row>245</xdr:row>
      <xdr:rowOff>171036</xdr:rowOff>
    </xdr:to>
    <xdr:sp macro="" textlink="">
      <xdr:nvSpPr>
        <xdr:cNvPr id="32" name="TextBox 31"/>
        <xdr:cNvSpPr txBox="1"/>
      </xdr:nvSpPr>
      <xdr:spPr>
        <a:xfrm>
          <a:off x="6880362" y="45197367"/>
          <a:ext cx="850210" cy="44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Wing</a:t>
          </a:r>
          <a:r>
            <a:rPr lang="en-IN" sz="1800" b="1" baseline="0">
              <a:solidFill>
                <a:srgbClr val="FF0000"/>
              </a:solidFill>
            </a:rPr>
            <a:t> 2</a:t>
          </a:r>
          <a:endParaRPr lang="en-IN" sz="1800" b="1">
            <a:solidFill>
              <a:srgbClr val="FF0000"/>
            </a:solidFill>
          </a:endParaRPr>
        </a:p>
      </xdr:txBody>
    </xdr:sp>
    <xdr:clientData/>
  </xdr:twoCellAnchor>
  <xdr:twoCellAnchor>
    <xdr:from>
      <xdr:col>0</xdr:col>
      <xdr:colOff>104775</xdr:colOff>
      <xdr:row>246</xdr:row>
      <xdr:rowOff>63500</xdr:rowOff>
    </xdr:from>
    <xdr:to>
      <xdr:col>7</xdr:col>
      <xdr:colOff>684972</xdr:colOff>
      <xdr:row>283</xdr:row>
      <xdr:rowOff>197850</xdr:rowOff>
    </xdr:to>
    <xdr:grpSp>
      <xdr:nvGrpSpPr>
        <xdr:cNvPr id="10" name="Group 9"/>
        <xdr:cNvGrpSpPr/>
      </xdr:nvGrpSpPr>
      <xdr:grpSpPr>
        <a:xfrm>
          <a:off x="104775" y="46126400"/>
          <a:ext cx="6161847" cy="7525750"/>
          <a:chOff x="104775" y="46297850"/>
          <a:chExt cx="6161847" cy="7525750"/>
        </a:xfrm>
      </xdr:grpSpPr>
      <xdr:pic>
        <xdr:nvPicPr>
          <xdr:cNvPr id="33" name="Picture 32" descr="https://vsjcllp.vsjadon.com/upload/insp-239990-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228975" y="5165407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9990-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04775" y="49298224"/>
            <a:ext cx="3038872" cy="228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9990-847.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524000" y="5166360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9990-88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067174" y="46301025"/>
            <a:ext cx="2182951" cy="2914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39990-88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04775" y="46297850"/>
            <a:ext cx="3880801" cy="2914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39990-84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27750" y="49305074"/>
            <a:ext cx="3038872" cy="228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H29omyQBew1PSwp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0"/>
  <sheetViews>
    <sheetView tabSelected="1" view="pageBreakPreview" zoomScaleNormal="100" zoomScaleSheetLayoutView="100" zoomScalePageLayoutView="85" workbookViewId="0">
      <selection activeCell="J10" sqref="J10"/>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2" t="s">
        <v>162</v>
      </c>
      <c r="B1" s="192"/>
      <c r="C1" s="192"/>
      <c r="D1" s="192"/>
      <c r="E1" s="192"/>
      <c r="F1" s="192"/>
      <c r="G1" s="192"/>
      <c r="H1" s="192"/>
    </row>
    <row r="2" spans="1:26" ht="16.5" customHeight="1" x14ac:dyDescent="0.25">
      <c r="A2" s="193" t="s">
        <v>0</v>
      </c>
      <c r="B2" s="193"/>
      <c r="C2" s="193"/>
      <c r="D2" s="193"/>
      <c r="E2" s="193"/>
      <c r="F2" s="193"/>
      <c r="G2" s="193"/>
      <c r="H2" s="193"/>
    </row>
    <row r="3" spans="1:26" x14ac:dyDescent="0.25">
      <c r="A3" s="132" t="s">
        <v>1</v>
      </c>
      <c r="B3" s="132"/>
      <c r="C3" s="132"/>
      <c r="D3" s="132"/>
      <c r="E3" s="132" t="str">
        <f ca="1">TEXT(TODAY(),"DD/MM/YYYY")</f>
        <v>11/07/2025</v>
      </c>
      <c r="F3" s="132"/>
      <c r="G3" s="132"/>
      <c r="H3" s="132"/>
      <c r="K3" s="51" t="s">
        <v>236</v>
      </c>
      <c r="L3" s="48" t="s">
        <v>234</v>
      </c>
      <c r="M3" s="48" t="s">
        <v>239</v>
      </c>
      <c r="N3" s="48" t="s">
        <v>237</v>
      </c>
      <c r="O3" s="48" t="s">
        <v>238</v>
      </c>
      <c r="P3" s="48" t="s">
        <v>240</v>
      </c>
    </row>
    <row r="4" spans="1:26" ht="15" customHeight="1" x14ac:dyDescent="0.25">
      <c r="A4" s="132" t="s">
        <v>233</v>
      </c>
      <c r="B4" s="132"/>
      <c r="C4" s="132"/>
      <c r="D4" s="132"/>
      <c r="E4" s="133" t="s">
        <v>234</v>
      </c>
      <c r="F4" s="133"/>
      <c r="G4" s="133"/>
      <c r="H4" s="133"/>
      <c r="K4" s="47" t="s">
        <v>235</v>
      </c>
      <c r="L4" s="48" t="s">
        <v>168</v>
      </c>
      <c r="M4" s="48" t="s">
        <v>244</v>
      </c>
      <c r="N4" s="48" t="s">
        <v>246</v>
      </c>
      <c r="O4" s="48" t="s">
        <v>248</v>
      </c>
      <c r="P4" s="48"/>
    </row>
    <row r="5" spans="1:26" ht="15" customHeight="1" x14ac:dyDescent="0.25">
      <c r="A5" s="132" t="s">
        <v>2</v>
      </c>
      <c r="B5" s="132"/>
      <c r="C5" s="132"/>
      <c r="D5" s="132"/>
      <c r="E5" s="133" t="s">
        <v>242</v>
      </c>
      <c r="F5" s="133"/>
      <c r="G5" s="133"/>
      <c r="H5" s="133"/>
      <c r="K5" s="47"/>
      <c r="L5" s="48" t="s">
        <v>241</v>
      </c>
      <c r="M5" s="48" t="s">
        <v>245</v>
      </c>
      <c r="N5" s="48" t="s">
        <v>247</v>
      </c>
      <c r="O5" s="48" t="s">
        <v>249</v>
      </c>
      <c r="P5" s="48"/>
    </row>
    <row r="6" spans="1:26" x14ac:dyDescent="0.25">
      <c r="A6" s="132" t="s">
        <v>3</v>
      </c>
      <c r="B6" s="132"/>
      <c r="C6" s="132"/>
      <c r="D6" s="132"/>
      <c r="E6" s="195" t="s">
        <v>436</v>
      </c>
      <c r="F6" s="132"/>
      <c r="G6" s="132"/>
      <c r="H6" s="132"/>
      <c r="K6" s="47"/>
      <c r="L6" s="48" t="s">
        <v>242</v>
      </c>
      <c r="M6" s="48"/>
      <c r="N6" s="48"/>
      <c r="O6" s="48" t="s">
        <v>250</v>
      </c>
      <c r="P6" s="48"/>
    </row>
    <row r="7" spans="1:26" ht="16.5" customHeight="1" x14ac:dyDescent="0.25">
      <c r="A7" s="132" t="s">
        <v>4</v>
      </c>
      <c r="B7" s="132"/>
      <c r="C7" s="132"/>
      <c r="D7" s="132"/>
      <c r="E7" s="131" t="s">
        <v>332</v>
      </c>
      <c r="F7" s="132"/>
      <c r="G7" s="132"/>
      <c r="H7" s="132"/>
      <c r="K7" s="47"/>
      <c r="L7" s="48" t="s">
        <v>243</v>
      </c>
      <c r="M7" s="48"/>
      <c r="N7" s="48"/>
      <c r="O7" s="48" t="s">
        <v>250</v>
      </c>
      <c r="P7" s="48"/>
    </row>
    <row r="8" spans="1:26" ht="15" customHeight="1" x14ac:dyDescent="0.25">
      <c r="A8" s="132" t="s">
        <v>5</v>
      </c>
      <c r="B8" s="132"/>
      <c r="C8" s="132"/>
      <c r="D8" s="132"/>
      <c r="E8" s="132" t="str">
        <f>E7</f>
        <v xml:space="preserve">Butala &amp; Shet Assiocates LLP
</v>
      </c>
      <c r="F8" s="132"/>
      <c r="G8" s="132"/>
      <c r="H8" s="132"/>
      <c r="K8" s="47"/>
      <c r="L8" s="48"/>
      <c r="M8" s="48"/>
      <c r="N8" s="48"/>
      <c r="O8" s="48" t="s">
        <v>251</v>
      </c>
      <c r="P8" s="48"/>
    </row>
    <row r="9" spans="1:26" x14ac:dyDescent="0.25">
      <c r="A9" s="132" t="s">
        <v>6</v>
      </c>
      <c r="B9" s="132"/>
      <c r="C9" s="132"/>
      <c r="D9" s="132"/>
      <c r="E9" s="194" t="s">
        <v>333</v>
      </c>
      <c r="F9" s="194"/>
      <c r="G9" s="194"/>
      <c r="H9" s="194"/>
      <c r="K9" s="47"/>
      <c r="L9" s="48"/>
      <c r="M9" s="48"/>
      <c r="N9" s="48"/>
      <c r="O9" s="48" t="s">
        <v>252</v>
      </c>
      <c r="P9" s="48"/>
    </row>
    <row r="10" spans="1:26" x14ac:dyDescent="0.25">
      <c r="A10" s="132" t="s">
        <v>165</v>
      </c>
      <c r="B10" s="132"/>
      <c r="C10" s="132"/>
      <c r="D10" s="132"/>
      <c r="E10" s="131" t="s">
        <v>334</v>
      </c>
      <c r="F10" s="132"/>
      <c r="G10" s="132"/>
      <c r="H10" s="132"/>
      <c r="K10" s="47"/>
      <c r="L10" s="48"/>
      <c r="M10" s="48"/>
      <c r="N10" s="48"/>
      <c r="O10" s="48"/>
      <c r="P10" s="48"/>
    </row>
    <row r="11" spans="1:26" x14ac:dyDescent="0.25">
      <c r="A11" s="132" t="s">
        <v>166</v>
      </c>
      <c r="B11" s="132"/>
      <c r="C11" s="132"/>
      <c r="D11" s="132"/>
      <c r="E11" s="131" t="s">
        <v>441</v>
      </c>
      <c r="F11" s="132"/>
      <c r="G11" s="132"/>
      <c r="H11" s="132"/>
    </row>
    <row r="12" spans="1:26" x14ac:dyDescent="0.25">
      <c r="A12" s="132" t="s">
        <v>7</v>
      </c>
      <c r="B12" s="132"/>
      <c r="C12" s="132"/>
      <c r="D12" s="132"/>
      <c r="E12" s="132" t="s">
        <v>335</v>
      </c>
      <c r="F12" s="132"/>
      <c r="G12" s="132"/>
      <c r="H12" s="132"/>
    </row>
    <row r="13" spans="1:26" x14ac:dyDescent="0.25">
      <c r="A13" s="132" t="s">
        <v>169</v>
      </c>
      <c r="B13" s="132"/>
      <c r="C13" s="132"/>
      <c r="D13" s="132"/>
      <c r="E13" s="132" t="s">
        <v>28</v>
      </c>
      <c r="F13" s="132"/>
      <c r="G13" s="132"/>
      <c r="H13" s="132"/>
      <c r="S13" s="48" t="s">
        <v>177</v>
      </c>
      <c r="T13" s="48" t="s">
        <v>187</v>
      </c>
      <c r="U13" s="48" t="s">
        <v>170</v>
      </c>
      <c r="V13" s="48" t="s">
        <v>192</v>
      </c>
      <c r="W13" s="48" t="s">
        <v>210</v>
      </c>
      <c r="X13"/>
      <c r="Y13" t="s">
        <v>192</v>
      </c>
      <c r="Z13" t="e">
        <f ca="1">OFFSET($S$13,1,MATCH($G20,$S$13:$W$13,0)-1,15,1)</f>
        <v>#VALUE!</v>
      </c>
    </row>
    <row r="14" spans="1:26" x14ac:dyDescent="0.25">
      <c r="A14" s="196" t="s">
        <v>279</v>
      </c>
      <c r="B14" s="196"/>
      <c r="C14" s="196"/>
      <c r="D14" s="196"/>
      <c r="E14" s="190" t="s">
        <v>226</v>
      </c>
      <c r="F14" s="190"/>
      <c r="G14" s="190"/>
      <c r="H14" s="190"/>
      <c r="S14" s="48" t="s">
        <v>178</v>
      </c>
      <c r="T14" s="48" t="s">
        <v>185</v>
      </c>
      <c r="U14" s="48" t="s">
        <v>207</v>
      </c>
      <c r="V14" s="48" t="s">
        <v>193</v>
      </c>
      <c r="W14" s="48" t="s">
        <v>211</v>
      </c>
      <c r="X14"/>
      <c r="Y14"/>
      <c r="Z14"/>
    </row>
    <row r="15" spans="1:26" x14ac:dyDescent="0.25">
      <c r="A15" s="145" t="s">
        <v>8</v>
      </c>
      <c r="B15" s="145"/>
      <c r="C15" s="145"/>
      <c r="D15" s="145"/>
      <c r="E15" s="190" t="s">
        <v>336</v>
      </c>
      <c r="F15" s="133"/>
      <c r="G15" s="133"/>
      <c r="H15" s="133"/>
      <c r="I15" s="140" t="e">
        <f ca="1">OFFSET($D$5,1,MATCH($J13,$D$5:$H$5,0)-1,15,1)</f>
        <v>#N/A</v>
      </c>
      <c r="J15" s="141"/>
      <c r="K15" s="141"/>
      <c r="L15" s="141"/>
      <c r="M15" s="141"/>
      <c r="N15" s="141"/>
      <c r="O15" s="141"/>
      <c r="P15" s="141"/>
      <c r="S15" s="48" t="s">
        <v>179</v>
      </c>
      <c r="T15" s="48" t="s">
        <v>186</v>
      </c>
      <c r="U15" s="48" t="s">
        <v>208</v>
      </c>
      <c r="V15" s="48" t="s">
        <v>194</v>
      </c>
      <c r="W15" s="48" t="s">
        <v>224</v>
      </c>
      <c r="X15"/>
      <c r="Y15"/>
      <c r="Z15"/>
    </row>
    <row r="16" spans="1:26" ht="32.25" customHeight="1" x14ac:dyDescent="0.25">
      <c r="A16" s="130" t="s">
        <v>9</v>
      </c>
      <c r="B16" s="130"/>
      <c r="C16" s="130" t="str">
        <f>CONCATENATE((IF(OR(E9="",E9="NA"),"",E9)),", ",(IF(OR(A17="",A17="NA"),"",A17)),".",(IF(OR(C17="",C17="NA"),"",C17)),", near ",(IF(OR(C22="",C22="NA"),"",C22)),", ",(IF(OR(C19="",C19="NA"),"",C19)),", ",(IF(OR(C18="",C18="NA"),"",C18)),", ",(IF(OR(G19="",G19="NA"),"",G19)),", ",(IF(OR(C20="",C20="NA"),"",C20)),", ",(IF(OR(C21="",C21="NA"),"",C21)),", ",(IF(OR(G20="",G20="NA"),"",G20))," - ",(IF(OR(G21="",G21="NA"),"",G21)),".")</f>
        <v>Astitwa, Plot No.115/9A/1, near Kalpadeep Building, Mumbai Goa Highway, Chambhar Khind, Mahad, Mahad, Mahad, Raigad - 402301.</v>
      </c>
      <c r="D16" s="130"/>
      <c r="E16" s="130"/>
      <c r="F16" s="130"/>
      <c r="G16" s="130"/>
      <c r="H16" s="130"/>
      <c r="S16" s="48" t="s">
        <v>180</v>
      </c>
      <c r="T16" s="48" t="s">
        <v>188</v>
      </c>
      <c r="U16" s="48" t="s">
        <v>209</v>
      </c>
      <c r="V16" s="48" t="s">
        <v>195</v>
      </c>
      <c r="W16" s="48" t="s">
        <v>212</v>
      </c>
      <c r="X16"/>
      <c r="Y16"/>
      <c r="Z16"/>
    </row>
    <row r="17" spans="1:26" x14ac:dyDescent="0.25">
      <c r="A17" s="190" t="s">
        <v>337</v>
      </c>
      <c r="B17" s="190"/>
      <c r="C17" s="190" t="s">
        <v>338</v>
      </c>
      <c r="D17" s="190"/>
      <c r="E17" s="190"/>
      <c r="F17" s="190"/>
      <c r="G17" s="190"/>
      <c r="H17" s="190"/>
      <c r="S17" s="48" t="s">
        <v>181</v>
      </c>
      <c r="T17" s="48" t="s">
        <v>189</v>
      </c>
      <c r="U17" s="48" t="s">
        <v>170</v>
      </c>
      <c r="V17" s="48" t="s">
        <v>196</v>
      </c>
      <c r="W17" s="48" t="s">
        <v>213</v>
      </c>
      <c r="X17"/>
      <c r="Y17"/>
      <c r="Z17"/>
    </row>
    <row r="18" spans="1:26" ht="15.75" customHeight="1" x14ac:dyDescent="0.25">
      <c r="A18" s="131" t="s">
        <v>160</v>
      </c>
      <c r="B18" s="131"/>
      <c r="C18" s="190" t="s">
        <v>340</v>
      </c>
      <c r="D18" s="190"/>
      <c r="E18" s="190"/>
      <c r="F18" s="190"/>
      <c r="G18" s="190"/>
      <c r="H18" s="190"/>
      <c r="S18" s="48" t="s">
        <v>182</v>
      </c>
      <c r="T18" s="48" t="s">
        <v>187</v>
      </c>
      <c r="U18" s="48"/>
      <c r="V18" s="48" t="s">
        <v>197</v>
      </c>
      <c r="W18" s="48" t="s">
        <v>214</v>
      </c>
      <c r="X18"/>
      <c r="Y18"/>
      <c r="Z18"/>
    </row>
    <row r="19" spans="1:26" ht="15.75" customHeight="1" x14ac:dyDescent="0.25">
      <c r="A19" s="130" t="s">
        <v>10</v>
      </c>
      <c r="B19" s="130"/>
      <c r="C19" s="133" t="s">
        <v>339</v>
      </c>
      <c r="D19" s="133"/>
      <c r="E19" s="190" t="s">
        <v>69</v>
      </c>
      <c r="F19" s="190"/>
      <c r="G19" s="190" t="s">
        <v>200</v>
      </c>
      <c r="H19" s="190"/>
      <c r="S19" s="48" t="s">
        <v>183</v>
      </c>
      <c r="T19" s="48" t="s">
        <v>190</v>
      </c>
      <c r="U19" s="48"/>
      <c r="V19" s="48" t="s">
        <v>198</v>
      </c>
      <c r="W19" s="48" t="s">
        <v>215</v>
      </c>
      <c r="X19"/>
      <c r="Y19"/>
      <c r="Z19"/>
    </row>
    <row r="20" spans="1:26" x14ac:dyDescent="0.25">
      <c r="A20" s="145" t="s">
        <v>12</v>
      </c>
      <c r="B20" s="145"/>
      <c r="C20" s="190" t="s">
        <v>200</v>
      </c>
      <c r="D20" s="190"/>
      <c r="E20" s="190" t="s">
        <v>11</v>
      </c>
      <c r="F20" s="190"/>
      <c r="G20" s="197" t="s">
        <v>192</v>
      </c>
      <c r="H20" s="197"/>
      <c r="S20" s="48" t="s">
        <v>184</v>
      </c>
      <c r="T20" s="48" t="s">
        <v>191</v>
      </c>
      <c r="U20" s="48"/>
      <c r="V20" s="48" t="s">
        <v>199</v>
      </c>
      <c r="W20" s="48" t="s">
        <v>216</v>
      </c>
      <c r="X20"/>
      <c r="Y20"/>
      <c r="Z20"/>
    </row>
    <row r="21" spans="1:26" x14ac:dyDescent="0.25">
      <c r="A21" s="145" t="s">
        <v>70</v>
      </c>
      <c r="B21" s="145"/>
      <c r="C21" s="190" t="s">
        <v>200</v>
      </c>
      <c r="D21" s="190"/>
      <c r="E21" s="190" t="s">
        <v>13</v>
      </c>
      <c r="F21" s="190"/>
      <c r="G21" s="190">
        <v>402301</v>
      </c>
      <c r="H21" s="190"/>
      <c r="S21" s="48"/>
      <c r="T21" s="48"/>
      <c r="U21" s="48"/>
      <c r="V21" s="48" t="s">
        <v>200</v>
      </c>
      <c r="W21" s="48" t="s">
        <v>217</v>
      </c>
      <c r="X21"/>
      <c r="Y21"/>
      <c r="Z21"/>
    </row>
    <row r="22" spans="1:26" ht="32.25" customHeight="1" x14ac:dyDescent="0.25">
      <c r="A22" s="145" t="s">
        <v>117</v>
      </c>
      <c r="B22" s="145"/>
      <c r="C22" s="190" t="s">
        <v>341</v>
      </c>
      <c r="D22" s="190"/>
      <c r="E22" s="190" t="s">
        <v>14</v>
      </c>
      <c r="F22" s="190"/>
      <c r="G22" s="190" t="s">
        <v>342</v>
      </c>
      <c r="H22" s="190"/>
      <c r="S22" s="48"/>
      <c r="T22" s="48"/>
      <c r="U22" s="48"/>
      <c r="V22" s="48" t="s">
        <v>201</v>
      </c>
      <c r="W22" s="48" t="s">
        <v>218</v>
      </c>
      <c r="X22"/>
      <c r="Y22"/>
      <c r="Z22"/>
    </row>
    <row r="23" spans="1:26" ht="15" customHeight="1" x14ac:dyDescent="0.25">
      <c r="A23" s="130" t="s">
        <v>71</v>
      </c>
      <c r="B23" s="130"/>
      <c r="C23" s="130"/>
      <c r="D23" s="130"/>
      <c r="E23" s="132" t="s">
        <v>15</v>
      </c>
      <c r="F23" s="132"/>
      <c r="G23" s="132"/>
      <c r="H23" s="132"/>
      <c r="S23" s="48"/>
      <c r="T23" s="48"/>
      <c r="U23" s="48"/>
      <c r="V23" s="48" t="s">
        <v>202</v>
      </c>
      <c r="W23" s="48" t="s">
        <v>219</v>
      </c>
      <c r="X23"/>
      <c r="Y23"/>
      <c r="Z23"/>
    </row>
    <row r="24" spans="1:26" ht="18.75" customHeight="1" x14ac:dyDescent="0.25">
      <c r="A24" s="130"/>
      <c r="B24" s="130"/>
      <c r="C24" s="130"/>
      <c r="D24" s="130"/>
      <c r="E24" s="132"/>
      <c r="F24" s="132"/>
      <c r="G24" s="132"/>
      <c r="H24" s="132"/>
      <c r="S24" s="48"/>
      <c r="T24" s="48"/>
      <c r="U24" s="48"/>
      <c r="V24" s="48" t="s">
        <v>203</v>
      </c>
      <c r="W24" s="48" t="s">
        <v>220</v>
      </c>
      <c r="X24"/>
      <c r="Y24"/>
      <c r="Z24"/>
    </row>
    <row r="25" spans="1:26" ht="15" customHeight="1" x14ac:dyDescent="0.25">
      <c r="A25" s="130" t="s">
        <v>16</v>
      </c>
      <c r="B25" s="130"/>
      <c r="C25" s="130"/>
      <c r="D25" s="130"/>
      <c r="E25" s="131" t="s">
        <v>17</v>
      </c>
      <c r="F25" s="131"/>
      <c r="G25" s="131"/>
      <c r="H25" s="131"/>
      <c r="S25" s="48"/>
      <c r="T25" s="48"/>
      <c r="U25" s="48"/>
      <c r="V25" s="48" t="s">
        <v>204</v>
      </c>
      <c r="W25" s="48" t="s">
        <v>221</v>
      </c>
      <c r="X25"/>
      <c r="Y25"/>
      <c r="Z25"/>
    </row>
    <row r="26" spans="1:26" ht="15" customHeight="1" x14ac:dyDescent="0.25">
      <c r="A26" s="145" t="s">
        <v>18</v>
      </c>
      <c r="B26" s="145"/>
      <c r="C26" s="145"/>
      <c r="D26" s="145"/>
      <c r="E26" s="131" t="str">
        <f>IF(AND(G20="Mumbai"),"Upper Class","Middle Class")</f>
        <v>Middle Class</v>
      </c>
      <c r="F26" s="131"/>
      <c r="G26" s="131"/>
      <c r="H26" s="131"/>
      <c r="S26" s="48"/>
      <c r="T26" s="48"/>
      <c r="U26" s="48"/>
      <c r="V26" s="48" t="s">
        <v>205</v>
      </c>
      <c r="W26" s="48" t="s">
        <v>222</v>
      </c>
      <c r="X26"/>
      <c r="Y26"/>
      <c r="Z26"/>
    </row>
    <row r="27" spans="1:26" x14ac:dyDescent="0.25">
      <c r="A27" s="145" t="s">
        <v>19</v>
      </c>
      <c r="B27" s="145"/>
      <c r="C27" s="145"/>
      <c r="D27" s="145"/>
      <c r="E27" s="131" t="s">
        <v>20</v>
      </c>
      <c r="F27" s="131"/>
      <c r="G27" s="131"/>
      <c r="H27" s="131"/>
      <c r="S27" s="48"/>
      <c r="T27" s="48"/>
      <c r="U27" s="48"/>
      <c r="V27" s="48" t="s">
        <v>206</v>
      </c>
      <c r="W27" s="48" t="s">
        <v>223</v>
      </c>
      <c r="X27"/>
      <c r="Y27"/>
      <c r="Z27"/>
    </row>
    <row r="28" spans="1:26" ht="15.75" customHeight="1" x14ac:dyDescent="0.25">
      <c r="A28" s="145" t="s">
        <v>21</v>
      </c>
      <c r="B28" s="145"/>
      <c r="C28" s="145"/>
      <c r="D28" s="145"/>
      <c r="E28" s="131" t="str">
        <f>IF(AND(G20="Mumbai"),"Developed","Developing")</f>
        <v>Developing</v>
      </c>
      <c r="F28" s="131"/>
      <c r="G28" s="131"/>
      <c r="H28" s="131"/>
    </row>
    <row r="29" spans="1:26" x14ac:dyDescent="0.25">
      <c r="A29" s="145" t="s">
        <v>22</v>
      </c>
      <c r="B29" s="145"/>
      <c r="C29" s="145"/>
      <c r="D29" s="145"/>
      <c r="E29" s="131" t="s">
        <v>23</v>
      </c>
      <c r="F29" s="131"/>
      <c r="G29" s="131"/>
      <c r="H29" s="131"/>
    </row>
    <row r="30" spans="1:26" ht="15.75" customHeight="1" x14ac:dyDescent="0.25">
      <c r="A30" s="145" t="s">
        <v>76</v>
      </c>
      <c r="B30" s="145"/>
      <c r="C30" s="145"/>
      <c r="D30" s="145"/>
      <c r="E30" s="131" t="s">
        <v>77</v>
      </c>
      <c r="F30" s="131"/>
      <c r="G30" s="131"/>
      <c r="H30" s="131"/>
    </row>
    <row r="31" spans="1:26" ht="15" customHeight="1" x14ac:dyDescent="0.25">
      <c r="A31" s="145" t="s">
        <v>30</v>
      </c>
      <c r="B31" s="145"/>
      <c r="C31" s="145"/>
      <c r="D31" s="145"/>
      <c r="E31" s="13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1"/>
      <c r="G31" s="131"/>
      <c r="H31" s="131"/>
    </row>
    <row r="32" spans="1:26" ht="15.75" customHeight="1" x14ac:dyDescent="0.25">
      <c r="A32" s="145" t="s">
        <v>88</v>
      </c>
      <c r="B32" s="145"/>
      <c r="C32" s="145"/>
      <c r="D32" s="145"/>
      <c r="E32" s="131" t="s">
        <v>31</v>
      </c>
      <c r="F32" s="131"/>
      <c r="G32" s="131"/>
      <c r="H32" s="131"/>
    </row>
    <row r="33" spans="1:19" s="19" customFormat="1" x14ac:dyDescent="0.25">
      <c r="A33" s="205" t="s">
        <v>89</v>
      </c>
      <c r="B33" s="205"/>
      <c r="C33" s="202" t="s">
        <v>171</v>
      </c>
      <c r="D33" s="203"/>
      <c r="E33" s="204"/>
      <c r="F33" s="202" t="s">
        <v>29</v>
      </c>
      <c r="G33" s="203"/>
      <c r="H33" s="204"/>
      <c r="S33" s="19" t="e">
        <f ca="1">OFFSET($S$13,1,MATCH($G20,$S$13:$W$13,0)-1,15,1)</f>
        <v>#VALUE!</v>
      </c>
    </row>
    <row r="34" spans="1:19" s="19" customFormat="1" x14ac:dyDescent="0.25">
      <c r="A34" s="198" t="s">
        <v>24</v>
      </c>
      <c r="B34" s="198" t="s">
        <v>28</v>
      </c>
      <c r="C34" s="199" t="s">
        <v>343</v>
      </c>
      <c r="D34" s="200"/>
      <c r="E34" s="201"/>
      <c r="F34" s="199" t="s">
        <v>347</v>
      </c>
      <c r="G34" s="200"/>
      <c r="H34" s="201"/>
    </row>
    <row r="35" spans="1:19" x14ac:dyDescent="0.25">
      <c r="A35" s="198" t="s">
        <v>25</v>
      </c>
      <c r="B35" s="198" t="s">
        <v>28</v>
      </c>
      <c r="C35" s="199" t="s">
        <v>343</v>
      </c>
      <c r="D35" s="200"/>
      <c r="E35" s="201"/>
      <c r="F35" s="199" t="s">
        <v>341</v>
      </c>
      <c r="G35" s="200"/>
      <c r="H35" s="201"/>
    </row>
    <row r="36" spans="1:19" s="19" customFormat="1" x14ac:dyDescent="0.25">
      <c r="A36" s="198" t="s">
        <v>27</v>
      </c>
      <c r="B36" s="198" t="s">
        <v>28</v>
      </c>
      <c r="C36" s="199" t="s">
        <v>343</v>
      </c>
      <c r="D36" s="200"/>
      <c r="E36" s="201"/>
      <c r="F36" s="199" t="s">
        <v>344</v>
      </c>
      <c r="G36" s="200"/>
      <c r="H36" s="201"/>
    </row>
    <row r="37" spans="1:19" x14ac:dyDescent="0.25">
      <c r="A37" s="198" t="s">
        <v>26</v>
      </c>
      <c r="B37" s="198" t="s">
        <v>28</v>
      </c>
      <c r="C37" s="199" t="s">
        <v>345</v>
      </c>
      <c r="D37" s="200"/>
      <c r="E37" s="201"/>
      <c r="F37" s="199" t="s">
        <v>346</v>
      </c>
      <c r="G37" s="200"/>
      <c r="H37" s="201"/>
    </row>
    <row r="38" spans="1:19" x14ac:dyDescent="0.25">
      <c r="A38" s="145" t="s">
        <v>280</v>
      </c>
      <c r="B38" s="145"/>
      <c r="C38" s="145"/>
      <c r="D38" s="145"/>
      <c r="E38" s="145"/>
      <c r="F38" s="145"/>
      <c r="G38" s="145"/>
      <c r="H38" s="145"/>
    </row>
    <row r="39" spans="1:19" ht="15.75" customHeight="1" x14ac:dyDescent="0.25">
      <c r="A39" s="145" t="s">
        <v>163</v>
      </c>
      <c r="B39" s="145"/>
      <c r="C39" s="207" t="s">
        <v>348</v>
      </c>
      <c r="D39" s="207"/>
      <c r="E39" s="207"/>
      <c r="F39" s="207"/>
      <c r="G39" s="207"/>
      <c r="H39" s="207"/>
    </row>
    <row r="40" spans="1:19" x14ac:dyDescent="0.25">
      <c r="A40" s="145" t="s">
        <v>159</v>
      </c>
      <c r="B40" s="145"/>
      <c r="C40" s="227" t="s">
        <v>349</v>
      </c>
      <c r="D40" s="131"/>
      <c r="E40" s="131"/>
      <c r="F40" s="131"/>
      <c r="G40" s="131"/>
      <c r="H40" s="131"/>
    </row>
    <row r="41" spans="1:19" x14ac:dyDescent="0.25">
      <c r="A41" s="207" t="s">
        <v>32</v>
      </c>
      <c r="B41" s="207"/>
      <c r="C41" s="207"/>
      <c r="D41" s="207"/>
      <c r="E41" s="207"/>
      <c r="F41" s="207"/>
      <c r="G41" s="207"/>
      <c r="H41" s="207"/>
    </row>
    <row r="42" spans="1:19" x14ac:dyDescent="0.25">
      <c r="A42" s="145" t="s">
        <v>33</v>
      </c>
      <c r="B42" s="145"/>
      <c r="C42" s="145"/>
      <c r="D42" s="145"/>
      <c r="E42" s="206">
        <v>2620</v>
      </c>
      <c r="F42" s="206"/>
      <c r="G42" s="206"/>
      <c r="H42" s="206"/>
    </row>
    <row r="43" spans="1:19" x14ac:dyDescent="0.25">
      <c r="A43" s="145" t="s">
        <v>34</v>
      </c>
      <c r="B43" s="145"/>
      <c r="C43" s="145"/>
      <c r="D43" s="145"/>
      <c r="E43" s="152">
        <f>2882/E42</f>
        <v>1.1000000000000001</v>
      </c>
      <c r="F43" s="152"/>
      <c r="G43" s="152"/>
      <c r="H43" s="152"/>
    </row>
    <row r="44" spans="1:19" x14ac:dyDescent="0.25">
      <c r="A44" s="145" t="s">
        <v>35</v>
      </c>
      <c r="B44" s="145"/>
      <c r="C44" s="145"/>
      <c r="D44" s="145"/>
      <c r="E44" s="152">
        <f>E46/E42-E43</f>
        <v>1.1788129770992364</v>
      </c>
      <c r="F44" s="152"/>
      <c r="G44" s="152"/>
      <c r="H44" s="152"/>
    </row>
    <row r="45" spans="1:19" x14ac:dyDescent="0.25">
      <c r="A45" s="145" t="s">
        <v>36</v>
      </c>
      <c r="B45" s="145"/>
      <c r="C45" s="145"/>
      <c r="D45" s="145"/>
      <c r="E45" s="152">
        <f>E43+E44</f>
        <v>2.2788129770992365</v>
      </c>
      <c r="F45" s="152"/>
      <c r="G45" s="152"/>
      <c r="H45" s="152"/>
    </row>
    <row r="46" spans="1:19" x14ac:dyDescent="0.25">
      <c r="A46" s="145" t="s">
        <v>87</v>
      </c>
      <c r="B46" s="145"/>
      <c r="C46" s="145"/>
      <c r="D46" s="145"/>
      <c r="E46" s="210">
        <v>5970.49</v>
      </c>
      <c r="F46" s="210"/>
      <c r="G46" s="210"/>
      <c r="H46" s="210"/>
    </row>
    <row r="47" spans="1:19" x14ac:dyDescent="0.25">
      <c r="A47" s="132" t="s">
        <v>37</v>
      </c>
      <c r="B47" s="132"/>
      <c r="C47" s="132"/>
      <c r="D47" s="132"/>
      <c r="E47" s="133" t="s">
        <v>350</v>
      </c>
      <c r="F47" s="133"/>
      <c r="G47" s="133"/>
      <c r="H47" s="133"/>
    </row>
    <row r="48" spans="1:19" x14ac:dyDescent="0.25">
      <c r="A48" s="207" t="s">
        <v>38</v>
      </c>
      <c r="B48" s="207"/>
      <c r="C48" s="207"/>
      <c r="D48" s="207"/>
      <c r="E48" s="207"/>
      <c r="F48" s="207"/>
      <c r="G48" s="207"/>
      <c r="H48" s="207"/>
    </row>
    <row r="49" spans="1:24" ht="33.75" customHeight="1" x14ac:dyDescent="0.25">
      <c r="A49" s="120" t="s">
        <v>149</v>
      </c>
      <c r="B49" s="121"/>
      <c r="C49" s="231" t="s">
        <v>351</v>
      </c>
      <c r="D49" s="232"/>
      <c r="E49" s="232"/>
      <c r="F49" s="232"/>
      <c r="G49" s="232"/>
      <c r="H49" s="233"/>
      <c r="R49" t="s">
        <v>253</v>
      </c>
      <c r="S49" t="s">
        <v>170</v>
      </c>
      <c r="T49" t="s">
        <v>177</v>
      </c>
      <c r="U49" t="s">
        <v>192</v>
      </c>
      <c r="V49" t="s">
        <v>187</v>
      </c>
    </row>
    <row r="50" spans="1:24" ht="33" customHeight="1" x14ac:dyDescent="0.25">
      <c r="A50" s="120" t="s">
        <v>39</v>
      </c>
      <c r="B50" s="121"/>
      <c r="C50" s="120" t="s">
        <v>352</v>
      </c>
      <c r="D50" s="122"/>
      <c r="E50" s="121"/>
      <c r="F50" s="15" t="s">
        <v>40</v>
      </c>
      <c r="G50" s="128" t="s">
        <v>437</v>
      </c>
      <c r="H50" s="121"/>
      <c r="R50"/>
      <c r="S50" t="s">
        <v>254</v>
      </c>
      <c r="T50" t="s">
        <v>259</v>
      </c>
      <c r="U50" t="s">
        <v>270</v>
      </c>
      <c r="V50" t="s">
        <v>275</v>
      </c>
    </row>
    <row r="51" spans="1:24" ht="32.25" customHeight="1" x14ac:dyDescent="0.25">
      <c r="A51" s="120" t="s">
        <v>41</v>
      </c>
      <c r="B51" s="121"/>
      <c r="C51" s="120" t="str">
        <f>C50</f>
        <v>MNP/BV/Building Permission/2021-2022/3536/2022</v>
      </c>
      <c r="D51" s="122"/>
      <c r="E51" s="121"/>
      <c r="F51" s="15" t="s">
        <v>40</v>
      </c>
      <c r="G51" s="128" t="s">
        <v>437</v>
      </c>
      <c r="H51" s="121"/>
      <c r="R51"/>
      <c r="S51" t="s">
        <v>255</v>
      </c>
      <c r="T51" t="s">
        <v>260</v>
      </c>
      <c r="U51" t="s">
        <v>268</v>
      </c>
      <c r="V51" t="s">
        <v>276</v>
      </c>
    </row>
    <row r="52" spans="1:24" s="20" customFormat="1" ht="15.75" customHeight="1" x14ac:dyDescent="0.25">
      <c r="A52" s="161" t="s">
        <v>153</v>
      </c>
      <c r="B52" s="162"/>
      <c r="C52" s="120" t="s">
        <v>411</v>
      </c>
      <c r="D52" s="122"/>
      <c r="E52" s="121"/>
      <c r="F52" s="15" t="s">
        <v>40</v>
      </c>
      <c r="G52" s="128" t="s">
        <v>437</v>
      </c>
      <c r="H52" s="121"/>
      <c r="R52"/>
      <c r="S52" t="s">
        <v>256</v>
      </c>
      <c r="T52" t="s">
        <v>261</v>
      </c>
      <c r="U52" t="s">
        <v>258</v>
      </c>
      <c r="V52" t="s">
        <v>277</v>
      </c>
    </row>
    <row r="53" spans="1:24" s="20" customFormat="1" ht="50.25" customHeight="1" x14ac:dyDescent="0.25">
      <c r="A53" s="163"/>
      <c r="B53" s="164"/>
      <c r="C53" s="120" t="s">
        <v>434</v>
      </c>
      <c r="D53" s="122"/>
      <c r="E53" s="122"/>
      <c r="F53" s="122"/>
      <c r="G53" s="122"/>
      <c r="H53" s="121"/>
      <c r="R53"/>
      <c r="S53" t="s">
        <v>257</v>
      </c>
      <c r="T53" t="s">
        <v>264</v>
      </c>
      <c r="U53" t="s">
        <v>271</v>
      </c>
    </row>
    <row r="54" spans="1:24" s="20" customFormat="1" hidden="1" x14ac:dyDescent="0.25">
      <c r="A54" s="136" t="s">
        <v>281</v>
      </c>
      <c r="B54" s="137"/>
      <c r="C54" s="120" t="str">
        <f>C53</f>
        <v>Wing A = 1B + Gr + 1st to 5th Floor
Wing B = 1B + Gr + 1st to 7th Floor
(Total Builtup Area = 5970.49 Sq.M.)</v>
      </c>
      <c r="D54" s="122"/>
      <c r="E54" s="121"/>
      <c r="F54" s="15" t="s">
        <v>40</v>
      </c>
      <c r="G54" s="120"/>
      <c r="H54" s="121"/>
      <c r="R54"/>
      <c r="S54" t="s">
        <v>256</v>
      </c>
      <c r="T54" t="s">
        <v>261</v>
      </c>
      <c r="U54" t="s">
        <v>258</v>
      </c>
      <c r="V54" t="s">
        <v>277</v>
      </c>
    </row>
    <row r="55" spans="1:24" s="20" customFormat="1" ht="32.25" hidden="1" customHeight="1" x14ac:dyDescent="0.25">
      <c r="A55" s="138"/>
      <c r="B55" s="139"/>
      <c r="C55" s="123"/>
      <c r="D55" s="124"/>
      <c r="E55" s="124"/>
      <c r="F55" s="124"/>
      <c r="G55" s="124"/>
      <c r="H55" s="125"/>
      <c r="R55"/>
      <c r="S55" t="s">
        <v>258</v>
      </c>
      <c r="T55" t="s">
        <v>262</v>
      </c>
      <c r="U55" t="s">
        <v>272</v>
      </c>
      <c r="V55" s="18"/>
      <c r="W55" s="18"/>
      <c r="X55" s="18"/>
    </row>
    <row r="56" spans="1:24" s="20" customFormat="1" ht="34.5" hidden="1" customHeight="1" x14ac:dyDescent="0.25">
      <c r="A56" s="136" t="s">
        <v>282</v>
      </c>
      <c r="B56" s="137"/>
      <c r="C56" s="120">
        <f>C55</f>
        <v>0</v>
      </c>
      <c r="D56" s="122"/>
      <c r="E56" s="121"/>
      <c r="F56" s="15" t="s">
        <v>40</v>
      </c>
      <c r="G56" s="120">
        <f>G55</f>
        <v>0</v>
      </c>
      <c r="H56" s="121"/>
      <c r="R56"/>
      <c r="S56" s="18"/>
      <c r="T56" t="s">
        <v>263</v>
      </c>
      <c r="U56" t="s">
        <v>273</v>
      </c>
      <c r="V56" s="18"/>
      <c r="W56" s="18"/>
      <c r="X56" s="18"/>
    </row>
    <row r="57" spans="1:24" s="20" customFormat="1" ht="41.25" hidden="1" customHeight="1" x14ac:dyDescent="0.25">
      <c r="A57" s="138"/>
      <c r="B57" s="139"/>
      <c r="C57" s="120"/>
      <c r="D57" s="122"/>
      <c r="E57" s="122"/>
      <c r="F57" s="122"/>
      <c r="G57" s="122"/>
      <c r="H57" s="121"/>
      <c r="R57"/>
      <c r="S57" s="18"/>
      <c r="T57" t="s">
        <v>265</v>
      </c>
      <c r="U57" t="s">
        <v>351</v>
      </c>
      <c r="V57" s="18"/>
      <c r="W57" s="18"/>
      <c r="X57" s="18"/>
    </row>
    <row r="58" spans="1:24" s="20" customFormat="1" ht="15.75" hidden="1" customHeight="1" x14ac:dyDescent="0.25">
      <c r="A58" s="136" t="s">
        <v>283</v>
      </c>
      <c r="B58" s="137"/>
      <c r="C58" s="120">
        <f>C57</f>
        <v>0</v>
      </c>
      <c r="D58" s="122"/>
      <c r="E58" s="121"/>
      <c r="F58" s="15" t="s">
        <v>40</v>
      </c>
      <c r="G58" s="120">
        <f>G57</f>
        <v>0</v>
      </c>
      <c r="H58" s="121"/>
      <c r="R58"/>
      <c r="S58" s="18"/>
      <c r="T58" t="s">
        <v>266</v>
      </c>
      <c r="U58" s="18" t="s">
        <v>297</v>
      </c>
      <c r="V58" s="18"/>
      <c r="W58" s="18"/>
      <c r="X58" s="18"/>
    </row>
    <row r="59" spans="1:24" s="20" customFormat="1" ht="33.75" hidden="1" customHeight="1" x14ac:dyDescent="0.25">
      <c r="A59" s="138"/>
      <c r="B59" s="139"/>
      <c r="C59" s="120"/>
      <c r="D59" s="122"/>
      <c r="E59" s="122"/>
      <c r="F59" s="122"/>
      <c r="G59" s="122"/>
      <c r="H59" s="121"/>
      <c r="R59"/>
      <c r="S59" s="18"/>
      <c r="T59" t="s">
        <v>267</v>
      </c>
      <c r="U59" s="18"/>
      <c r="V59" s="18"/>
      <c r="W59" s="18"/>
      <c r="X59" s="18"/>
    </row>
    <row r="60" spans="1:24" x14ac:dyDescent="0.25">
      <c r="A60" s="146" t="s">
        <v>42</v>
      </c>
      <c r="B60" s="147"/>
      <c r="C60" s="146" t="s">
        <v>101</v>
      </c>
      <c r="D60" s="148"/>
      <c r="E60" s="147"/>
      <c r="F60" s="40" t="s">
        <v>40</v>
      </c>
      <c r="G60" s="134" t="s">
        <v>28</v>
      </c>
      <c r="H60" s="135"/>
      <c r="R60"/>
      <c r="T60" t="s">
        <v>269</v>
      </c>
    </row>
    <row r="61" spans="1:24" x14ac:dyDescent="0.25">
      <c r="A61" s="129" t="s">
        <v>44</v>
      </c>
      <c r="B61" s="129"/>
      <c r="C61" s="129"/>
      <c r="D61" s="129"/>
      <c r="E61" s="129"/>
      <c r="F61" s="129"/>
      <c r="G61" s="129"/>
      <c r="H61" s="129"/>
      <c r="T61" t="s">
        <v>278</v>
      </c>
    </row>
    <row r="62" spans="1:24" x14ac:dyDescent="0.25">
      <c r="A62" s="130" t="s">
        <v>86</v>
      </c>
      <c r="B62" s="130"/>
      <c r="C62" s="130"/>
      <c r="D62" s="145">
        <f>E46</f>
        <v>5970.49</v>
      </c>
      <c r="E62" s="145"/>
      <c r="F62" s="145"/>
      <c r="G62" s="145"/>
      <c r="H62" s="145"/>
      <c r="R62"/>
    </row>
    <row r="63" spans="1:24" x14ac:dyDescent="0.25">
      <c r="A63" s="131" t="s">
        <v>45</v>
      </c>
      <c r="B63" s="132"/>
      <c r="C63" s="132"/>
      <c r="D63" s="133" t="s">
        <v>433</v>
      </c>
      <c r="E63" s="133"/>
      <c r="F63" s="133"/>
      <c r="G63" s="133"/>
      <c r="H63" s="133"/>
      <c r="I63" s="21"/>
      <c r="R63"/>
    </row>
    <row r="64" spans="1:24" ht="33.75" customHeight="1" x14ac:dyDescent="0.25">
      <c r="A64" s="211" t="s">
        <v>46</v>
      </c>
      <c r="B64" s="212"/>
      <c r="C64" s="224"/>
      <c r="D64" s="222" t="s">
        <v>430</v>
      </c>
      <c r="E64" s="223"/>
      <c r="F64" s="223"/>
      <c r="G64" s="223"/>
      <c r="H64" s="223"/>
      <c r="R64"/>
    </row>
    <row r="65" spans="1:19" ht="15.75" customHeight="1" x14ac:dyDescent="0.25">
      <c r="A65" s="211" t="s">
        <v>84</v>
      </c>
      <c r="B65" s="212"/>
      <c r="C65" s="212"/>
      <c r="D65" s="215" t="s">
        <v>432</v>
      </c>
      <c r="E65" s="216"/>
      <c r="F65" s="216"/>
      <c r="G65" s="216"/>
      <c r="H65" s="216"/>
      <c r="R65"/>
    </row>
    <row r="66" spans="1:19" ht="15.75" customHeight="1" x14ac:dyDescent="0.25">
      <c r="A66" s="213"/>
      <c r="B66" s="214"/>
      <c r="C66" s="214"/>
      <c r="D66" s="217" t="s">
        <v>431</v>
      </c>
      <c r="E66" s="218"/>
      <c r="F66" s="218"/>
      <c r="G66" s="218"/>
      <c r="H66" s="219"/>
      <c r="R66"/>
    </row>
    <row r="67" spans="1:19" ht="15.75" customHeight="1" x14ac:dyDescent="0.25">
      <c r="A67" s="145" t="s">
        <v>43</v>
      </c>
      <c r="B67" s="145"/>
      <c r="C67" s="145"/>
      <c r="D67" s="208" t="s">
        <v>353</v>
      </c>
      <c r="E67" s="208"/>
      <c r="F67" s="208"/>
      <c r="G67" s="208"/>
      <c r="H67" s="208"/>
      <c r="J67" s="22"/>
      <c r="K67" s="21"/>
      <c r="N67" s="21"/>
      <c r="S67"/>
    </row>
    <row r="68" spans="1:19" ht="15.75" customHeight="1" x14ac:dyDescent="0.25">
      <c r="A68" s="145" t="s">
        <v>82</v>
      </c>
      <c r="B68" s="145"/>
      <c r="C68" s="145"/>
      <c r="D68" s="209" t="str">
        <f>(IF(G60="NA","60 Years After Completion",IF(G60&lt;&gt;"NA",""&amp;60-ROUNDDOWN((E3-G60)/360,0)&amp;" Years"," ")))</f>
        <v>60 Years After Completion</v>
      </c>
      <c r="E68" s="209"/>
      <c r="F68" s="209"/>
      <c r="G68" s="209"/>
      <c r="H68" s="209"/>
      <c r="N68" s="21"/>
      <c r="S68"/>
    </row>
    <row r="69" spans="1:19" ht="15.75" customHeight="1" x14ac:dyDescent="0.25">
      <c r="A69" s="145" t="s">
        <v>83</v>
      </c>
      <c r="B69" s="145"/>
      <c r="C69" s="145"/>
      <c r="D69" s="130" t="s">
        <v>23</v>
      </c>
      <c r="E69" s="130"/>
      <c r="F69" s="130"/>
      <c r="G69" s="130"/>
      <c r="H69" s="130"/>
      <c r="J69" s="23"/>
      <c r="K69" s="23"/>
      <c r="S69"/>
    </row>
    <row r="70" spans="1:19" ht="33.75" customHeight="1" x14ac:dyDescent="0.25">
      <c r="A70" s="189" t="s">
        <v>428</v>
      </c>
      <c r="B70" s="189"/>
      <c r="C70" s="189"/>
      <c r="D70" s="190" t="s">
        <v>429</v>
      </c>
      <c r="E70" s="190"/>
      <c r="F70" s="190"/>
      <c r="G70" s="190"/>
      <c r="H70" s="190"/>
      <c r="S70"/>
    </row>
    <row r="71" spans="1:19" x14ac:dyDescent="0.25">
      <c r="A71" s="130" t="s">
        <v>145</v>
      </c>
      <c r="B71" s="130"/>
      <c r="C71" s="130"/>
      <c r="D71" s="130" t="s">
        <v>28</v>
      </c>
      <c r="E71" s="130"/>
      <c r="F71" s="130"/>
      <c r="G71" s="130"/>
      <c r="H71" s="130"/>
      <c r="I71" s="24"/>
      <c r="J71" s="24"/>
      <c r="K71" s="24"/>
      <c r="L71" s="24"/>
      <c r="M71" s="24"/>
      <c r="N71" s="24"/>
    </row>
    <row r="72" spans="1:19" ht="15.75" customHeight="1" x14ac:dyDescent="0.25">
      <c r="A72" s="145" t="s">
        <v>81</v>
      </c>
      <c r="B72" s="145"/>
      <c r="C72" s="145"/>
      <c r="D72" s="131" t="str">
        <f ca="1">(IF(G92&gt;95%,"Nothing",IF(G92&gt;0%,"Cement, Aggregate, Steel, etc",IF(G92=0%,"Work not yet Started"))))</f>
        <v>Cement, Aggregate, Steel, etc</v>
      </c>
      <c r="E72" s="131"/>
      <c r="F72" s="131"/>
      <c r="G72" s="131"/>
      <c r="H72" s="131"/>
      <c r="J72" s="23"/>
      <c r="S72"/>
    </row>
    <row r="73" spans="1:19" ht="33.75" customHeight="1" thickBot="1" x14ac:dyDescent="0.3">
      <c r="A73" s="130" t="s">
        <v>114</v>
      </c>
      <c r="B73" s="130"/>
      <c r="C73" s="130"/>
      <c r="D73" s="131" t="str">
        <f ca="1">(IF(D72="Nothing","Yes",IF(D72="Cement, Aggregate, Steel, etc","Under Construction",IF(D72="Work not yet Started","Work not yet Started"))))</f>
        <v>Under Construction</v>
      </c>
      <c r="E73" s="131"/>
      <c r="F73" s="131" t="str">
        <f ca="1">(IF(D72="Nothing","Yes",IF(D72="Cement, Aggregate, Steel, etc","Under Construction",IF(D72="Work not yet Started","Work not yet Started"))))</f>
        <v>Under Construction</v>
      </c>
      <c r="G73" s="131"/>
      <c r="H73" s="131"/>
      <c r="S73"/>
    </row>
    <row r="74" spans="1:19" ht="15.75" customHeight="1" x14ac:dyDescent="0.25">
      <c r="A74" s="188" t="s">
        <v>135</v>
      </c>
      <c r="B74" s="188"/>
      <c r="C74" s="188" t="str">
        <f>D65</f>
        <v>Wing 1  = 1B + Gr + 1st to 5th Floor</v>
      </c>
      <c r="D74" s="188"/>
      <c r="E74" s="188"/>
      <c r="F74" s="188"/>
      <c r="G74" s="188"/>
      <c r="H74" s="188"/>
      <c r="I74" s="94" t="str">
        <f ca="1">IF(D87=100%,"All work Completed. Possession granted to the Building.",IF(D86=100%,"All work Completed, Waiting for OC",I75&amp;""&amp;I76&amp;""&amp;J75&amp;""&amp;J74&amp;" "&amp;J76))</f>
        <v xml:space="preserve">Work not yet Started. </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89" t="s">
        <v>137</v>
      </c>
      <c r="B75" s="89">
        <f>IF(AND(ISNUMBER(SEARCH("1B",C74))),1,IF(AND(ISNUMBER(SEARCH("2B",C74))),2,IF(AND(ISNUMBER(SEARCH("3B",C74))),3,IF(AND(ISNUMBER(SEARCH("4B",C74))),4,IF(ISNUMBER(SEARCH("5B",C74)),5,0)))))</f>
        <v>1</v>
      </c>
      <c r="C75" s="89" t="s">
        <v>68</v>
      </c>
      <c r="D75" s="89">
        <v>1</v>
      </c>
      <c r="E75" s="89" t="s">
        <v>67</v>
      </c>
      <c r="F75" s="89">
        <v>0</v>
      </c>
      <c r="G75" s="89" t="s">
        <v>75</v>
      </c>
      <c r="H75" s="89">
        <f ca="1">--TRIM(RIGHT(SUBSTITUTE(LEFT(C74,_xlfn.AGGREGATE(16,6,FIND({0,1,2,3,4,5,6,7,8,9},C74,ROW(INDIRECT("1:"&amp;LEN(C74)))),1))," ",REPT(" ",LEN(C74))),LEN(C74)))</f>
        <v>5</v>
      </c>
      <c r="I75" s="95" t="str">
        <f ca="1">IF(D78=100%,"Excavation","")&amp;IF(D79=100%,", Plinth","")&amp;IF(D80=100%,", RCC Slab","")&amp;IF(D81=100%,", Brickwork","")&amp;IF(D82=100%,", Internal Plaster","")&amp;IF(D83=100%,", External Plaster","")&amp;IF(D84=100%,", Flooring","")&amp;IF(D85=100%,", Painting","")&amp;IF(D86=100%,", Building common Amenities","")</f>
        <v/>
      </c>
      <c r="J75" s="45" t="str">
        <f>(IF(C78=0,"Work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Work not yet Started.</v>
      </c>
      <c r="S75"/>
    </row>
    <row r="76" spans="1:19" x14ac:dyDescent="0.25">
      <c r="A76" s="191" t="s">
        <v>85</v>
      </c>
      <c r="B76" s="191"/>
      <c r="C76" s="188" t="str">
        <f ca="1">I74</f>
        <v xml:space="preserve">Work not yet Started. </v>
      </c>
      <c r="D76" s="188"/>
      <c r="E76" s="188"/>
      <c r="F76" s="188"/>
      <c r="G76" s="188"/>
      <c r="H76" s="188"/>
      <c r="I76" s="95" t="str">
        <f ca="1">IF(I75&lt;&gt;""," Completed","")</f>
        <v/>
      </c>
      <c r="J76" s="45" t="str">
        <f ca="1">IF(J74&lt;&gt;"","Completed","")</f>
        <v/>
      </c>
      <c r="S76"/>
    </row>
    <row r="77" spans="1:19" ht="15.75" customHeight="1" x14ac:dyDescent="0.25">
      <c r="A77" s="119" t="s">
        <v>47</v>
      </c>
      <c r="B77" s="119"/>
      <c r="C77" s="93" t="s">
        <v>134</v>
      </c>
      <c r="D77" s="93" t="s">
        <v>78</v>
      </c>
      <c r="E77" s="119" t="s">
        <v>80</v>
      </c>
      <c r="F77" s="119"/>
      <c r="G77" s="119" t="s">
        <v>79</v>
      </c>
      <c r="H77" s="119"/>
      <c r="I77" s="13" t="s">
        <v>136</v>
      </c>
      <c r="J77" s="25">
        <f ca="1">H75*25%</f>
        <v>1.25</v>
      </c>
      <c r="S77"/>
    </row>
    <row r="78" spans="1:19" x14ac:dyDescent="0.25">
      <c r="A78" s="119" t="s">
        <v>123</v>
      </c>
      <c r="B78" s="119"/>
      <c r="C78" s="93">
        <v>0</v>
      </c>
      <c r="D78" s="16">
        <f ca="1">((100/H75)*C78)/100</f>
        <v>0</v>
      </c>
      <c r="E78" s="226">
        <f ca="1">(((C79/H75*10)+(40/(D75+F75+H75)*C80)+(7.5/(H75)*C81)+(7.5/(H75)*C82)+(10/H75*C83)+(10/H75*C84)+(5/H75*C85)+(5/H75*C86)+(5/H75*C87))/100)</f>
        <v>0</v>
      </c>
      <c r="F78" s="226"/>
      <c r="G78" s="226">
        <f ca="1">((((C78/H75)*20)+((C79/H75)*25)+(30/(H75+F75+D75)*C80)+(5/H75*C81)+(5/H75*C82)+(5/H75*C83)+(5/H75*C84)+(0/H75*C85)+(0/H75*C86)+(5/H75*C87))/100)</f>
        <v>0</v>
      </c>
      <c r="H78" s="226"/>
      <c r="I78" s="13" t="s">
        <v>96</v>
      </c>
      <c r="J78" s="26">
        <f ca="1">H75*50%</f>
        <v>2.5</v>
      </c>
    </row>
    <row r="79" spans="1:19" x14ac:dyDescent="0.25">
      <c r="A79" s="119" t="s">
        <v>48</v>
      </c>
      <c r="B79" s="119"/>
      <c r="C79" s="93">
        <v>0</v>
      </c>
      <c r="D79" s="16">
        <f ca="1">((100/H75)*C79)/100</f>
        <v>0</v>
      </c>
      <c r="E79" s="226"/>
      <c r="F79" s="226"/>
      <c r="G79" s="226"/>
      <c r="H79" s="226"/>
      <c r="I79" s="13" t="s">
        <v>97</v>
      </c>
      <c r="J79" s="26">
        <f ca="1">H75</f>
        <v>5</v>
      </c>
      <c r="S79"/>
    </row>
    <row r="80" spans="1:19" ht="15.75" customHeight="1" x14ac:dyDescent="0.25">
      <c r="A80" s="119" t="s">
        <v>124</v>
      </c>
      <c r="B80" s="119"/>
      <c r="C80" s="93">
        <v>0</v>
      </c>
      <c r="D80" s="16">
        <f ca="1">((100/(D75+F75+H75))*C80)/100</f>
        <v>0</v>
      </c>
      <c r="E80" s="226"/>
      <c r="F80" s="226"/>
      <c r="G80" s="226"/>
      <c r="H80" s="226"/>
      <c r="I80" s="13" t="s">
        <v>98</v>
      </c>
      <c r="J80" s="27">
        <f ca="1">(IF(B75&gt;1,(H75/(B75+2)),H75/4))</f>
        <v>1.25</v>
      </c>
      <c r="S80"/>
    </row>
    <row r="81" spans="1:10" ht="15.75" customHeight="1" x14ac:dyDescent="0.25">
      <c r="A81" s="119" t="s">
        <v>131</v>
      </c>
      <c r="B81" s="119" t="s">
        <v>125</v>
      </c>
      <c r="C81" s="93">
        <v>0</v>
      </c>
      <c r="D81" s="16">
        <f ca="1">((100/H75)*C81)/100</f>
        <v>0</v>
      </c>
      <c r="E81" s="226"/>
      <c r="F81" s="226"/>
      <c r="G81" s="226"/>
      <c r="H81" s="226"/>
      <c r="I81" s="13" t="s">
        <v>99</v>
      </c>
      <c r="J81" s="27">
        <f ca="1">(IF(B75&gt;1,(H75/(B75+2)+J80),H75/4+J80))</f>
        <v>2.5</v>
      </c>
    </row>
    <row r="82" spans="1:10" ht="15.75" customHeight="1" x14ac:dyDescent="0.25">
      <c r="A82" s="119" t="s">
        <v>132</v>
      </c>
      <c r="B82" s="119" t="s">
        <v>125</v>
      </c>
      <c r="C82" s="93">
        <v>0</v>
      </c>
      <c r="D82" s="16">
        <f ca="1">((100/H75)*C82)/100</f>
        <v>0</v>
      </c>
      <c r="E82" s="226"/>
      <c r="F82" s="226"/>
      <c r="G82" s="226"/>
      <c r="H82" s="226"/>
      <c r="I82" s="13" t="s">
        <v>143</v>
      </c>
      <c r="J82" s="27">
        <f>(IF(B75&gt;1,(H75/(B75+2)+J81),0))</f>
        <v>0</v>
      </c>
    </row>
    <row r="83" spans="1:10" ht="15" customHeight="1" x14ac:dyDescent="0.25">
      <c r="A83" s="119" t="s">
        <v>130</v>
      </c>
      <c r="B83" s="119" t="s">
        <v>127</v>
      </c>
      <c r="C83" s="93">
        <v>0</v>
      </c>
      <c r="D83" s="16">
        <f ca="1">((100/(H75))*C83)/100</f>
        <v>0</v>
      </c>
      <c r="E83" s="226"/>
      <c r="F83" s="226"/>
      <c r="G83" s="226"/>
      <c r="H83" s="226"/>
      <c r="I83" s="13" t="s">
        <v>138</v>
      </c>
      <c r="J83" s="27">
        <f>(IF(B75&gt;2,(H75/(B75+2)+J82),0))</f>
        <v>0</v>
      </c>
    </row>
    <row r="84" spans="1:10" ht="15.75" customHeight="1" x14ac:dyDescent="0.25">
      <c r="A84" s="119" t="s">
        <v>126</v>
      </c>
      <c r="B84" s="119" t="s">
        <v>126</v>
      </c>
      <c r="C84" s="93">
        <v>0</v>
      </c>
      <c r="D84" s="16">
        <f ca="1">((100/H75)*C84)/100</f>
        <v>0</v>
      </c>
      <c r="E84" s="226"/>
      <c r="F84" s="226"/>
      <c r="G84" s="226"/>
      <c r="H84" s="226"/>
      <c r="I84" s="13" t="s">
        <v>139</v>
      </c>
      <c r="J84" s="28">
        <f>(IF(B75&gt;3,(H75/(B75+2)+J83),0))</f>
        <v>0</v>
      </c>
    </row>
    <row r="85" spans="1:10" ht="15.75" customHeight="1" x14ac:dyDescent="0.25">
      <c r="A85" s="119" t="s">
        <v>133</v>
      </c>
      <c r="B85" s="119"/>
      <c r="C85" s="93">
        <v>0</v>
      </c>
      <c r="D85" s="16">
        <f ca="1">((100/H75)*C85)/100</f>
        <v>0</v>
      </c>
      <c r="E85" s="226"/>
      <c r="F85" s="226"/>
      <c r="G85" s="226"/>
      <c r="H85" s="226"/>
      <c r="I85" s="13" t="s">
        <v>140</v>
      </c>
      <c r="J85" s="27">
        <f>(IF(B75&gt;4,(H75/(B75+2)+J84),0))</f>
        <v>0</v>
      </c>
    </row>
    <row r="86" spans="1:10" ht="15.75" customHeight="1" x14ac:dyDescent="0.25">
      <c r="A86" s="119" t="s">
        <v>128</v>
      </c>
      <c r="B86" s="119" t="s">
        <v>128</v>
      </c>
      <c r="C86" s="93">
        <v>0</v>
      </c>
      <c r="D86" s="16">
        <f ca="1">((100/(H75))*C86)/100</f>
        <v>0</v>
      </c>
      <c r="E86" s="226"/>
      <c r="F86" s="226"/>
      <c r="G86" s="226"/>
      <c r="H86" s="226"/>
      <c r="I86" s="13" t="s">
        <v>144</v>
      </c>
      <c r="J86" s="27">
        <f ca="1">(IF(B75=1,(H75/(B75+3)+J81),IF(B75=0,(H75/4+J81),IF(B75&gt;1,0))))</f>
        <v>3.75</v>
      </c>
    </row>
    <row r="87" spans="1:10" ht="16.5" thickBot="1" x14ac:dyDescent="0.3">
      <c r="A87" s="119" t="s">
        <v>129</v>
      </c>
      <c r="B87" s="119"/>
      <c r="C87" s="93">
        <v>0</v>
      </c>
      <c r="D87" s="16">
        <f ca="1">((100/(H75))*C87)/100</f>
        <v>0</v>
      </c>
      <c r="E87" s="226"/>
      <c r="F87" s="226"/>
      <c r="G87" s="226"/>
      <c r="H87" s="226"/>
      <c r="I87" s="14" t="s">
        <v>100</v>
      </c>
      <c r="J87" s="29">
        <f ca="1">(IF(B75&gt;1.5,(H75/(B75+2)+J81+MAX(0,J82-J81)+MAX(0,J83-J82)+MAX(0,J84-J83)+MAX(0,J85-J84)+MAX(0,J86-J85)),IF(B75=1,(H75/(B75+3)+J86),IF(B75=0,H75/4+J86))))</f>
        <v>5</v>
      </c>
    </row>
    <row r="88" spans="1:10" ht="15.75" customHeight="1" x14ac:dyDescent="0.25">
      <c r="A88" s="153" t="s">
        <v>135</v>
      </c>
      <c r="B88" s="154"/>
      <c r="C88" s="237" t="str">
        <f>D66</f>
        <v>Wing 2  = 1B + Gr + 1st to 7th Floor</v>
      </c>
      <c r="D88" s="238"/>
      <c r="E88" s="238"/>
      <c r="F88" s="238"/>
      <c r="G88" s="238"/>
      <c r="H88" s="239"/>
      <c r="I88" s="42" t="str">
        <f ca="1">IF(D101=100%,"All work Completed. Possession granted to the Building.",IF(D100=100%,"All work Completed, Waiting for OC",I89&amp;""&amp;I90&amp;""&amp;J89&amp;""&amp;J88&amp;" "&amp;J90))</f>
        <v>Excavation, Plinth Completed, RCC upto 5 Slab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RCC upto 5 Slab</v>
      </c>
    </row>
    <row r="89" spans="1:10" x14ac:dyDescent="0.25">
      <c r="A89" s="88" t="s">
        <v>137</v>
      </c>
      <c r="B89" s="89">
        <f>IF(AND(ISNUMBER(SEARCH("1B",C88))),1,IF(AND(ISNUMBER(SEARCH("2B",C88))),2,IF(AND(ISNUMBER(SEARCH("3B",C88))),3,IF(AND(ISNUMBER(SEARCH("4B",C88))),4,IF(ISNUMBER(SEARCH("5B",C88)),5,0)))))</f>
        <v>1</v>
      </c>
      <c r="C89" s="89" t="s">
        <v>68</v>
      </c>
      <c r="D89" s="89">
        <v>1</v>
      </c>
      <c r="E89" s="89" t="s">
        <v>67</v>
      </c>
      <c r="F89" s="89">
        <v>0</v>
      </c>
      <c r="G89" s="89" t="s">
        <v>75</v>
      </c>
      <c r="H89" s="90">
        <f ca="1">--TRIM(RIGHT(SUBSTITUTE(LEFT(C88,_xlfn.AGGREGATE(16,6,FIND({0,1,2,3,4,5,6,7,8,9},C88,ROW(INDIRECT("1:"&amp;LEN(C88)))),1))," ",REPT(" ",LEN(C88))),LEN(C88)))</f>
        <v>7</v>
      </c>
      <c r="I89" s="44" t="str">
        <f ca="1">IF(D92=100%,"Excavation","")&amp;IF(D93=100%,", Plinth","")&amp;IF(D94=100%,", RCC Slab","")&amp;IF(D95=100%,", Brickwork","")&amp;IF(D96=100%,", Internal Plaster","")&amp;IF(D97=100%,", External Plaster","")&amp;IF(D98=100%,", Flooring","")&amp;IF(D99=100%,", Painting","")&amp;IF(D100=100%,", Building common Amenities","")</f>
        <v>Excavation, Plinth</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x14ac:dyDescent="0.25">
      <c r="A90" s="235" t="s">
        <v>85</v>
      </c>
      <c r="B90" s="191"/>
      <c r="C90" s="188" t="str">
        <f ca="1">(IF($G$60="NA",I88,"All work Completed. OC Received."))</f>
        <v>Excavation, Plinth Completed, RCC upto 5 Slab Completed</v>
      </c>
      <c r="D90" s="188"/>
      <c r="E90" s="188"/>
      <c r="F90" s="188"/>
      <c r="G90" s="188"/>
      <c r="H90" s="225"/>
      <c r="I90" s="44" t="str">
        <f ca="1">IF(I89&lt;&gt;""," Completed","")</f>
        <v xml:space="preserve"> Completed</v>
      </c>
      <c r="J90" s="45" t="str">
        <f ca="1">IF(J88&lt;&gt;"","Completed","")</f>
        <v>Completed</v>
      </c>
    </row>
    <row r="91" spans="1:10" ht="15.75" customHeight="1" x14ac:dyDescent="0.25">
      <c r="A91" s="126" t="s">
        <v>47</v>
      </c>
      <c r="B91" s="119"/>
      <c r="C91" s="79" t="s">
        <v>134</v>
      </c>
      <c r="D91" s="79" t="s">
        <v>78</v>
      </c>
      <c r="E91" s="119" t="s">
        <v>80</v>
      </c>
      <c r="F91" s="119"/>
      <c r="G91" s="119" t="s">
        <v>79</v>
      </c>
      <c r="H91" s="236"/>
      <c r="I91" s="13" t="s">
        <v>136</v>
      </c>
      <c r="J91" s="25">
        <f ca="1">H89*25%</f>
        <v>1.75</v>
      </c>
    </row>
    <row r="92" spans="1:10" x14ac:dyDescent="0.25">
      <c r="A92" s="126" t="s">
        <v>123</v>
      </c>
      <c r="B92" s="119"/>
      <c r="C92" s="79">
        <f ca="1">J93</f>
        <v>7</v>
      </c>
      <c r="D92" s="16">
        <f ca="1">((100/H89)*C92)/100</f>
        <v>1</v>
      </c>
      <c r="E92" s="155">
        <f ca="1">(((C93/H89*10)+(40/(D89+F89+H89)*C94)+(7.5/(H89)*C95)+(7.5/(H89)*C96)+(10/H89*C97)+(10/H89*C98)+(5/H89*C99)+(5/H89*C100)+(5/H89*C101))/100)</f>
        <v>0.35</v>
      </c>
      <c r="F92" s="156"/>
      <c r="G92" s="155">
        <f ca="1">((((C92/H89)*20)+((C93/H89)*25)+(30/(H89+F89+D89)*C94)+(5/H89*C95)+(5/H89*C96)+(5/H89*C97)+(5/H89*C98)+(0/H89*C99)+(0/H89*C100)+(5/H89*C101))/100)</f>
        <v>0.63749999999999996</v>
      </c>
      <c r="H92" s="242"/>
      <c r="I92" s="13" t="s">
        <v>96</v>
      </c>
      <c r="J92" s="26">
        <f ca="1">H89*50%</f>
        <v>3.5</v>
      </c>
    </row>
    <row r="93" spans="1:10" x14ac:dyDescent="0.25">
      <c r="A93" s="126" t="s">
        <v>48</v>
      </c>
      <c r="B93" s="119"/>
      <c r="C93" s="91">
        <f ca="1">J101</f>
        <v>7</v>
      </c>
      <c r="D93" s="16">
        <f ca="1">((100/H89)*C93)/100</f>
        <v>1</v>
      </c>
      <c r="E93" s="157"/>
      <c r="F93" s="158"/>
      <c r="G93" s="157"/>
      <c r="H93" s="243"/>
      <c r="I93" s="13" t="s">
        <v>97</v>
      </c>
      <c r="J93" s="26">
        <f ca="1">H89</f>
        <v>7</v>
      </c>
    </row>
    <row r="94" spans="1:10" ht="15.75" customHeight="1" x14ac:dyDescent="0.25">
      <c r="A94" s="126" t="s">
        <v>124</v>
      </c>
      <c r="B94" s="119"/>
      <c r="C94" s="79">
        <v>5</v>
      </c>
      <c r="D94" s="16">
        <f ca="1">((100/(D89+F89+H89))*C94)/100</f>
        <v>0.625</v>
      </c>
      <c r="E94" s="157"/>
      <c r="F94" s="158"/>
      <c r="G94" s="157"/>
      <c r="H94" s="243"/>
      <c r="I94" s="13" t="s">
        <v>98</v>
      </c>
      <c r="J94" s="27">
        <f ca="1">(IF(B89&gt;1,(H89/(B89+2)),H89/4))</f>
        <v>1.75</v>
      </c>
    </row>
    <row r="95" spans="1:10" ht="15.75" customHeight="1" x14ac:dyDescent="0.25">
      <c r="A95" s="126" t="s">
        <v>131</v>
      </c>
      <c r="B95" s="119" t="s">
        <v>125</v>
      </c>
      <c r="C95" s="79">
        <v>0</v>
      </c>
      <c r="D95" s="16">
        <f ca="1">((100/H89)*C95)/100</f>
        <v>0</v>
      </c>
      <c r="E95" s="157"/>
      <c r="F95" s="158"/>
      <c r="G95" s="157"/>
      <c r="H95" s="243"/>
      <c r="I95" s="13" t="s">
        <v>99</v>
      </c>
      <c r="J95" s="27">
        <f ca="1">(IF(B89&gt;1,(H89/(B89+2)+J94),H89/4+J94))</f>
        <v>3.5</v>
      </c>
    </row>
    <row r="96" spans="1:10" ht="15.75" customHeight="1" x14ac:dyDescent="0.25">
      <c r="A96" s="126" t="s">
        <v>132</v>
      </c>
      <c r="B96" s="119" t="s">
        <v>125</v>
      </c>
      <c r="C96" s="79">
        <v>0</v>
      </c>
      <c r="D96" s="16">
        <f ca="1">((100/H89)*C96)/100</f>
        <v>0</v>
      </c>
      <c r="E96" s="157"/>
      <c r="F96" s="158"/>
      <c r="G96" s="157"/>
      <c r="H96" s="243"/>
      <c r="I96" s="13" t="s">
        <v>143</v>
      </c>
      <c r="J96" s="27">
        <f>(IF(B89&gt;1,(H89/(B89+2)+J95),0))</f>
        <v>0</v>
      </c>
    </row>
    <row r="97" spans="1:22" ht="15" customHeight="1" x14ac:dyDescent="0.25">
      <c r="A97" s="126" t="s">
        <v>130</v>
      </c>
      <c r="B97" s="119" t="s">
        <v>127</v>
      </c>
      <c r="C97" s="79">
        <v>0</v>
      </c>
      <c r="D97" s="16">
        <f ca="1">((100/(H89))*C97)/100</f>
        <v>0</v>
      </c>
      <c r="E97" s="157"/>
      <c r="F97" s="158"/>
      <c r="G97" s="157"/>
      <c r="H97" s="243"/>
      <c r="I97" s="13" t="s">
        <v>138</v>
      </c>
      <c r="J97" s="27">
        <f>(IF(B89&gt;2,(H89/(B89+2)+J96),0))</f>
        <v>0</v>
      </c>
    </row>
    <row r="98" spans="1:22" ht="15.75" customHeight="1" x14ac:dyDescent="0.25">
      <c r="A98" s="126" t="s">
        <v>126</v>
      </c>
      <c r="B98" s="119" t="s">
        <v>126</v>
      </c>
      <c r="C98" s="79">
        <v>0</v>
      </c>
      <c r="D98" s="16">
        <f ca="1">((100/H89)*C98)/100</f>
        <v>0</v>
      </c>
      <c r="E98" s="157"/>
      <c r="F98" s="158"/>
      <c r="G98" s="157"/>
      <c r="H98" s="243"/>
      <c r="I98" s="13" t="s">
        <v>139</v>
      </c>
      <c r="J98" s="28">
        <f>(IF(B89&gt;3,(H89/(B89+2)+J97),0))</f>
        <v>0</v>
      </c>
    </row>
    <row r="99" spans="1:22" ht="15.75" customHeight="1" x14ac:dyDescent="0.25">
      <c r="A99" s="126" t="s">
        <v>133</v>
      </c>
      <c r="B99" s="119"/>
      <c r="C99" s="79">
        <v>0</v>
      </c>
      <c r="D99" s="16">
        <f ca="1">((100/H89)*C99)/100</f>
        <v>0</v>
      </c>
      <c r="E99" s="157"/>
      <c r="F99" s="158"/>
      <c r="G99" s="157"/>
      <c r="H99" s="243"/>
      <c r="I99" s="13" t="s">
        <v>140</v>
      </c>
      <c r="J99" s="27">
        <f>(IF(B89&gt;4,(H89/(B89+2)+J98),0))</f>
        <v>0</v>
      </c>
    </row>
    <row r="100" spans="1:22" ht="15.75" customHeight="1" x14ac:dyDescent="0.25">
      <c r="A100" s="126" t="s">
        <v>128</v>
      </c>
      <c r="B100" s="119" t="s">
        <v>128</v>
      </c>
      <c r="C100" s="79">
        <v>0</v>
      </c>
      <c r="D100" s="16">
        <f ca="1">((100/(H89))*C100)/100</f>
        <v>0</v>
      </c>
      <c r="E100" s="157"/>
      <c r="F100" s="158"/>
      <c r="G100" s="157"/>
      <c r="H100" s="243"/>
      <c r="I100" s="13" t="s">
        <v>144</v>
      </c>
      <c r="J100" s="27">
        <f ca="1">(IF(B89=1,(H89/(B89+3)+J95),IF(B89=0,(H89/4+J95),IF(B89&gt;1,0))))</f>
        <v>5.25</v>
      </c>
    </row>
    <row r="101" spans="1:22" ht="16.5" thickBot="1" x14ac:dyDescent="0.3">
      <c r="A101" s="240" t="s">
        <v>129</v>
      </c>
      <c r="B101" s="241"/>
      <c r="C101" s="77">
        <v>0</v>
      </c>
      <c r="D101" s="17">
        <f ca="1">((100/(H89))*C101)/100</f>
        <v>0</v>
      </c>
      <c r="E101" s="159"/>
      <c r="F101" s="160"/>
      <c r="G101" s="159"/>
      <c r="H101" s="244"/>
      <c r="I101" s="14" t="s">
        <v>100</v>
      </c>
      <c r="J101" s="29">
        <f ca="1">(IF(B89&gt;1.5,(H89/(B89+2)+J95+MAX(0,J96-J95)+MAX(0,J97-J96)+MAX(0,J98-J97)+MAX(0,J99-J98)+MAX(0,J100-J99)),IF(B89=1,(H89/(B89+3)+J100),IF(B89=0,H89/4+J100))))</f>
        <v>7</v>
      </c>
    </row>
    <row r="102" spans="1:22" x14ac:dyDescent="0.25">
      <c r="A102" s="246" t="s">
        <v>154</v>
      </c>
      <c r="B102" s="246"/>
      <c r="C102" s="246"/>
      <c r="D102" s="246"/>
      <c r="E102" s="246"/>
      <c r="F102" s="245" t="s">
        <v>158</v>
      </c>
      <c r="G102" s="245"/>
      <c r="H102" s="245"/>
      <c r="R102" t="s">
        <v>253</v>
      </c>
      <c r="S102" t="s">
        <v>170</v>
      </c>
      <c r="T102" t="s">
        <v>177</v>
      </c>
      <c r="U102" t="s">
        <v>192</v>
      </c>
      <c r="V102" t="s">
        <v>187</v>
      </c>
    </row>
    <row r="103" spans="1:22" x14ac:dyDescent="0.25">
      <c r="A103" s="145" t="s">
        <v>156</v>
      </c>
      <c r="B103" s="145"/>
      <c r="C103" s="145"/>
      <c r="D103" s="145"/>
      <c r="E103" s="145"/>
      <c r="F103" s="142">
        <v>3400</v>
      </c>
      <c r="G103" s="142"/>
      <c r="H103" s="142"/>
      <c r="R103"/>
      <c r="S103">
        <v>800000</v>
      </c>
      <c r="T103">
        <v>150000</v>
      </c>
      <c r="U103">
        <v>100000</v>
      </c>
      <c r="V103">
        <v>100000</v>
      </c>
    </row>
    <row r="104" spans="1:22" x14ac:dyDescent="0.25">
      <c r="A104" s="145" t="s">
        <v>155</v>
      </c>
      <c r="B104" s="145"/>
      <c r="C104" s="145"/>
      <c r="D104" s="145"/>
      <c r="E104" s="145"/>
      <c r="F104" s="142">
        <v>7000</v>
      </c>
      <c r="G104" s="142"/>
      <c r="H104" s="142"/>
      <c r="R104"/>
      <c r="S104">
        <v>900000</v>
      </c>
      <c r="T104">
        <v>200000</v>
      </c>
      <c r="U104">
        <v>150000</v>
      </c>
      <c r="V104">
        <v>150000</v>
      </c>
    </row>
    <row r="105" spans="1:22" x14ac:dyDescent="0.25">
      <c r="A105" s="145" t="s">
        <v>157</v>
      </c>
      <c r="B105" s="145"/>
      <c r="C105" s="145"/>
      <c r="D105" s="145"/>
      <c r="E105" s="145"/>
      <c r="F105" s="142">
        <v>5000</v>
      </c>
      <c r="G105" s="142"/>
      <c r="H105" s="142"/>
      <c r="R105"/>
      <c r="S105">
        <v>1000000</v>
      </c>
      <c r="T105">
        <v>250000</v>
      </c>
      <c r="U105">
        <v>200000</v>
      </c>
      <c r="V105">
        <v>200000</v>
      </c>
    </row>
    <row r="106" spans="1:22" s="30" customFormat="1" hidden="1" x14ac:dyDescent="0.25">
      <c r="A106" s="145" t="s">
        <v>173</v>
      </c>
      <c r="B106" s="145"/>
      <c r="C106" s="145"/>
      <c r="D106" s="145"/>
      <c r="E106" s="145"/>
      <c r="F106" s="142"/>
      <c r="G106" s="142"/>
      <c r="H106" s="142"/>
      <c r="R106"/>
      <c r="S106">
        <v>1100000</v>
      </c>
      <c r="T106">
        <v>300000</v>
      </c>
      <c r="U106">
        <v>250000</v>
      </c>
      <c r="V106" s="20">
        <v>250000</v>
      </c>
    </row>
    <row r="107" spans="1:22" s="30" customFormat="1" hidden="1" x14ac:dyDescent="0.25">
      <c r="A107" s="145" t="s">
        <v>90</v>
      </c>
      <c r="B107" s="145"/>
      <c r="C107" s="145"/>
      <c r="D107" s="145"/>
      <c r="E107" s="145"/>
      <c r="F107" s="142"/>
      <c r="G107" s="142"/>
      <c r="H107" s="142"/>
      <c r="R107"/>
      <c r="S107">
        <v>1200000</v>
      </c>
      <c r="T107">
        <v>350000</v>
      </c>
      <c r="U107">
        <v>300000</v>
      </c>
      <c r="V107">
        <v>300000</v>
      </c>
    </row>
    <row r="108" spans="1:22" s="30" customFormat="1" hidden="1" x14ac:dyDescent="0.25">
      <c r="A108" s="145" t="s">
        <v>91</v>
      </c>
      <c r="B108" s="145"/>
      <c r="C108" s="145"/>
      <c r="D108" s="145"/>
      <c r="E108" s="145"/>
      <c r="F108" s="142"/>
      <c r="G108" s="142"/>
      <c r="H108" s="142"/>
      <c r="R108"/>
      <c r="S108">
        <v>1300000</v>
      </c>
      <c r="T108">
        <v>400000</v>
      </c>
      <c r="U108">
        <v>350000</v>
      </c>
      <c r="V108" s="20">
        <v>400000</v>
      </c>
    </row>
    <row r="109" spans="1:22" s="30" customFormat="1" hidden="1" x14ac:dyDescent="0.25">
      <c r="A109" s="145" t="s">
        <v>92</v>
      </c>
      <c r="B109" s="145"/>
      <c r="C109" s="145"/>
      <c r="D109" s="145"/>
      <c r="E109" s="145"/>
      <c r="F109" s="142"/>
      <c r="G109" s="142"/>
      <c r="H109" s="142"/>
      <c r="R109"/>
      <c r="S109">
        <v>1400000</v>
      </c>
      <c r="T109">
        <v>500000</v>
      </c>
      <c r="U109">
        <v>400000</v>
      </c>
      <c r="V109"/>
    </row>
    <row r="110" spans="1:22" s="30" customFormat="1" hidden="1" x14ac:dyDescent="0.25">
      <c r="A110" s="145" t="s">
        <v>93</v>
      </c>
      <c r="B110" s="145"/>
      <c r="C110" s="145"/>
      <c r="D110" s="145"/>
      <c r="E110" s="145"/>
      <c r="F110" s="142"/>
      <c r="G110" s="142"/>
      <c r="H110" s="142"/>
      <c r="R110"/>
      <c r="S110">
        <v>1500000</v>
      </c>
      <c r="T110">
        <v>600000</v>
      </c>
      <c r="U110">
        <v>500000</v>
      </c>
      <c r="V110" s="20"/>
    </row>
    <row r="111" spans="1:22" s="30" customFormat="1" hidden="1" x14ac:dyDescent="0.25">
      <c r="A111" s="145" t="s">
        <v>94</v>
      </c>
      <c r="B111" s="145"/>
      <c r="C111" s="145"/>
      <c r="D111" s="145"/>
      <c r="E111" s="145"/>
      <c r="F111" s="142"/>
      <c r="G111" s="142"/>
      <c r="H111" s="142"/>
      <c r="R111"/>
      <c r="S111">
        <v>1600000</v>
      </c>
      <c r="T111">
        <v>700000</v>
      </c>
      <c r="U111">
        <v>600000</v>
      </c>
      <c r="V111"/>
    </row>
    <row r="112" spans="1:22" s="30" customFormat="1" hidden="1" x14ac:dyDescent="0.25">
      <c r="A112" s="145" t="s">
        <v>95</v>
      </c>
      <c r="B112" s="145"/>
      <c r="C112" s="145"/>
      <c r="D112" s="145"/>
      <c r="E112" s="145"/>
      <c r="F112" s="142"/>
      <c r="G112" s="142"/>
      <c r="H112" s="142"/>
      <c r="R112"/>
      <c r="S112">
        <v>1700000</v>
      </c>
      <c r="T112">
        <v>800000</v>
      </c>
      <c r="U112"/>
      <c r="V112" s="20"/>
    </row>
    <row r="113" spans="1:22" x14ac:dyDescent="0.25">
      <c r="A113" s="145" t="s">
        <v>49</v>
      </c>
      <c r="B113" s="145"/>
      <c r="C113" s="145"/>
      <c r="D113" s="145"/>
      <c r="E113" s="145"/>
      <c r="F113" s="247">
        <v>100000</v>
      </c>
      <c r="G113" s="247"/>
      <c r="H113" s="247"/>
      <c r="R113"/>
      <c r="S113">
        <v>1800000</v>
      </c>
      <c r="T113">
        <v>900000</v>
      </c>
      <c r="U113"/>
    </row>
    <row r="114" spans="1:22" s="31" customFormat="1" x14ac:dyDescent="0.25">
      <c r="A114" s="207" t="s">
        <v>50</v>
      </c>
      <c r="B114" s="207"/>
      <c r="C114" s="207"/>
      <c r="D114" s="207"/>
      <c r="E114" s="207"/>
      <c r="F114" s="142">
        <f>F103*0.8</f>
        <v>2720</v>
      </c>
      <c r="G114" s="142"/>
      <c r="H114" s="142"/>
      <c r="R114" s="18"/>
      <c r="S114" s="18"/>
      <c r="T114">
        <v>1000000</v>
      </c>
      <c r="U114"/>
      <c r="V114" s="18"/>
    </row>
    <row r="115" spans="1:22" s="32" customFormat="1" ht="15.75" customHeight="1" x14ac:dyDescent="0.25">
      <c r="A115" s="127" t="s">
        <v>406</v>
      </c>
      <c r="B115" s="127"/>
      <c r="C115" s="127"/>
      <c r="D115" s="127"/>
      <c r="E115" s="127"/>
      <c r="F115" s="127"/>
      <c r="G115" s="127"/>
      <c r="H115" s="127"/>
      <c r="R115"/>
      <c r="S115" s="18"/>
      <c r="T115"/>
      <c r="U115"/>
      <c r="V115" s="18"/>
    </row>
    <row r="116" spans="1:22" s="32" customFormat="1" ht="15.75" customHeight="1" x14ac:dyDescent="0.25">
      <c r="A116" s="144" t="s">
        <v>51</v>
      </c>
      <c r="B116" s="144"/>
      <c r="C116" s="151" t="s">
        <v>73</v>
      </c>
      <c r="D116" s="151"/>
      <c r="E116" s="149" t="s">
        <v>52</v>
      </c>
      <c r="F116" s="149"/>
      <c r="G116" s="144" t="s">
        <v>53</v>
      </c>
      <c r="H116" s="144"/>
      <c r="R116"/>
      <c r="S116" s="18"/>
      <c r="T116"/>
      <c r="U116" s="18"/>
      <c r="V116" s="18"/>
    </row>
    <row r="117" spans="1:22" s="32" customFormat="1" x14ac:dyDescent="0.25">
      <c r="A117" s="150" t="s">
        <v>357</v>
      </c>
      <c r="B117" s="150"/>
      <c r="C117" s="220">
        <f>COUNT(D136:D139)</f>
        <v>4</v>
      </c>
      <c r="D117" s="228"/>
      <c r="E117" s="220">
        <f>SUM(F136:F139)</f>
        <v>3703.6771199999994</v>
      </c>
      <c r="F117" s="228"/>
      <c r="G117" s="220">
        <f>SUM(H136:H139)</f>
        <v>5555.5156799999986</v>
      </c>
      <c r="H117" s="228"/>
      <c r="R117"/>
      <c r="S117" s="18"/>
      <c r="T117"/>
      <c r="U117" s="18"/>
      <c r="V117" s="18"/>
    </row>
    <row r="118" spans="1:22" s="32" customFormat="1" ht="15.75" hidden="1" customHeight="1" x14ac:dyDescent="0.25">
      <c r="A118" s="150" t="s">
        <v>397</v>
      </c>
      <c r="B118" s="150"/>
      <c r="C118" s="220">
        <f>COUNT(D164)</f>
        <v>0</v>
      </c>
      <c r="D118" s="228"/>
      <c r="E118" s="220">
        <f t="shared" ref="E118" si="0">SUM(F164)</f>
        <v>0</v>
      </c>
      <c r="F118" s="228"/>
      <c r="G118" s="220">
        <f t="shared" ref="G118" si="1">SUM(H164)</f>
        <v>0</v>
      </c>
      <c r="H118" s="228"/>
      <c r="R118"/>
      <c r="S118" s="18"/>
      <c r="T118"/>
      <c r="U118" s="18"/>
      <c r="V118" s="18"/>
    </row>
    <row r="119" spans="1:22" s="32" customFormat="1" x14ac:dyDescent="0.25">
      <c r="A119" s="150" t="s">
        <v>407</v>
      </c>
      <c r="B119" s="150"/>
      <c r="C119" s="220">
        <f>COUNT(D140:D144)+COUNT(D156:D161)+COUNT(D165:D170)+COUNT(D172:D177)*3</f>
        <v>35</v>
      </c>
      <c r="D119" s="220"/>
      <c r="E119" s="220">
        <f>SUM(F140:F144)+SUM(F156:F161)+SUM(F165:F170)+SUM(F172:F177)*3</f>
        <v>23438.848243199995</v>
      </c>
      <c r="F119" s="220"/>
      <c r="G119" s="220">
        <f>SUM(H140:H144)+SUM(H156:H161)+SUM(H165:H170)+SUM(H172:H177)*3</f>
        <v>35391.142893599994</v>
      </c>
      <c r="H119" s="220"/>
      <c r="R119"/>
      <c r="S119" s="18"/>
      <c r="T119"/>
      <c r="U119" s="18"/>
      <c r="V119" s="18"/>
    </row>
    <row r="120" spans="1:22" s="32" customFormat="1" x14ac:dyDescent="0.25">
      <c r="A120" s="127" t="s">
        <v>148</v>
      </c>
      <c r="B120" s="127"/>
      <c r="C120" s="248">
        <f>SUM(C117:C119)</f>
        <v>39</v>
      </c>
      <c r="D120" s="151"/>
      <c r="E120" s="248">
        <f>SUM(E117:E119)</f>
        <v>27142.525363199995</v>
      </c>
      <c r="F120" s="151"/>
      <c r="G120" s="248">
        <f>SUM(G117:G119)</f>
        <v>40946.658573599991</v>
      </c>
      <c r="H120" s="151"/>
      <c r="R120"/>
      <c r="S120" s="18"/>
      <c r="T120"/>
      <c r="U120" s="18"/>
      <c r="V120" s="18"/>
    </row>
    <row r="121" spans="1:22" s="32" customFormat="1" x14ac:dyDescent="0.25">
      <c r="A121" s="127" t="s">
        <v>408</v>
      </c>
      <c r="B121" s="127"/>
      <c r="C121" s="127"/>
      <c r="D121" s="127"/>
      <c r="E121" s="127"/>
      <c r="F121" s="127"/>
      <c r="G121" s="127"/>
      <c r="H121" s="127"/>
      <c r="T121"/>
    </row>
    <row r="122" spans="1:22" s="32" customFormat="1" ht="15.75" customHeight="1" x14ac:dyDescent="0.25">
      <c r="A122" s="144" t="s">
        <v>51</v>
      </c>
      <c r="B122" s="144"/>
      <c r="C122" s="151" t="s">
        <v>73</v>
      </c>
      <c r="D122" s="151"/>
      <c r="E122" s="149" t="s">
        <v>52</v>
      </c>
      <c r="F122" s="149"/>
      <c r="G122" s="144" t="s">
        <v>53</v>
      </c>
      <c r="H122" s="144"/>
      <c r="T122"/>
    </row>
    <row r="123" spans="1:22" s="32" customFormat="1" x14ac:dyDescent="0.25">
      <c r="A123" s="150" t="s">
        <v>409</v>
      </c>
      <c r="B123" s="150"/>
      <c r="C123" s="220">
        <f>COUNT(D185:D188)*7</f>
        <v>28</v>
      </c>
      <c r="D123" s="220"/>
      <c r="E123" s="220">
        <f t="shared" ref="E123" si="2">SUM(F185:F188)*7</f>
        <v>18224.420760000001</v>
      </c>
      <c r="F123" s="220"/>
      <c r="G123" s="220">
        <f t="shared" ref="G123" si="3">SUM(H185:H188)*7</f>
        <v>26425.410101999998</v>
      </c>
      <c r="H123" s="220"/>
      <c r="T123"/>
    </row>
    <row r="124" spans="1:22" s="32" customFormat="1" x14ac:dyDescent="0.25">
      <c r="A124" s="127" t="s">
        <v>148</v>
      </c>
      <c r="B124" s="127"/>
      <c r="C124" s="248">
        <f>SUM(C123)</f>
        <v>28</v>
      </c>
      <c r="D124" s="151"/>
      <c r="E124" s="248">
        <f>SUM(E123)</f>
        <v>18224.420760000001</v>
      </c>
      <c r="F124" s="151"/>
      <c r="G124" s="248">
        <f>SUM(G123)</f>
        <v>26425.410101999998</v>
      </c>
      <c r="H124" s="151"/>
      <c r="T124"/>
    </row>
    <row r="125" spans="1:22" s="32" customFormat="1" x14ac:dyDescent="0.25">
      <c r="A125" s="127" t="s">
        <v>164</v>
      </c>
      <c r="B125" s="127"/>
      <c r="C125" s="248">
        <f>C120+C124</f>
        <v>67</v>
      </c>
      <c r="D125" s="248"/>
      <c r="E125" s="249">
        <f>E120+E124</f>
        <v>45366.946123199996</v>
      </c>
      <c r="F125" s="249"/>
      <c r="G125" s="144">
        <f>G120+G124</f>
        <v>67372.068675599992</v>
      </c>
      <c r="H125" s="144"/>
      <c r="T125"/>
    </row>
    <row r="126" spans="1:22" s="31" customFormat="1" x14ac:dyDescent="0.25">
      <c r="A126" s="193" t="s">
        <v>54</v>
      </c>
      <c r="B126" s="193"/>
      <c r="C126" s="193"/>
      <c r="D126" s="193"/>
      <c r="E126" s="193"/>
      <c r="F126" s="193"/>
      <c r="G126" s="193"/>
      <c r="H126" s="193"/>
      <c r="T126" s="32"/>
    </row>
    <row r="127" spans="1:22" x14ac:dyDescent="0.25">
      <c r="A127" s="143" t="s">
        <v>172</v>
      </c>
      <c r="B127" s="143"/>
      <c r="C127" s="143"/>
      <c r="D127" s="143"/>
      <c r="E127" s="143"/>
      <c r="F127" s="143"/>
      <c r="G127" s="143"/>
      <c r="H127" s="143"/>
      <c r="T127" s="32"/>
    </row>
    <row r="128" spans="1:22" ht="47.25" customHeight="1" x14ac:dyDescent="0.25">
      <c r="A128" s="185" t="s">
        <v>412</v>
      </c>
      <c r="B128" s="185" t="s">
        <v>174</v>
      </c>
      <c r="C128" s="185" t="s">
        <v>55</v>
      </c>
      <c r="D128" s="185" t="s">
        <v>231</v>
      </c>
      <c r="E128" s="221" t="s">
        <v>414</v>
      </c>
      <c r="F128" s="185" t="s">
        <v>56</v>
      </c>
      <c r="G128" s="221" t="s">
        <v>57</v>
      </c>
      <c r="H128" s="96" t="s">
        <v>146</v>
      </c>
      <c r="T128" s="32"/>
    </row>
    <row r="129" spans="1:20" s="34" customFormat="1" x14ac:dyDescent="0.25">
      <c r="A129" s="185"/>
      <c r="B129" s="185"/>
      <c r="C129" s="185"/>
      <c r="D129" s="185"/>
      <c r="E129" s="221"/>
      <c r="F129" s="185"/>
      <c r="G129" s="221"/>
      <c r="H129" s="97">
        <v>0.5</v>
      </c>
      <c r="T129" s="32"/>
    </row>
    <row r="130" spans="1:20" s="72" customFormat="1" x14ac:dyDescent="0.25">
      <c r="A130" s="102" t="s">
        <v>354</v>
      </c>
      <c r="B130" s="103"/>
      <c r="C130" s="103"/>
      <c r="D130" s="103"/>
      <c r="E130" s="103"/>
      <c r="F130" s="103"/>
      <c r="G130" s="103"/>
      <c r="H130" s="104"/>
      <c r="J130" s="33"/>
      <c r="T130" s="32"/>
    </row>
    <row r="131" spans="1:20" s="72" customFormat="1" x14ac:dyDescent="0.25">
      <c r="A131" s="102" t="s">
        <v>355</v>
      </c>
      <c r="B131" s="103"/>
      <c r="C131" s="103"/>
      <c r="D131" s="103"/>
      <c r="E131" s="103"/>
      <c r="F131" s="103"/>
      <c r="G131" s="103"/>
      <c r="H131" s="104"/>
      <c r="J131" s="33"/>
      <c r="T131" s="32"/>
    </row>
    <row r="132" spans="1:20" s="34" customFormat="1" x14ac:dyDescent="0.25">
      <c r="A132" s="102" t="s">
        <v>356</v>
      </c>
      <c r="B132" s="103"/>
      <c r="C132" s="103"/>
      <c r="D132" s="103"/>
      <c r="E132" s="103"/>
      <c r="F132" s="103"/>
      <c r="G132" s="103"/>
      <c r="H132" s="104"/>
      <c r="J132" s="33"/>
      <c r="T132" s="32"/>
    </row>
    <row r="133" spans="1:20" s="34" customFormat="1" ht="15.75" customHeight="1" x14ac:dyDescent="0.25">
      <c r="A133" s="100" t="s">
        <v>359</v>
      </c>
      <c r="B133" s="101"/>
      <c r="C133" s="87" t="s">
        <v>357</v>
      </c>
      <c r="D133" s="110" t="s">
        <v>413</v>
      </c>
      <c r="E133" s="111"/>
      <c r="F133" s="111"/>
      <c r="G133" s="111"/>
      <c r="H133" s="112"/>
      <c r="I133" s="33"/>
      <c r="L133" s="98"/>
      <c r="M133" s="98"/>
      <c r="N133" s="33"/>
      <c r="T133" s="32"/>
    </row>
    <row r="134" spans="1:20" s="34" customFormat="1" ht="15.75" customHeight="1" x14ac:dyDescent="0.25">
      <c r="A134" s="100" t="s">
        <v>360</v>
      </c>
      <c r="B134" s="101"/>
      <c r="C134" s="87" t="s">
        <v>357</v>
      </c>
      <c r="D134" s="113"/>
      <c r="E134" s="114"/>
      <c r="F134" s="114"/>
      <c r="G134" s="114"/>
      <c r="H134" s="115"/>
      <c r="I134" s="33"/>
      <c r="J134" s="84">
        <v>10.763999999999999</v>
      </c>
      <c r="L134" s="98"/>
      <c r="M134" s="98"/>
      <c r="N134" s="33"/>
      <c r="T134" s="31"/>
    </row>
    <row r="135" spans="1:20" s="34" customFormat="1" ht="15.75" customHeight="1" x14ac:dyDescent="0.25">
      <c r="A135" s="100" t="s">
        <v>361</v>
      </c>
      <c r="B135" s="101"/>
      <c r="C135" s="87" t="s">
        <v>357</v>
      </c>
      <c r="D135" s="116"/>
      <c r="E135" s="117"/>
      <c r="F135" s="117"/>
      <c r="G135" s="117"/>
      <c r="H135" s="118"/>
      <c r="I135" s="33">
        <f>3.76*10.05+3.76*9.52</f>
        <v>73.583200000000005</v>
      </c>
      <c r="J135" s="86">
        <f>(3.76*8.38)*(10.764)</f>
        <v>339.16072320000001</v>
      </c>
      <c r="K135" s="75">
        <f>(1.2*3.76)*10.764</f>
        <v>48.567167999999995</v>
      </c>
      <c r="L135" s="78">
        <f t="shared" ref="L135" si="4">J135+(IF(K135&lt;201,K135,IF(K135&lt;301,K135/2,K135/3)))</f>
        <v>387.72789119999999</v>
      </c>
      <c r="M135" s="78">
        <v>0</v>
      </c>
      <c r="N135" s="78">
        <f t="shared" ref="N135" si="5">(L135+(IF(M135&lt;101,M135,IF(M135&lt;201,M135/2,IF(M135&lt;=301,M135/3,M135/4)))))*(($H$129)+1)</f>
        <v>581.59183680000001</v>
      </c>
      <c r="T135" s="18"/>
    </row>
    <row r="136" spans="1:20" s="34" customFormat="1" ht="60.75" customHeight="1" x14ac:dyDescent="0.25">
      <c r="A136" s="100" t="s">
        <v>362</v>
      </c>
      <c r="B136" s="101"/>
      <c r="C136" s="71" t="s">
        <v>371</v>
      </c>
      <c r="D136" s="75">
        <f>(3.7*9.52*2)*(10.764)</f>
        <v>758.3022719999999</v>
      </c>
      <c r="E136" s="75">
        <f>(3.7*1.2)*10.764</f>
        <v>47.792160000000003</v>
      </c>
      <c r="F136" s="56">
        <f t="shared" ref="F136" si="6">D136+(IF(E136&lt;201,E136,IF(E136&lt;301,E136/2,E136/3)))</f>
        <v>806.09443199999987</v>
      </c>
      <c r="G136" s="49">
        <v>0</v>
      </c>
      <c r="H136" s="56">
        <f t="shared" ref="H136" si="7">(F136+(IF(G136&lt;101,G136,IF(G136&lt;201,G136/2,IF(G136&lt;=301,G136/3,G136/4)))))*(($H$129)+1)</f>
        <v>1209.1416479999998</v>
      </c>
      <c r="I136" s="33"/>
      <c r="L136" s="98"/>
      <c r="M136" s="98"/>
      <c r="N136" s="33"/>
      <c r="T136" s="18"/>
    </row>
    <row r="137" spans="1:20" s="72" customFormat="1" ht="63" x14ac:dyDescent="0.25">
      <c r="A137" s="100" t="s">
        <v>363</v>
      </c>
      <c r="B137" s="101"/>
      <c r="C137" s="71" t="s">
        <v>371</v>
      </c>
      <c r="D137" s="75">
        <f>(3.7*9.52*2)*(10.764)</f>
        <v>758.3022719999999</v>
      </c>
      <c r="E137" s="75">
        <f>(3.7*1.2)*10.764</f>
        <v>47.792160000000003</v>
      </c>
      <c r="F137" s="71">
        <f t="shared" ref="F137:F141" si="8">D137+(IF(E137&lt;201,E137,IF(E137&lt;301,E137/2,E137/3)))</f>
        <v>806.09443199999987</v>
      </c>
      <c r="G137" s="71">
        <v>0</v>
      </c>
      <c r="H137" s="71">
        <f t="shared" ref="H137:H141" si="9">(F137+(IF(G137&lt;101,G137,IF(G137&lt;201,G137/2,IF(G137&lt;=301,G137/3,G137/4)))))*(($H$129)+1)</f>
        <v>1209.1416479999998</v>
      </c>
      <c r="I137" s="33"/>
      <c r="L137" s="98"/>
      <c r="M137" s="98"/>
      <c r="N137" s="33"/>
      <c r="T137" s="31"/>
    </row>
    <row r="138" spans="1:20" s="72" customFormat="1" ht="63" x14ac:dyDescent="0.25">
      <c r="A138" s="100" t="s">
        <v>364</v>
      </c>
      <c r="B138" s="101"/>
      <c r="C138" s="71" t="s">
        <v>371</v>
      </c>
      <c r="D138" s="75">
        <f>(4.8*9.52*2)*(10.764)</f>
        <v>983.74348799999984</v>
      </c>
      <c r="E138" s="75">
        <f>(4.8*1.2)*10.764</f>
        <v>62.000639999999997</v>
      </c>
      <c r="F138" s="71">
        <f t="shared" si="8"/>
        <v>1045.7441279999998</v>
      </c>
      <c r="G138" s="71">
        <v>0</v>
      </c>
      <c r="H138" s="71">
        <f t="shared" si="9"/>
        <v>1568.6161919999997</v>
      </c>
      <c r="I138" s="33"/>
      <c r="L138" s="98"/>
      <c r="M138" s="98"/>
      <c r="N138" s="33"/>
      <c r="T138" s="18"/>
    </row>
    <row r="139" spans="1:20" s="72" customFormat="1" ht="63" x14ac:dyDescent="0.25">
      <c r="A139" s="100" t="s">
        <v>365</v>
      </c>
      <c r="B139" s="101"/>
      <c r="C139" s="71" t="s">
        <v>371</v>
      </c>
      <c r="D139" s="75">
        <f>(4.8*9.52*2)*(10.764)</f>
        <v>983.74348799999984</v>
      </c>
      <c r="E139" s="75">
        <f>(4.8*1.2)*10.764</f>
        <v>62.000639999999997</v>
      </c>
      <c r="F139" s="71">
        <f t="shared" si="8"/>
        <v>1045.7441279999998</v>
      </c>
      <c r="G139" s="71">
        <v>0</v>
      </c>
      <c r="H139" s="71">
        <f t="shared" si="9"/>
        <v>1568.6161919999997</v>
      </c>
      <c r="I139" s="33"/>
      <c r="L139" s="98"/>
      <c r="M139" s="98"/>
      <c r="N139" s="33"/>
      <c r="T139" s="18"/>
    </row>
    <row r="140" spans="1:20" s="72" customFormat="1" ht="15.75" customHeight="1" x14ac:dyDescent="0.25">
      <c r="A140" s="100" t="s">
        <v>366</v>
      </c>
      <c r="B140" s="101"/>
      <c r="C140" s="71" t="s">
        <v>358</v>
      </c>
      <c r="D140" s="75">
        <f>(5.03*3.5)*(10.764)</f>
        <v>189.50021999999998</v>
      </c>
      <c r="E140" s="71">
        <v>0</v>
      </c>
      <c r="F140" s="71">
        <f t="shared" si="8"/>
        <v>189.50021999999998</v>
      </c>
      <c r="G140" s="71">
        <v>0</v>
      </c>
      <c r="H140" s="71">
        <f t="shared" si="9"/>
        <v>284.25032999999996</v>
      </c>
      <c r="I140" s="33"/>
      <c r="L140" s="98"/>
      <c r="M140" s="98"/>
      <c r="N140" s="33"/>
      <c r="T140" s="18"/>
    </row>
    <row r="141" spans="1:20" s="72" customFormat="1" ht="15.75" customHeight="1" x14ac:dyDescent="0.25">
      <c r="A141" s="100" t="s">
        <v>367</v>
      </c>
      <c r="B141" s="101"/>
      <c r="C141" s="71" t="s">
        <v>358</v>
      </c>
      <c r="D141" s="75">
        <f>(6.05*3.5)*(10.764)</f>
        <v>227.92769999999999</v>
      </c>
      <c r="E141" s="71">
        <v>0</v>
      </c>
      <c r="F141" s="71">
        <f t="shared" si="8"/>
        <v>227.92769999999999</v>
      </c>
      <c r="G141" s="71">
        <v>0</v>
      </c>
      <c r="H141" s="71">
        <f t="shared" si="9"/>
        <v>341.89155</v>
      </c>
      <c r="I141" s="33"/>
      <c r="L141" s="98"/>
      <c r="M141" s="98"/>
      <c r="N141" s="33"/>
      <c r="T141" s="18"/>
    </row>
    <row r="142" spans="1:20" s="72" customFormat="1" ht="15.75" customHeight="1" x14ac:dyDescent="0.25">
      <c r="A142" s="100" t="s">
        <v>368</v>
      </c>
      <c r="B142" s="101"/>
      <c r="C142" s="71" t="s">
        <v>358</v>
      </c>
      <c r="D142" s="75">
        <f>(6*9.43+1.8*7+0.72+1.8*0.8)*(10.764)</f>
        <v>767.90375999999981</v>
      </c>
      <c r="E142" s="71">
        <v>0</v>
      </c>
      <c r="F142" s="71">
        <f t="shared" ref="F142:F144" si="10">D142+(IF(E142&lt;201,E142,IF(E142&lt;301,E142/2,E142/3)))</f>
        <v>767.90375999999981</v>
      </c>
      <c r="G142" s="71">
        <v>0</v>
      </c>
      <c r="H142" s="71">
        <f t="shared" ref="H142:H144" si="11">(F142+(IF(G142&lt;101,G142,IF(G142&lt;201,G142/2,IF(G142&lt;=301,G142/3,G142/4)))))*(($H$129)+1)</f>
        <v>1151.8556399999998</v>
      </c>
      <c r="I142" s="33"/>
      <c r="L142" s="98"/>
      <c r="M142" s="98"/>
      <c r="N142" s="33"/>
      <c r="T142" s="31"/>
    </row>
    <row r="143" spans="1:20" s="72" customFormat="1" ht="15.75" customHeight="1" x14ac:dyDescent="0.25">
      <c r="A143" s="100" t="s">
        <v>369</v>
      </c>
      <c r="B143" s="101"/>
      <c r="C143" s="71" t="s">
        <v>358</v>
      </c>
      <c r="D143" s="75">
        <f>(2.7*4.8+1*3.1)*(10.764)</f>
        <v>172.86984000000001</v>
      </c>
      <c r="E143" s="71">
        <v>0</v>
      </c>
      <c r="F143" s="71">
        <f t="shared" si="10"/>
        <v>172.86984000000001</v>
      </c>
      <c r="G143" s="71">
        <v>0</v>
      </c>
      <c r="H143" s="71">
        <f t="shared" si="11"/>
        <v>259.30475999999999</v>
      </c>
      <c r="I143" s="33"/>
      <c r="L143" s="98"/>
      <c r="M143" s="98"/>
      <c r="N143" s="33"/>
      <c r="T143" s="18"/>
    </row>
    <row r="144" spans="1:20" s="72" customFormat="1" ht="15.75" customHeight="1" x14ac:dyDescent="0.25">
      <c r="A144" s="100" t="s">
        <v>370</v>
      </c>
      <c r="B144" s="101"/>
      <c r="C144" s="71" t="s">
        <v>358</v>
      </c>
      <c r="D144" s="75">
        <f>(1.5*3.18+4.45+1.9)*(10.764)</f>
        <v>119.69568000000001</v>
      </c>
      <c r="E144" s="71">
        <v>0</v>
      </c>
      <c r="F144" s="71">
        <f t="shared" si="10"/>
        <v>119.69568000000001</v>
      </c>
      <c r="G144" s="71">
        <v>0</v>
      </c>
      <c r="H144" s="71">
        <f t="shared" si="11"/>
        <v>179.54352</v>
      </c>
      <c r="I144" s="33"/>
      <c r="L144" s="98"/>
      <c r="M144" s="98"/>
      <c r="N144" s="33"/>
      <c r="T144" s="18"/>
    </row>
    <row r="145" spans="1:20" s="72" customFormat="1" hidden="1" x14ac:dyDescent="0.25">
      <c r="A145" s="102" t="s">
        <v>372</v>
      </c>
      <c r="B145" s="103"/>
      <c r="C145" s="103"/>
      <c r="D145" s="103"/>
      <c r="E145" s="103"/>
      <c r="F145" s="103"/>
      <c r="G145" s="103"/>
      <c r="H145" s="104"/>
      <c r="J145" s="33"/>
      <c r="T145" s="32"/>
    </row>
    <row r="146" spans="1:20" s="72" customFormat="1" ht="47.25" hidden="1" x14ac:dyDescent="0.25">
      <c r="A146" s="100" t="s">
        <v>379</v>
      </c>
      <c r="B146" s="101"/>
      <c r="C146" s="85" t="s">
        <v>382</v>
      </c>
      <c r="D146" s="250" t="s">
        <v>413</v>
      </c>
      <c r="E146" s="251"/>
      <c r="F146" s="251"/>
      <c r="G146" s="251"/>
      <c r="H146" s="252"/>
      <c r="I146" s="86">
        <f>(3.76*8.48+3.76*6.4)*(10.764)</f>
        <v>602.23288319999995</v>
      </c>
      <c r="J146" s="78">
        <v>0</v>
      </c>
      <c r="K146" s="78">
        <f t="shared" ref="K146:K147" si="12">I146+(IF(J146&lt;201,J146,IF(J146&lt;301,J146/2,J146/3)))</f>
        <v>602.23288319999995</v>
      </c>
      <c r="L146" s="78">
        <v>0</v>
      </c>
      <c r="M146" s="78">
        <f t="shared" ref="M146:M147" si="13">(K146+(IF(L146&lt;101,L146,IF(L146&lt;201,L146/2,IF(L146&lt;=301,L146/3,L146/4)))))*(($H$129)+1)</f>
        <v>903.34932479999998</v>
      </c>
      <c r="N146" s="33"/>
      <c r="T146" s="32"/>
    </row>
    <row r="147" spans="1:20" s="72" customFormat="1" ht="47.25" hidden="1" x14ac:dyDescent="0.25">
      <c r="A147" s="100" t="s">
        <v>380</v>
      </c>
      <c r="B147" s="101"/>
      <c r="C147" s="85" t="s">
        <v>382</v>
      </c>
      <c r="D147" s="253"/>
      <c r="E147" s="254"/>
      <c r="F147" s="254"/>
      <c r="G147" s="254"/>
      <c r="H147" s="255"/>
      <c r="I147" s="86">
        <f>(3.68*8.48+3.76*9.52+6.4*(3.76+3.68))*(10.764)</f>
        <v>1233.7438463999999</v>
      </c>
      <c r="J147" s="78">
        <v>0</v>
      </c>
      <c r="K147" s="78">
        <f t="shared" si="12"/>
        <v>1233.7438463999999</v>
      </c>
      <c r="L147" s="78">
        <v>0</v>
      </c>
      <c r="M147" s="78">
        <f t="shared" si="13"/>
        <v>1850.6157696</v>
      </c>
      <c r="N147" s="33"/>
      <c r="T147" s="31"/>
    </row>
    <row r="148" spans="1:20" s="72" customFormat="1" hidden="1" x14ac:dyDescent="0.25">
      <c r="A148" s="100" t="s">
        <v>362</v>
      </c>
      <c r="B148" s="101"/>
      <c r="C148" s="110" t="s">
        <v>373</v>
      </c>
      <c r="D148" s="111"/>
      <c r="E148" s="111"/>
      <c r="F148" s="111"/>
      <c r="G148" s="111"/>
      <c r="H148" s="112"/>
      <c r="I148" s="33"/>
      <c r="L148" s="98"/>
      <c r="M148" s="98"/>
      <c r="N148" s="33"/>
      <c r="T148" s="18"/>
    </row>
    <row r="149" spans="1:20" s="72" customFormat="1" hidden="1" x14ac:dyDescent="0.25">
      <c r="A149" s="100" t="s">
        <v>363</v>
      </c>
      <c r="B149" s="101"/>
      <c r="C149" s="113"/>
      <c r="D149" s="114"/>
      <c r="E149" s="114"/>
      <c r="F149" s="114"/>
      <c r="G149" s="114"/>
      <c r="H149" s="115"/>
      <c r="I149" s="33"/>
      <c r="L149" s="98"/>
      <c r="M149" s="98"/>
      <c r="N149" s="33"/>
      <c r="T149" s="31"/>
    </row>
    <row r="150" spans="1:20" s="72" customFormat="1" hidden="1" x14ac:dyDescent="0.25">
      <c r="A150" s="100" t="s">
        <v>364</v>
      </c>
      <c r="B150" s="101"/>
      <c r="C150" s="113"/>
      <c r="D150" s="114"/>
      <c r="E150" s="114"/>
      <c r="F150" s="114"/>
      <c r="G150" s="114"/>
      <c r="H150" s="115"/>
      <c r="I150" s="33"/>
      <c r="L150" s="98"/>
      <c r="M150" s="98"/>
      <c r="N150" s="33"/>
      <c r="T150" s="18"/>
    </row>
    <row r="151" spans="1:20" s="72" customFormat="1" hidden="1" x14ac:dyDescent="0.25">
      <c r="A151" s="100" t="s">
        <v>365</v>
      </c>
      <c r="B151" s="101"/>
      <c r="C151" s="116"/>
      <c r="D151" s="117"/>
      <c r="E151" s="117"/>
      <c r="F151" s="117"/>
      <c r="G151" s="117"/>
      <c r="H151" s="118"/>
      <c r="I151" s="33"/>
      <c r="L151" s="98"/>
      <c r="M151" s="98"/>
      <c r="N151" s="33"/>
      <c r="T151" s="18"/>
    </row>
    <row r="152" spans="1:20" s="74" customFormat="1" x14ac:dyDescent="0.25">
      <c r="A152" s="109" t="s">
        <v>381</v>
      </c>
      <c r="B152" s="109"/>
      <c r="C152" s="109"/>
      <c r="D152" s="109"/>
      <c r="E152" s="109"/>
      <c r="F152" s="109"/>
      <c r="G152" s="109"/>
      <c r="H152" s="109"/>
      <c r="J152" s="33"/>
      <c r="T152" s="32"/>
    </row>
    <row r="153" spans="1:20" s="74" customFormat="1" ht="15.75" customHeight="1" x14ac:dyDescent="0.25">
      <c r="A153" s="99" t="s">
        <v>383</v>
      </c>
      <c r="B153" s="99"/>
      <c r="C153" s="99" t="s">
        <v>413</v>
      </c>
      <c r="D153" s="99"/>
      <c r="E153" s="99"/>
      <c r="F153" s="99"/>
      <c r="G153" s="99"/>
      <c r="H153" s="99"/>
      <c r="I153" s="33"/>
      <c r="L153" s="98"/>
      <c r="M153" s="98"/>
      <c r="N153" s="33"/>
      <c r="T153" s="32"/>
    </row>
    <row r="154" spans="1:20" s="80" customFormat="1" ht="15.75" customHeight="1" x14ac:dyDescent="0.25">
      <c r="A154" s="99" t="s">
        <v>420</v>
      </c>
      <c r="B154" s="99"/>
      <c r="C154" s="99"/>
      <c r="D154" s="99"/>
      <c r="E154" s="99"/>
      <c r="F154" s="99"/>
      <c r="G154" s="99"/>
      <c r="H154" s="99"/>
      <c r="I154" s="33"/>
      <c r="L154" s="98"/>
      <c r="M154" s="98"/>
      <c r="N154" s="33"/>
      <c r="T154" s="31"/>
    </row>
    <row r="155" spans="1:20" s="74" customFormat="1" ht="15.75" customHeight="1" x14ac:dyDescent="0.25">
      <c r="A155" s="99" t="s">
        <v>421</v>
      </c>
      <c r="B155" s="99"/>
      <c r="C155" s="99"/>
      <c r="D155" s="99"/>
      <c r="E155" s="99"/>
      <c r="F155" s="99"/>
      <c r="G155" s="99"/>
      <c r="H155" s="99"/>
      <c r="I155" s="33"/>
      <c r="L155" s="98"/>
      <c r="M155" s="98"/>
      <c r="N155" s="33"/>
      <c r="T155" s="31"/>
    </row>
    <row r="156" spans="1:20" s="74" customFormat="1" ht="15.75" customHeight="1" x14ac:dyDescent="0.25">
      <c r="A156" s="99" t="s">
        <v>384</v>
      </c>
      <c r="B156" s="99"/>
      <c r="C156" s="92" t="s">
        <v>358</v>
      </c>
      <c r="D156" s="75">
        <f>(6.28*14.62)*(10.764)</f>
        <v>988.28159039999991</v>
      </c>
      <c r="E156" s="75">
        <f>(0.8*3.5+3.325)*(10.764)</f>
        <v>65.92949999999999</v>
      </c>
      <c r="F156" s="92">
        <f t="shared" ref="F156:F160" si="14">D156+(IF(E156&lt;201,E156,IF(E156&lt;301,E156/2,E156/3)))</f>
        <v>1054.2110903999999</v>
      </c>
      <c r="G156" s="75">
        <f>(6.06*9.52)*(10.764)</f>
        <v>620.98807679999993</v>
      </c>
      <c r="H156" s="92">
        <f t="shared" ref="H156:H160" si="15">(F156+(IF(G156&lt;101,G156,IF(G156&lt;201,G156/2,IF(G156&lt;=301,G156/3,G156/4)))))*(($H$129)+1)</f>
        <v>1814.1871643999998</v>
      </c>
      <c r="I156" s="33"/>
      <c r="L156" s="98"/>
      <c r="M156" s="98"/>
      <c r="N156" s="33"/>
      <c r="T156" s="18"/>
    </row>
    <row r="157" spans="1:20" s="74" customFormat="1" ht="15.75" customHeight="1" x14ac:dyDescent="0.25">
      <c r="A157" s="99" t="s">
        <v>385</v>
      </c>
      <c r="B157" s="99"/>
      <c r="C157" s="92" t="s">
        <v>358</v>
      </c>
      <c r="D157" s="75">
        <f>(6.02*10.5+4.8*4)*(10.764)</f>
        <v>887.06123999999988</v>
      </c>
      <c r="E157" s="75">
        <f>(10.9*2+3.42*2)*(10.764)</f>
        <v>308.28095999999999</v>
      </c>
      <c r="F157" s="92">
        <f t="shared" si="14"/>
        <v>989.82155999999986</v>
      </c>
      <c r="G157" s="92">
        <v>0</v>
      </c>
      <c r="H157" s="92">
        <f t="shared" si="15"/>
        <v>1484.7323399999998</v>
      </c>
      <c r="I157" s="33"/>
      <c r="J157" s="76"/>
      <c r="L157" s="98"/>
      <c r="M157" s="98"/>
      <c r="N157" s="33"/>
      <c r="T157" s="32"/>
    </row>
    <row r="158" spans="1:20" s="74" customFormat="1" ht="15.75" customHeight="1" x14ac:dyDescent="0.25">
      <c r="A158" s="99" t="s">
        <v>386</v>
      </c>
      <c r="B158" s="99"/>
      <c r="C158" s="92" t="s">
        <v>358</v>
      </c>
      <c r="D158" s="75">
        <f>(8.3*6+5.33*1.5+4.5*5.3+3.3*1+2.025)*(10.764)</f>
        <v>936.14507999999989</v>
      </c>
      <c r="E158" s="75">
        <f>(1.5*2.11+1.175)*(10.764)</f>
        <v>46.715759999999996</v>
      </c>
      <c r="F158" s="92">
        <f t="shared" si="14"/>
        <v>982.86083999999994</v>
      </c>
      <c r="G158" s="92">
        <v>0</v>
      </c>
      <c r="H158" s="92">
        <f t="shared" si="15"/>
        <v>1474.29126</v>
      </c>
      <c r="I158" s="33"/>
      <c r="L158" s="98"/>
      <c r="M158" s="98"/>
      <c r="N158" s="33"/>
      <c r="T158" s="31"/>
    </row>
    <row r="159" spans="1:20" s="74" customFormat="1" ht="15.75" customHeight="1" x14ac:dyDescent="0.25">
      <c r="A159" s="99" t="s">
        <v>388</v>
      </c>
      <c r="B159" s="99"/>
      <c r="C159" s="92" t="s">
        <v>358</v>
      </c>
      <c r="D159" s="75">
        <f>(2.69*4.86)*(10.764)</f>
        <v>140.72207760000001</v>
      </c>
      <c r="E159" s="75">
        <f>0*(10.764)</f>
        <v>0</v>
      </c>
      <c r="F159" s="92">
        <f t="shared" ref="F159" si="16">D159+(IF(E159&lt;201,E159,IF(E159&lt;301,E159/2,E159/3)))</f>
        <v>140.72207760000001</v>
      </c>
      <c r="G159" s="92">
        <v>0</v>
      </c>
      <c r="H159" s="92">
        <f t="shared" ref="H159" si="17">(F159+(IF(G159&lt;101,G159,IF(G159&lt;201,G159/2,IF(G159&lt;=301,G159/3,G159/4)))))*(($H$129)+1)</f>
        <v>211.08311639999999</v>
      </c>
      <c r="I159" s="33"/>
      <c r="L159" s="98"/>
      <c r="M159" s="98"/>
      <c r="N159" s="33"/>
      <c r="T159" s="18"/>
    </row>
    <row r="160" spans="1:20" s="74" customFormat="1" ht="15.75" customHeight="1" x14ac:dyDescent="0.25">
      <c r="A160" s="99" t="s">
        <v>389</v>
      </c>
      <c r="B160" s="99"/>
      <c r="C160" s="92" t="s">
        <v>358</v>
      </c>
      <c r="D160" s="75">
        <f>(2.3*3.18+3.75+1.908)*(10.764)</f>
        <v>139.630608</v>
      </c>
      <c r="E160" s="75">
        <f>0*(10.764)</f>
        <v>0</v>
      </c>
      <c r="F160" s="92">
        <f t="shared" si="14"/>
        <v>139.630608</v>
      </c>
      <c r="G160" s="92">
        <v>0</v>
      </c>
      <c r="H160" s="92">
        <f t="shared" si="15"/>
        <v>209.44591199999999</v>
      </c>
      <c r="I160" s="33"/>
      <c r="L160" s="98"/>
      <c r="M160" s="98"/>
      <c r="N160" s="33"/>
      <c r="T160" s="18"/>
    </row>
    <row r="161" spans="1:20" s="74" customFormat="1" ht="15.75" customHeight="1" x14ac:dyDescent="0.25">
      <c r="A161" s="99" t="s">
        <v>387</v>
      </c>
      <c r="B161" s="99"/>
      <c r="C161" s="92" t="s">
        <v>358</v>
      </c>
      <c r="D161" s="75">
        <f>(5.92*2.34)*(10.764)</f>
        <v>149.11153919999998</v>
      </c>
      <c r="E161" s="75">
        <f>0*(10.764)</f>
        <v>0</v>
      </c>
      <c r="F161" s="92">
        <f t="shared" ref="F161" si="18">D161+(IF(E161&lt;201,E161,IF(E161&lt;301,E161/2,E161/3)))</f>
        <v>149.11153919999998</v>
      </c>
      <c r="G161" s="92">
        <v>0</v>
      </c>
      <c r="H161" s="92">
        <f t="shared" ref="H161" si="19">(F161+(IF(G161&lt;101,G161,IF(G161&lt;201,G161/2,IF(G161&lt;=301,G161/3,G161/4)))))*(($H$129)+1)</f>
        <v>223.66730879999997</v>
      </c>
      <c r="I161" s="33"/>
      <c r="L161" s="98"/>
      <c r="M161" s="98"/>
      <c r="N161" s="33"/>
      <c r="T161" s="18"/>
    </row>
    <row r="162" spans="1:20" s="74" customFormat="1" x14ac:dyDescent="0.25">
      <c r="A162" s="109" t="s">
        <v>390</v>
      </c>
      <c r="B162" s="109"/>
      <c r="C162" s="109"/>
      <c r="D162" s="109"/>
      <c r="E162" s="109"/>
      <c r="F162" s="109"/>
      <c r="G162" s="109"/>
      <c r="H162" s="109"/>
      <c r="J162" s="33"/>
      <c r="T162" s="32"/>
    </row>
    <row r="163" spans="1:20" s="80" customFormat="1" ht="15.75" customHeight="1" x14ac:dyDescent="0.25">
      <c r="A163" s="234" t="s">
        <v>422</v>
      </c>
      <c r="B163" s="234"/>
      <c r="C163" s="234" t="s">
        <v>424</v>
      </c>
      <c r="D163" s="234"/>
      <c r="E163" s="234"/>
      <c r="F163" s="234"/>
      <c r="G163" s="234"/>
      <c r="H163" s="234"/>
      <c r="I163" s="33"/>
      <c r="L163" s="98"/>
      <c r="M163" s="98"/>
      <c r="N163" s="33"/>
      <c r="T163" s="32"/>
    </row>
    <row r="164" spans="1:20" s="74" customFormat="1" ht="15.75" customHeight="1" x14ac:dyDescent="0.25">
      <c r="A164" s="234" t="s">
        <v>423</v>
      </c>
      <c r="B164" s="234"/>
      <c r="C164" s="234"/>
      <c r="D164" s="234"/>
      <c r="E164" s="234"/>
      <c r="F164" s="234"/>
      <c r="G164" s="234"/>
      <c r="H164" s="234"/>
      <c r="I164" s="33"/>
      <c r="L164" s="98"/>
      <c r="M164" s="98"/>
      <c r="N164" s="33"/>
      <c r="T164" s="32"/>
    </row>
    <row r="165" spans="1:20" s="74" customFormat="1" ht="15.75" customHeight="1" x14ac:dyDescent="0.25">
      <c r="A165" s="99" t="s">
        <v>391</v>
      </c>
      <c r="B165" s="99"/>
      <c r="C165" s="92" t="s">
        <v>358</v>
      </c>
      <c r="D165" s="75">
        <f>(4.8*14.62+1.5*9.65)*(10.764)</f>
        <v>911.18336399999976</v>
      </c>
      <c r="E165" s="75">
        <f>(1.49*5.12+0.75*3.5+3.065)*(10.764)</f>
        <v>143.36356319999999</v>
      </c>
      <c r="F165" s="92">
        <f t="shared" ref="F165:F169" si="20">D165+(IF(E165&lt;201,E165,IF(E165&lt;301,E165/2,E165/3)))</f>
        <v>1054.5469271999998</v>
      </c>
      <c r="G165" s="92">
        <v>0</v>
      </c>
      <c r="H165" s="92">
        <f t="shared" ref="H165:H170" si="21">(F165+(IF(G165&lt;101,G165,IF(G165&lt;201,G165/2,IF(G165&lt;=301,G165/3,G165/4)))))*(($H$129)+1)</f>
        <v>1581.8203907999996</v>
      </c>
      <c r="I165" s="33"/>
      <c r="L165" s="98"/>
      <c r="M165" s="98"/>
      <c r="N165" s="33"/>
      <c r="T165" s="32"/>
    </row>
    <row r="166" spans="1:20" s="74" customFormat="1" ht="15.75" customHeight="1" x14ac:dyDescent="0.25">
      <c r="A166" s="100" t="s">
        <v>392</v>
      </c>
      <c r="B166" s="101"/>
      <c r="C166" s="73" t="s">
        <v>358</v>
      </c>
      <c r="D166" s="75">
        <f>(6.02*10.5+4.8*4)*(10.764)</f>
        <v>887.06123999999988</v>
      </c>
      <c r="E166" s="75">
        <f>(10.9*2+3.42*2)*(10.764)</f>
        <v>308.28095999999999</v>
      </c>
      <c r="F166" s="73">
        <f t="shared" si="20"/>
        <v>989.82155999999986</v>
      </c>
      <c r="G166" s="73">
        <v>0</v>
      </c>
      <c r="H166" s="73">
        <f t="shared" si="21"/>
        <v>1484.7323399999998</v>
      </c>
      <c r="I166" s="33"/>
      <c r="L166" s="98"/>
      <c r="M166" s="98"/>
      <c r="N166" s="33"/>
      <c r="T166" s="31"/>
    </row>
    <row r="167" spans="1:20" s="74" customFormat="1" ht="15.75" customHeight="1" x14ac:dyDescent="0.25">
      <c r="A167" s="100" t="s">
        <v>393</v>
      </c>
      <c r="B167" s="101"/>
      <c r="C167" s="73" t="s">
        <v>358</v>
      </c>
      <c r="D167" s="75">
        <f>(8.3*6+5.33*1.5+4.5*5.3+3.3*1+2.025)*(10.764)</f>
        <v>936.14507999999989</v>
      </c>
      <c r="E167" s="75">
        <f>(1.5*2.11+1.175)*(10.764)</f>
        <v>46.715759999999996</v>
      </c>
      <c r="F167" s="73">
        <f t="shared" si="20"/>
        <v>982.86083999999994</v>
      </c>
      <c r="G167" s="73">
        <v>0</v>
      </c>
      <c r="H167" s="73">
        <f t="shared" si="21"/>
        <v>1474.29126</v>
      </c>
      <c r="I167" s="33"/>
      <c r="L167" s="98"/>
      <c r="M167" s="98"/>
      <c r="N167" s="33"/>
      <c r="T167" s="18"/>
    </row>
    <row r="168" spans="1:20" s="74" customFormat="1" ht="15.75" customHeight="1" x14ac:dyDescent="0.25">
      <c r="A168" s="100" t="s">
        <v>395</v>
      </c>
      <c r="B168" s="101"/>
      <c r="C168" s="73" t="s">
        <v>358</v>
      </c>
      <c r="D168" s="75">
        <f>(2.7*4.8+1*3.1)*(10.764)</f>
        <v>172.86984000000001</v>
      </c>
      <c r="E168" s="75">
        <f>0*(10.764)</f>
        <v>0</v>
      </c>
      <c r="F168" s="73">
        <f t="shared" si="20"/>
        <v>172.86984000000001</v>
      </c>
      <c r="G168" s="73">
        <v>0</v>
      </c>
      <c r="H168" s="73">
        <f t="shared" si="21"/>
        <v>259.30475999999999</v>
      </c>
      <c r="I168" s="33"/>
      <c r="L168" s="98"/>
      <c r="M168" s="98"/>
      <c r="N168" s="33"/>
      <c r="T168" s="32"/>
    </row>
    <row r="169" spans="1:20" s="74" customFormat="1" ht="15.75" customHeight="1" x14ac:dyDescent="0.25">
      <c r="A169" s="100" t="s">
        <v>396</v>
      </c>
      <c r="B169" s="101"/>
      <c r="C169" s="73" t="s">
        <v>358</v>
      </c>
      <c r="D169" s="75">
        <f>(1.5*3.18+4.45+1.9)*(10.764)</f>
        <v>119.69568000000001</v>
      </c>
      <c r="E169" s="75">
        <f>0*(10.764)</f>
        <v>0</v>
      </c>
      <c r="F169" s="73">
        <f t="shared" si="20"/>
        <v>119.69568000000001</v>
      </c>
      <c r="G169" s="73">
        <v>0</v>
      </c>
      <c r="H169" s="73">
        <f t="shared" si="21"/>
        <v>179.54352</v>
      </c>
      <c r="I169" s="33"/>
      <c r="L169" s="98"/>
      <c r="M169" s="98"/>
      <c r="N169" s="33"/>
      <c r="T169" s="31"/>
    </row>
    <row r="170" spans="1:20" s="74" customFormat="1" ht="15.75" customHeight="1" x14ac:dyDescent="0.25">
      <c r="A170" s="100" t="s">
        <v>394</v>
      </c>
      <c r="B170" s="101"/>
      <c r="C170" s="73" t="s">
        <v>358</v>
      </c>
      <c r="D170" s="75">
        <f>(12.04*9.08)*(10.764)</f>
        <v>1176.7549248</v>
      </c>
      <c r="E170" s="75">
        <f>(12.04*2)*(10.764)</f>
        <v>259.19711999999998</v>
      </c>
      <c r="F170" s="73">
        <f t="shared" ref="F170" si="22">D170+(IF(E170&lt;201,E170,IF(E170&lt;301,E170/2,E170/3)))</f>
        <v>1306.3534847999999</v>
      </c>
      <c r="G170" s="73">
        <v>0</v>
      </c>
      <c r="H170" s="73">
        <f t="shared" si="21"/>
        <v>1959.5302271999999</v>
      </c>
      <c r="I170" s="33"/>
      <c r="L170" s="98"/>
      <c r="M170" s="98"/>
      <c r="N170" s="33"/>
      <c r="T170" s="18"/>
    </row>
    <row r="171" spans="1:20" s="72" customFormat="1" x14ac:dyDescent="0.25">
      <c r="A171" s="102" t="s">
        <v>404</v>
      </c>
      <c r="B171" s="103"/>
      <c r="C171" s="103"/>
      <c r="D171" s="103"/>
      <c r="E171" s="103"/>
      <c r="F171" s="103"/>
      <c r="G171" s="103"/>
      <c r="H171" s="104"/>
      <c r="J171" s="33"/>
      <c r="T171" s="32"/>
    </row>
    <row r="172" spans="1:20" s="72" customFormat="1" ht="15.75" customHeight="1" x14ac:dyDescent="0.25">
      <c r="A172" s="100" t="s">
        <v>398</v>
      </c>
      <c r="B172" s="101"/>
      <c r="C172" s="71" t="s">
        <v>358</v>
      </c>
      <c r="D172" s="75">
        <f>(4.8*14.62+1.5*9.65)*(10.764)</f>
        <v>911.18336399999976</v>
      </c>
      <c r="E172" s="75">
        <f>(1.49*5.12+0.75*3.5+3.065)*(10.764)</f>
        <v>143.36356319999999</v>
      </c>
      <c r="F172" s="73">
        <f t="shared" ref="F172:F177" si="23">D172+(IF(E172&lt;201,E172,IF(E172&lt;301,E172/2,E172/3)))</f>
        <v>1054.5469271999998</v>
      </c>
      <c r="G172" s="73">
        <v>0</v>
      </c>
      <c r="H172" s="73">
        <f t="shared" ref="H172:H176" si="24">(F172+(IF(G172&lt;101,G172,IF(G172&lt;201,G172/2,IF(G172&lt;=301,G172/3,G172/4)))))*(($H$129)+1)</f>
        <v>1581.8203907999996</v>
      </c>
      <c r="I172" s="33"/>
      <c r="L172" s="98"/>
      <c r="M172" s="98"/>
      <c r="N172" s="33"/>
      <c r="T172" s="32"/>
    </row>
    <row r="173" spans="1:20" s="72" customFormat="1" ht="15.75" customHeight="1" x14ac:dyDescent="0.25">
      <c r="A173" s="100" t="s">
        <v>399</v>
      </c>
      <c r="B173" s="101"/>
      <c r="C173" s="71" t="s">
        <v>358</v>
      </c>
      <c r="D173" s="75">
        <f>(6.02*10.5+4.8*4)*(10.764)</f>
        <v>887.06123999999988</v>
      </c>
      <c r="E173" s="75">
        <f>(10.9*2+3.42*2)*(10.764)</f>
        <v>308.28095999999999</v>
      </c>
      <c r="F173" s="73">
        <f t="shared" si="23"/>
        <v>989.82155999999986</v>
      </c>
      <c r="G173" s="73">
        <v>0</v>
      </c>
      <c r="H173" s="73">
        <f t="shared" si="24"/>
        <v>1484.7323399999998</v>
      </c>
      <c r="I173" s="33"/>
      <c r="L173" s="98"/>
      <c r="M173" s="98"/>
      <c r="N173" s="33"/>
      <c r="T173" s="31"/>
    </row>
    <row r="174" spans="1:20" s="72" customFormat="1" ht="15.75" customHeight="1" x14ac:dyDescent="0.25">
      <c r="A174" s="100" t="s">
        <v>400</v>
      </c>
      <c r="B174" s="101"/>
      <c r="C174" s="71" t="s">
        <v>358</v>
      </c>
      <c r="D174" s="75">
        <f>(8.3*6+5.33*1.5+4.5*5.3+3.3*1+2.025)*(10.764)</f>
        <v>936.14507999999989</v>
      </c>
      <c r="E174" s="75">
        <f>(1.5*2.11+1.175)*(10.764)</f>
        <v>46.715759999999996</v>
      </c>
      <c r="F174" s="71">
        <f t="shared" si="23"/>
        <v>982.86083999999994</v>
      </c>
      <c r="G174" s="71">
        <v>0</v>
      </c>
      <c r="H174" s="71">
        <f t="shared" si="24"/>
        <v>1474.29126</v>
      </c>
      <c r="I174" s="33"/>
      <c r="L174" s="98"/>
      <c r="M174" s="98"/>
      <c r="N174" s="33"/>
      <c r="T174" s="18"/>
    </row>
    <row r="175" spans="1:20" s="72" customFormat="1" ht="15.75" customHeight="1" x14ac:dyDescent="0.25">
      <c r="A175" s="100" t="s">
        <v>401</v>
      </c>
      <c r="B175" s="101"/>
      <c r="C175" s="71" t="s">
        <v>358</v>
      </c>
      <c r="D175" s="75">
        <f>(2.7*4.8+1*3.1)*(10.764)</f>
        <v>172.86984000000001</v>
      </c>
      <c r="E175" s="75">
        <f>0*(10.764)</f>
        <v>0</v>
      </c>
      <c r="F175" s="73">
        <f t="shared" si="23"/>
        <v>172.86984000000001</v>
      </c>
      <c r="G175" s="73">
        <v>0</v>
      </c>
      <c r="H175" s="73">
        <f t="shared" si="24"/>
        <v>259.30475999999999</v>
      </c>
      <c r="I175" s="33"/>
      <c r="L175" s="98"/>
      <c r="M175" s="98"/>
      <c r="N175" s="33"/>
      <c r="T175" s="32"/>
    </row>
    <row r="176" spans="1:20" s="72" customFormat="1" ht="15.75" customHeight="1" x14ac:dyDescent="0.25">
      <c r="A176" s="100" t="s">
        <v>402</v>
      </c>
      <c r="B176" s="101"/>
      <c r="C176" s="71" t="s">
        <v>358</v>
      </c>
      <c r="D176" s="75">
        <f>(1.5*3.18+4.45+1.9)*(10.764)</f>
        <v>119.69568000000001</v>
      </c>
      <c r="E176" s="75">
        <f>0*(10.764)</f>
        <v>0</v>
      </c>
      <c r="F176" s="73">
        <f t="shared" si="23"/>
        <v>119.69568000000001</v>
      </c>
      <c r="G176" s="73">
        <v>0</v>
      </c>
      <c r="H176" s="73">
        <f t="shared" si="24"/>
        <v>179.54352</v>
      </c>
      <c r="I176" s="33"/>
      <c r="L176" s="98"/>
      <c r="M176" s="98"/>
      <c r="N176" s="33"/>
      <c r="T176" s="31"/>
    </row>
    <row r="177" spans="1:20" s="72" customFormat="1" ht="15.75" customHeight="1" x14ac:dyDescent="0.25">
      <c r="A177" s="100" t="s">
        <v>403</v>
      </c>
      <c r="B177" s="101"/>
      <c r="C177" s="71" t="s">
        <v>358</v>
      </c>
      <c r="D177" s="75">
        <f>(12.04*9.08)*(10.764)</f>
        <v>1176.7549248</v>
      </c>
      <c r="E177" s="75">
        <f>(12.04*2)*(10.764)</f>
        <v>259.19711999999998</v>
      </c>
      <c r="F177" s="73">
        <f t="shared" si="23"/>
        <v>1306.3534847999999</v>
      </c>
      <c r="G177" s="73">
        <v>0</v>
      </c>
      <c r="H177" s="71">
        <f t="shared" ref="H177" si="25">(F177+(IF(G177&lt;101,G177,IF(G177&lt;201,G177/2,IF(G177&lt;=301,G177/3,G177/4)))))*(($H$129)+1)</f>
        <v>1959.5302271999999</v>
      </c>
      <c r="I177" s="33"/>
      <c r="L177" s="98"/>
      <c r="M177" s="98"/>
      <c r="N177" s="33"/>
      <c r="T177" s="18"/>
    </row>
    <row r="178" spans="1:20" s="34" customFormat="1" x14ac:dyDescent="0.25">
      <c r="A178" s="100"/>
      <c r="B178" s="186"/>
      <c r="C178" s="186"/>
      <c r="D178" s="186"/>
      <c r="E178" s="186"/>
      <c r="F178" s="186"/>
      <c r="G178" s="186"/>
      <c r="H178" s="101"/>
      <c r="I178" s="33"/>
      <c r="N178" s="33"/>
    </row>
    <row r="179" spans="1:20" ht="47.25" customHeight="1" x14ac:dyDescent="0.25">
      <c r="A179" s="105" t="s">
        <v>415</v>
      </c>
      <c r="B179" s="107" t="s">
        <v>175</v>
      </c>
      <c r="C179" s="107" t="s">
        <v>55</v>
      </c>
      <c r="D179" s="107" t="s">
        <v>231</v>
      </c>
      <c r="E179" s="107" t="s">
        <v>230</v>
      </c>
      <c r="F179" s="107" t="s">
        <v>56</v>
      </c>
      <c r="G179" s="229" t="s">
        <v>57</v>
      </c>
      <c r="H179" s="82" t="s">
        <v>146</v>
      </c>
      <c r="I179" s="33"/>
      <c r="T179" s="34"/>
    </row>
    <row r="180" spans="1:20" s="34" customFormat="1" x14ac:dyDescent="0.25">
      <c r="A180" s="106"/>
      <c r="B180" s="108"/>
      <c r="C180" s="108"/>
      <c r="D180" s="108"/>
      <c r="E180" s="108"/>
      <c r="F180" s="108"/>
      <c r="G180" s="230"/>
      <c r="H180" s="83">
        <v>0.45</v>
      </c>
      <c r="I180" s="33"/>
    </row>
    <row r="181" spans="1:20" s="72" customFormat="1" x14ac:dyDescent="0.25">
      <c r="A181" s="102" t="s">
        <v>374</v>
      </c>
      <c r="B181" s="103"/>
      <c r="C181" s="103"/>
      <c r="D181" s="103"/>
      <c r="E181" s="103"/>
      <c r="F181" s="103"/>
      <c r="G181" s="103"/>
      <c r="H181" s="104"/>
      <c r="J181" s="33"/>
      <c r="T181" s="32"/>
    </row>
    <row r="182" spans="1:20" s="72" customFormat="1" x14ac:dyDescent="0.25">
      <c r="A182" s="102" t="s">
        <v>355</v>
      </c>
      <c r="B182" s="103"/>
      <c r="C182" s="103"/>
      <c r="D182" s="103"/>
      <c r="E182" s="103"/>
      <c r="F182" s="103"/>
      <c r="G182" s="103"/>
      <c r="H182" s="104"/>
      <c r="J182" s="75">
        <f>10.764</f>
        <v>10.763999999999999</v>
      </c>
      <c r="T182" s="32"/>
    </row>
    <row r="183" spans="1:20" s="72" customFormat="1" x14ac:dyDescent="0.25">
      <c r="A183" s="102" t="s">
        <v>377</v>
      </c>
      <c r="B183" s="103"/>
      <c r="C183" s="103"/>
      <c r="D183" s="103"/>
      <c r="E183" s="103"/>
      <c r="F183" s="103"/>
      <c r="G183" s="103"/>
      <c r="H183" s="104"/>
      <c r="J183" s="33"/>
      <c r="T183" s="32"/>
    </row>
    <row r="184" spans="1:20" s="72" customFormat="1" x14ac:dyDescent="0.25">
      <c r="A184" s="102" t="s">
        <v>410</v>
      </c>
      <c r="B184" s="103"/>
      <c r="C184" s="103"/>
      <c r="D184" s="103"/>
      <c r="E184" s="103"/>
      <c r="F184" s="103"/>
      <c r="G184" s="103"/>
      <c r="H184" s="104"/>
      <c r="I184" s="33"/>
      <c r="K184" s="72">
        <v>340</v>
      </c>
    </row>
    <row r="185" spans="1:20" s="72" customFormat="1" ht="15.75" customHeight="1" x14ac:dyDescent="0.25">
      <c r="A185" s="10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10^ROW(INDIRECT("1:"&amp;LEN((LEFT(A184,SUM(LEN(A184)-LEN(SUBSTITUTE(A184,{"0","1","2"},""))))))))/10))*100+1&amp;""&amp;"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",LEN(A184))),LEN(A184)))))))/10))*100+1</f>
        <v>101 to 701</v>
      </c>
      <c r="B185" s="101"/>
      <c r="C185" s="71" t="s">
        <v>375</v>
      </c>
      <c r="D185" s="75">
        <f>(51.53)*(10.764)</f>
        <v>554.66891999999996</v>
      </c>
      <c r="E185" s="75">
        <f>(8.14)*(10.764)</f>
        <v>87.618960000000001</v>
      </c>
      <c r="F185" s="71">
        <f>D185+E185</f>
        <v>642.28787999999997</v>
      </c>
      <c r="G185" s="71">
        <v>0</v>
      </c>
      <c r="H185" s="71">
        <f>F185*(($H$180)+1)+(IF(G185&lt;101,G185,IF(G185&lt;201,G185/2,IF(G185&lt;=301,G185/3,G185/4))))</f>
        <v>931.31742599999995</v>
      </c>
      <c r="I185" s="33">
        <f>3.28*1.3+2.08*1+1*0.75</f>
        <v>7.0940000000000003</v>
      </c>
      <c r="J185" s="72">
        <f>3.28*6.1+2.15*2.75+3.2*4.39+1.2*2.05+1.2*2.05+2.8*1</f>
        <v>47.688499999999998</v>
      </c>
      <c r="K185" s="72">
        <f>K$184*H185</f>
        <v>316647.92483999999</v>
      </c>
    </row>
    <row r="186" spans="1:20" s="72" customFormat="1" ht="15.75" customHeight="1" x14ac:dyDescent="0.25">
      <c r="A186" s="100"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102 to 702</v>
      </c>
      <c r="B186" s="101"/>
      <c r="C186" s="71" t="s">
        <v>375</v>
      </c>
      <c r="D186" s="75">
        <f>(34.14)*(10.764)</f>
        <v>367.48295999999999</v>
      </c>
      <c r="E186" s="75">
        <f>(6.2)*(10.764)</f>
        <v>66.736800000000002</v>
      </c>
      <c r="F186" s="71">
        <f>D186+E186</f>
        <v>434.21976000000001</v>
      </c>
      <c r="G186" s="71">
        <v>0</v>
      </c>
      <c r="H186" s="71">
        <f>F186*(($H$180)+1)+(IF(G186&lt;101,G186,IF(G186&lt;201,G186/2,IF(G186&lt;=301,G186/3,G186/4))))</f>
        <v>629.618652</v>
      </c>
      <c r="I186" s="33">
        <f>(3.1*4+2.5*1.85+3.1*2+1.48*1.95+1.47*0.8+1.7*1+1.45*2.2)</f>
        <v>32.176999999999992</v>
      </c>
      <c r="J186" s="33">
        <f>0.75*(3.1+3.1)</f>
        <v>4.6500000000000004</v>
      </c>
      <c r="K186" s="81">
        <f t="shared" ref="K186:K188" si="26">K$184*H186</f>
        <v>214070.34168000001</v>
      </c>
    </row>
    <row r="187" spans="1:20" s="72" customFormat="1" ht="15.75" customHeight="1" x14ac:dyDescent="0.25">
      <c r="A187" s="10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103 to 703</v>
      </c>
      <c r="B187" s="101"/>
      <c r="C187" s="71" t="s">
        <v>375</v>
      </c>
      <c r="D187" s="75">
        <f>(34.14)*(10.764)</f>
        <v>367.48295999999999</v>
      </c>
      <c r="E187" s="75">
        <f>(6.2)*(10.764)</f>
        <v>66.736800000000002</v>
      </c>
      <c r="F187" s="71">
        <f>D187+E187</f>
        <v>434.21976000000001</v>
      </c>
      <c r="G187" s="71">
        <v>0</v>
      </c>
      <c r="H187" s="71">
        <f>F187*(($H$180)+1)+(IF(G187&lt;101,G187,IF(G187&lt;201,G187/2,IF(G187&lt;=301,G187/3,G187/4))))</f>
        <v>629.618652</v>
      </c>
      <c r="I187" s="33"/>
      <c r="K187" s="81">
        <f t="shared" si="26"/>
        <v>214070.34168000001</v>
      </c>
    </row>
    <row r="188" spans="1:20" s="72" customFormat="1" ht="15.75" customHeight="1" x14ac:dyDescent="0.25">
      <c r="A188" s="10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104 to 704</v>
      </c>
      <c r="B188" s="101"/>
      <c r="C188" s="71" t="s">
        <v>376</v>
      </c>
      <c r="D188" s="75">
        <f>(86.29)*(10.764)</f>
        <v>928.82556</v>
      </c>
      <c r="E188" s="75">
        <f>(15.23)*(10.764)</f>
        <v>163.93572</v>
      </c>
      <c r="F188" s="71">
        <f>D188+E188</f>
        <v>1092.7612799999999</v>
      </c>
      <c r="G188" s="71">
        <v>0</v>
      </c>
      <c r="H188" s="71">
        <f>F188*(($H$180)+1)+(IF(G188&lt;101,G188,IF(G188&lt;201,G188/2,IF(G188&lt;=301,G188/3,G188/4))))</f>
        <v>1584.5038559999998</v>
      </c>
      <c r="I188" s="33">
        <f>(5.2*3.93+3.75*3.4+1.1*1.3+2.75*3.2+4.5*3.2+4.5*2.85+2.8*1.4+2.61*1.5+1.5*1.9+1*1.4)</f>
        <v>82.725999999999999</v>
      </c>
      <c r="J188" s="33">
        <f>1.1*3.77+0.75*4.5+0.9*7.35</f>
        <v>14.137</v>
      </c>
      <c r="K188" s="81">
        <f t="shared" si="26"/>
        <v>538731.31103999994</v>
      </c>
    </row>
    <row r="189" spans="1:20" s="34" customFormat="1" hidden="1" x14ac:dyDescent="0.25">
      <c r="A189" s="102" t="s">
        <v>115</v>
      </c>
      <c r="B189" s="103"/>
      <c r="C189" s="103"/>
      <c r="D189" s="103"/>
      <c r="E189" s="103"/>
      <c r="F189" s="103"/>
      <c r="G189" s="103"/>
      <c r="H189" s="104"/>
      <c r="J189" s="33"/>
    </row>
    <row r="190" spans="1:20" s="34" customFormat="1" ht="15.75" hidden="1" customHeight="1" x14ac:dyDescent="0.25">
      <c r="A190" s="100">
        <v>1</v>
      </c>
      <c r="B190" s="101"/>
      <c r="C190" s="39"/>
      <c r="D190" s="39"/>
      <c r="E190" s="39">
        <v>0</v>
      </c>
      <c r="F190" s="39">
        <f>D190+E190</f>
        <v>0</v>
      </c>
      <c r="G190" s="49">
        <v>0</v>
      </c>
      <c r="H190" s="49">
        <f>F190*(($H$180)+1)+(IF(G190&lt;101,G190,IF(G190&lt;201,G190/2,IF(G190&lt;=301,G190/3,G190/4))))</f>
        <v>0</v>
      </c>
      <c r="I190" s="33"/>
      <c r="L190" s="98"/>
      <c r="M190" s="98"/>
      <c r="N190" s="33"/>
    </row>
    <row r="191" spans="1:20" s="34" customFormat="1" ht="15.75" hidden="1" customHeight="1" x14ac:dyDescent="0.25">
      <c r="A191" s="100">
        <f>A190+1</f>
        <v>2</v>
      </c>
      <c r="B191" s="101"/>
      <c r="C191" s="39"/>
      <c r="D191" s="39"/>
      <c r="E191" s="39">
        <v>0</v>
      </c>
      <c r="F191" s="49">
        <f>D191+E191</f>
        <v>0</v>
      </c>
      <c r="G191" s="49">
        <v>0</v>
      </c>
      <c r="H191" s="49">
        <f>F191*(($H$180)+1)+(IF(G191&lt;101,G191,IF(G191&lt;201,G191/2,IF(G191&lt;=301,G191/3,G191/4))))</f>
        <v>0</v>
      </c>
      <c r="I191" s="33"/>
      <c r="L191" s="98"/>
      <c r="M191" s="98"/>
      <c r="N191" s="33"/>
    </row>
    <row r="192" spans="1:20" s="34" customFormat="1" ht="15.75" hidden="1" customHeight="1" x14ac:dyDescent="0.25">
      <c r="A192" s="100">
        <f>A191+1</f>
        <v>3</v>
      </c>
      <c r="B192" s="101"/>
      <c r="C192" s="39"/>
      <c r="D192" s="39"/>
      <c r="E192" s="39">
        <v>0</v>
      </c>
      <c r="F192" s="49">
        <f>D192+E192</f>
        <v>0</v>
      </c>
      <c r="G192" s="49">
        <v>0</v>
      </c>
      <c r="H192" s="49">
        <f>F192*(($H$180)+1)+(IF(G192&lt;101,G192,IF(G192&lt;201,G192/2,IF(G192&lt;=301,G192/3,G192/4))))</f>
        <v>0</v>
      </c>
      <c r="I192" s="33"/>
      <c r="L192" s="98"/>
      <c r="M192" s="98"/>
      <c r="N192" s="33"/>
    </row>
    <row r="193" spans="1:20" s="34" customFormat="1" ht="15.75" hidden="1" customHeight="1" x14ac:dyDescent="0.25">
      <c r="A193" s="100">
        <f>A192+1</f>
        <v>4</v>
      </c>
      <c r="B193" s="101"/>
      <c r="C193" s="39"/>
      <c r="D193" s="39"/>
      <c r="E193" s="39">
        <v>0</v>
      </c>
      <c r="F193" s="49">
        <f>D193+E193</f>
        <v>0</v>
      </c>
      <c r="G193" s="49">
        <v>0</v>
      </c>
      <c r="H193" s="49">
        <f>F193*(($H$180)+1)+(IF(G193&lt;101,G193,IF(G193&lt;201,G193/2,IF(G193&lt;=301,G193/3,G193/4))))</f>
        <v>0</v>
      </c>
      <c r="I193" s="33"/>
      <c r="L193" s="98"/>
      <c r="M193" s="98"/>
      <c r="N193" s="33"/>
      <c r="T193" s="18"/>
    </row>
    <row r="194" spans="1:20" s="34" customFormat="1" hidden="1" x14ac:dyDescent="0.25">
      <c r="A194" s="109" t="s">
        <v>116</v>
      </c>
      <c r="B194" s="109"/>
      <c r="C194" s="109"/>
      <c r="D194" s="109"/>
      <c r="E194" s="109"/>
      <c r="F194" s="109"/>
      <c r="G194" s="109"/>
      <c r="H194" s="109"/>
      <c r="I194" s="33"/>
      <c r="L194" s="98"/>
      <c r="M194" s="98"/>
    </row>
    <row r="195" spans="1:20" s="34" customFormat="1" hidden="1" x14ac:dyDescent="0.25">
      <c r="A195" s="99">
        <f>LEFT(A194,SUM(LEN(A194)-LEN(SUBSTITUTE(A194,{"0","1","2","3","4","5","6","7","8","9"},""))))*100+1</f>
        <v>201</v>
      </c>
      <c r="B195" s="99"/>
      <c r="C195" s="39"/>
      <c r="D195" s="39"/>
      <c r="E195" s="49">
        <v>0</v>
      </c>
      <c r="F195" s="49">
        <f>D195+E195</f>
        <v>0</v>
      </c>
      <c r="G195" s="49">
        <v>0</v>
      </c>
      <c r="H195" s="49">
        <f>F195*(($H$180)+1)+(IF(G195&lt;101,G195,IF(G195&lt;201,G195/2,IF(G195&lt;=301,G195/3,G195/4))))</f>
        <v>0</v>
      </c>
      <c r="I195" s="33"/>
      <c r="N195" s="33"/>
    </row>
    <row r="196" spans="1:20" s="34" customFormat="1" hidden="1" x14ac:dyDescent="0.25">
      <c r="A196" s="99">
        <f>A195+1</f>
        <v>202</v>
      </c>
      <c r="B196" s="99"/>
      <c r="C196" s="39"/>
      <c r="D196" s="39"/>
      <c r="E196" s="49">
        <v>0</v>
      </c>
      <c r="F196" s="49">
        <f>D196+E196</f>
        <v>0</v>
      </c>
      <c r="G196" s="49">
        <v>0</v>
      </c>
      <c r="H196" s="49">
        <f>F196*(($H$180)+1)+(IF(G196&lt;101,G196,IF(G196&lt;201,G196/2,IF(G196&lt;=301,G196/3,G196/4))))</f>
        <v>0</v>
      </c>
      <c r="I196" s="33"/>
      <c r="N196" s="33"/>
    </row>
    <row r="197" spans="1:20" s="34" customFormat="1" hidden="1" x14ac:dyDescent="0.25">
      <c r="A197" s="99">
        <f>A196+1</f>
        <v>203</v>
      </c>
      <c r="B197" s="99"/>
      <c r="C197" s="39"/>
      <c r="D197" s="39"/>
      <c r="E197" s="49">
        <v>0</v>
      </c>
      <c r="F197" s="49">
        <f>D197+E197</f>
        <v>0</v>
      </c>
      <c r="G197" s="49">
        <v>0</v>
      </c>
      <c r="H197" s="49">
        <f>F197*(($H$180)+1)+(IF(G197&lt;101,G197,IF(G197&lt;201,G197/2,IF(G197&lt;=301,G197/3,G197/4))))</f>
        <v>0</v>
      </c>
      <c r="I197" s="33"/>
      <c r="N197" s="33"/>
    </row>
    <row r="198" spans="1:20" s="34" customFormat="1" hidden="1" x14ac:dyDescent="0.25">
      <c r="A198" s="99">
        <f>A197+1</f>
        <v>204</v>
      </c>
      <c r="B198" s="99"/>
      <c r="C198" s="39"/>
      <c r="D198" s="39"/>
      <c r="E198" s="49">
        <v>0</v>
      </c>
      <c r="F198" s="49">
        <f>D198+E198</f>
        <v>0</v>
      </c>
      <c r="G198" s="49">
        <v>0</v>
      </c>
      <c r="H198" s="49">
        <f>F198*(($H$180)+1)+(IF(G198&lt;101,G198,IF(G198&lt;201,G198/2,IF(G198&lt;=301,G198/3,G198/4))))</f>
        <v>0</v>
      </c>
      <c r="I198" s="33"/>
      <c r="N198" s="33"/>
    </row>
    <row r="199" spans="1:20" s="34" customFormat="1" hidden="1" x14ac:dyDescent="0.25">
      <c r="A199" s="99">
        <f>A198+1</f>
        <v>205</v>
      </c>
      <c r="B199" s="99"/>
      <c r="C199" s="39"/>
      <c r="D199" s="39"/>
      <c r="E199" s="49">
        <v>0</v>
      </c>
      <c r="F199" s="49">
        <f>D199+E199</f>
        <v>0</v>
      </c>
      <c r="G199" s="49">
        <v>0</v>
      </c>
      <c r="H199" s="49">
        <f>F199*(($H$180)+1)+(IF(G199&lt;101,G199,IF(G199&lt;201,G199/2,IF(G199&lt;=301,G199/3,G199/4))))</f>
        <v>0</v>
      </c>
      <c r="I199" s="33"/>
      <c r="N199" s="33"/>
    </row>
    <row r="200" spans="1:20" s="34" customFormat="1" ht="15.75" hidden="1" customHeight="1" x14ac:dyDescent="0.25">
      <c r="A200" s="102" t="s">
        <v>147</v>
      </c>
      <c r="B200" s="103"/>
      <c r="C200" s="103"/>
      <c r="D200" s="103"/>
      <c r="E200" s="103"/>
      <c r="F200" s="103"/>
      <c r="G200" s="103"/>
      <c r="H200" s="104"/>
      <c r="I200" s="33"/>
    </row>
    <row r="201" spans="1:20" s="34" customFormat="1" ht="15.75" hidden="1" customHeight="1" x14ac:dyDescent="0.25">
      <c r="A201" s="100"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10^ROW(INDIRECT("1:"&amp;LEN((LEFT(A200,SUM(LEN(A200)-LEN(SUBSTITUTE(A200,{"0","1","2"},""))))))))/10))*100+1&amp;""&amp;"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",LEN(A200))),LEN(A200)))))))/10))*100+1</f>
        <v>301 ,.., 1501</v>
      </c>
      <c r="B201" s="101"/>
      <c r="C201" s="39"/>
      <c r="D201" s="39"/>
      <c r="E201" s="49">
        <v>0</v>
      </c>
      <c r="F201" s="49">
        <f>D201+E201</f>
        <v>0</v>
      </c>
      <c r="G201" s="49">
        <v>0</v>
      </c>
      <c r="H201" s="49">
        <f>F201*(($H$180)+1)+(IF(G201&lt;101,G201,IF(G201&lt;201,G201/2,IF(G201&lt;=301,G201/3,G201/4))))</f>
        <v>0</v>
      </c>
      <c r="I201" s="33"/>
    </row>
    <row r="202" spans="1:20" s="34" customFormat="1" ht="15.75" hidden="1" customHeight="1" x14ac:dyDescent="0.25">
      <c r="A202" s="100"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302 ,.., 1502</v>
      </c>
      <c r="B202" s="101"/>
      <c r="C202" s="39"/>
      <c r="D202" s="39"/>
      <c r="E202" s="49">
        <v>0</v>
      </c>
      <c r="F202" s="49">
        <f>D202+E202</f>
        <v>0</v>
      </c>
      <c r="G202" s="49">
        <v>0</v>
      </c>
      <c r="H202" s="49">
        <f>F202*(($H$180)+1)+(IF(G202&lt;101,G202,IF(G202&lt;201,G202/2,IF(G202&lt;=301,G202/3,G202/4))))</f>
        <v>0</v>
      </c>
      <c r="I202" s="33"/>
    </row>
    <row r="203" spans="1:20" s="34" customFormat="1" ht="15.75" hidden="1" customHeight="1" x14ac:dyDescent="0.25">
      <c r="A203" s="100"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303 ,.., 1503</v>
      </c>
      <c r="B203" s="101"/>
      <c r="C203" s="39"/>
      <c r="D203" s="39"/>
      <c r="E203" s="49">
        <v>0</v>
      </c>
      <c r="F203" s="49">
        <f>D203+E203</f>
        <v>0</v>
      </c>
      <c r="G203" s="49">
        <v>0</v>
      </c>
      <c r="H203" s="49">
        <f>F203*(($H$180)+1)+(IF(G203&lt;101,G203,IF(G203&lt;201,G203/2,IF(G203&lt;=301,G203/3,G203/4))))</f>
        <v>0</v>
      </c>
      <c r="I203" s="33"/>
    </row>
    <row r="204" spans="1:20" s="34" customFormat="1" ht="15.75" hidden="1" customHeight="1" x14ac:dyDescent="0.25">
      <c r="A204" s="100"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304 ,.., 1504</v>
      </c>
      <c r="B204" s="101"/>
      <c r="C204" s="39"/>
      <c r="D204" s="39"/>
      <c r="E204" s="49">
        <v>0</v>
      </c>
      <c r="F204" s="49">
        <f>D204+E204</f>
        <v>0</v>
      </c>
      <c r="G204" s="49">
        <v>0</v>
      </c>
      <c r="H204" s="49">
        <f>F204*(($H$180)+1)+(IF(G204&lt;101,G204,IF(G204&lt;201,G204/2,IF(G204&lt;=301,G204/3,G204/4))))</f>
        <v>0</v>
      </c>
      <c r="I204" s="33"/>
    </row>
    <row r="205" spans="1:20" s="34" customFormat="1" ht="15.75" hidden="1" customHeight="1" x14ac:dyDescent="0.25">
      <c r="A205" s="100"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305 ,.., 1505</v>
      </c>
      <c r="B205" s="101"/>
      <c r="C205" s="39"/>
      <c r="D205" s="39"/>
      <c r="E205" s="49">
        <v>0</v>
      </c>
      <c r="F205" s="49">
        <f>D205+E205</f>
        <v>0</v>
      </c>
      <c r="G205" s="49">
        <v>0</v>
      </c>
      <c r="H205" s="49">
        <f>F205*(($H$180)+1)+(IF(G205&lt;101,G205,IF(G205&lt;201,G205/2,IF(G205&lt;=301,G205/3,G205/4))))</f>
        <v>0</v>
      </c>
      <c r="I205" s="33"/>
    </row>
    <row r="206" spans="1:20" s="34" customFormat="1" hidden="1" x14ac:dyDescent="0.25">
      <c r="A206" s="102" t="s">
        <v>141</v>
      </c>
      <c r="B206" s="103"/>
      <c r="C206" s="103"/>
      <c r="D206" s="103"/>
      <c r="E206" s="103"/>
      <c r="F206" s="103"/>
      <c r="G206" s="103"/>
      <c r="H206" s="104"/>
      <c r="I206" s="33"/>
    </row>
    <row r="207" spans="1:20" s="34" customFormat="1" ht="15.75" hidden="1" customHeight="1" x14ac:dyDescent="0.25">
      <c r="A207" s="100"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10^ROW(INDIRECT("1:"&amp;LEN((LEFT(A206,SUM(LEN(A206)-LEN(SUBSTITUTE(A206,{"0","1","2"},""))))))))/10))*100+1&amp;""&amp;"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",LEN(A206))),LEN(A206)))))))/10))*100+1</f>
        <v>201 to 501</v>
      </c>
      <c r="B207" s="101"/>
      <c r="C207" s="39"/>
      <c r="D207" s="39"/>
      <c r="E207" s="49">
        <v>0</v>
      </c>
      <c r="F207" s="49">
        <f>D207+E207</f>
        <v>0</v>
      </c>
      <c r="G207" s="49">
        <v>0</v>
      </c>
      <c r="H207" s="49">
        <f>F207*(($H$180)+1)+(IF(G207&lt;101,G207,IF(G207&lt;201,G207/2,IF(G207&lt;=301,G207/3,G207/4))))</f>
        <v>0</v>
      </c>
      <c r="I207" s="33"/>
    </row>
    <row r="208" spans="1:20" s="34" customFormat="1" ht="15.75" hidden="1" customHeight="1" x14ac:dyDescent="0.25">
      <c r="A208" s="100"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202 to 502</v>
      </c>
      <c r="B208" s="101"/>
      <c r="C208" s="39"/>
      <c r="D208" s="39"/>
      <c r="E208" s="49">
        <v>0</v>
      </c>
      <c r="F208" s="49">
        <f>D208+E208</f>
        <v>0</v>
      </c>
      <c r="G208" s="49">
        <v>0</v>
      </c>
      <c r="H208" s="49">
        <f>F208*(($H$180)+1)+(IF(G208&lt;101,G208,IF(G208&lt;201,G208/2,IF(G208&lt;=301,G208/3,G208/4))))</f>
        <v>0</v>
      </c>
      <c r="I208" s="33"/>
    </row>
    <row r="209" spans="1:20" s="34" customFormat="1" ht="15.75" hidden="1" customHeight="1" x14ac:dyDescent="0.25">
      <c r="A209" s="100"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to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203 to 503</v>
      </c>
      <c r="B209" s="101"/>
      <c r="C209" s="39"/>
      <c r="D209" s="39"/>
      <c r="E209" s="49">
        <v>0</v>
      </c>
      <c r="F209" s="49">
        <f>D209+E209</f>
        <v>0</v>
      </c>
      <c r="G209" s="49">
        <v>0</v>
      </c>
      <c r="H209" s="49">
        <f>F209*(($H$180)+1)+(IF(G209&lt;101,G209,IF(G209&lt;201,G209/2,IF(G209&lt;=301,G209/3,G209/4))))</f>
        <v>0</v>
      </c>
      <c r="I209" s="33"/>
    </row>
    <row r="210" spans="1:20" s="34" customFormat="1" ht="15.75" hidden="1" customHeight="1" x14ac:dyDescent="0.25">
      <c r="A210" s="100"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to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204 to 504</v>
      </c>
      <c r="B210" s="101"/>
      <c r="C210" s="39"/>
      <c r="D210" s="39"/>
      <c r="E210" s="49">
        <v>0</v>
      </c>
      <c r="F210" s="49">
        <f>D210+E210</f>
        <v>0</v>
      </c>
      <c r="G210" s="49">
        <v>0</v>
      </c>
      <c r="H210" s="49">
        <f>F210*(($H$180)+1)+(IF(G210&lt;101,G210,IF(G210&lt;201,G210/2,IF(G210&lt;=301,G210/3,G210/4))))</f>
        <v>0</v>
      </c>
      <c r="I210" s="33"/>
    </row>
    <row r="211" spans="1:20" s="34" customFormat="1" ht="15.75" hidden="1" customHeight="1" x14ac:dyDescent="0.25">
      <c r="A211" s="100"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to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205 to 505</v>
      </c>
      <c r="B211" s="101"/>
      <c r="C211" s="39"/>
      <c r="D211" s="39"/>
      <c r="E211" s="49">
        <v>0</v>
      </c>
      <c r="F211" s="49">
        <f>D211+E211</f>
        <v>0</v>
      </c>
      <c r="G211" s="49">
        <v>0</v>
      </c>
      <c r="H211" s="49">
        <f>F211*(($H$180)+1)+(IF(G211&lt;101,G211,IF(G211&lt;201,G211/2,IF(G211&lt;=301,G211/3,G211/4))))</f>
        <v>0</v>
      </c>
      <c r="I211" s="33"/>
    </row>
    <row r="212" spans="1:20" s="34" customFormat="1" hidden="1" x14ac:dyDescent="0.25">
      <c r="A212" s="102" t="s">
        <v>142</v>
      </c>
      <c r="B212" s="103"/>
      <c r="C212" s="103"/>
      <c r="D212" s="103"/>
      <c r="E212" s="103"/>
      <c r="F212" s="103"/>
      <c r="G212" s="103"/>
      <c r="H212" s="104"/>
      <c r="I212" s="33"/>
    </row>
    <row r="213" spans="1:20" s="34" customFormat="1" ht="15.75" hidden="1" customHeight="1" x14ac:dyDescent="0.25">
      <c r="A213" s="100"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10^ROW(INDIRECT("1:"&amp;LEN((LEFT(A212,SUM(LEN(A212)-LEN(SUBSTITUTE(A212,{"0","1","2"},""))))))))/10))*100+1&amp;""&amp;"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",LEN(A212))),LEN(A212)))))))/10))*100+1</f>
        <v>201 &amp; 501</v>
      </c>
      <c r="B213" s="101"/>
      <c r="C213" s="39"/>
      <c r="D213" s="39"/>
      <c r="E213" s="49">
        <v>0</v>
      </c>
      <c r="F213" s="49">
        <f>D213+E213</f>
        <v>0</v>
      </c>
      <c r="G213" s="49">
        <v>0</v>
      </c>
      <c r="H213" s="49">
        <f>F213*(($H$180)+1)+(IF(G213&lt;101,G213,IF(G213&lt;201,G213/2,IF(G213&lt;=301,G213/3,G213/4))))</f>
        <v>0</v>
      </c>
      <c r="I213" s="33"/>
    </row>
    <row r="214" spans="1:20" s="34" customFormat="1" ht="15.75" hidden="1" customHeight="1" x14ac:dyDescent="0.25">
      <c r="A214" s="100"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202 &amp; 502</v>
      </c>
      <c r="B214" s="101"/>
      <c r="C214" s="39"/>
      <c r="D214" s="39"/>
      <c r="E214" s="49">
        <v>0</v>
      </c>
      <c r="F214" s="49">
        <f>D214+E214</f>
        <v>0</v>
      </c>
      <c r="G214" s="49">
        <v>0</v>
      </c>
      <c r="H214" s="49">
        <f>F214*(($H$180)+1)+(IF(G214&lt;101,G214,IF(G214&lt;201,G214/2,IF(G214&lt;=301,G214/3,G214/4))))</f>
        <v>0</v>
      </c>
      <c r="I214" s="33"/>
    </row>
    <row r="215" spans="1:20" s="34" customFormat="1" ht="15.75" hidden="1" customHeight="1" x14ac:dyDescent="0.25">
      <c r="A215" s="100" t="str">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10^ROW(INDIRECT("1:"&amp;LEN((LEFT(A214,SUM(LEN(A214)-LEN(SUBSTITUTE(A214,{"0","1","2"},""))))))))/10))*1+1&amp;""&amp;" &amp; "&amp;""&amp;(SUMPRODUCT(MID(0&amp;(--TRIM(RIGHT(SUBSTITUTE(LEFT(A214,_xlfn.AGGREGATE(16,6,FIND({0,1,2,3,4,5,6,7,8,9},A214,ROW(INDIRECT("1:"&amp;LEN(A214)))),1)),"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",LEN(A214))),LEN(A214)))))))/10))*1+1</f>
        <v>203 &amp; 503</v>
      </c>
      <c r="B215" s="101"/>
      <c r="C215" s="39"/>
      <c r="D215" s="39"/>
      <c r="E215" s="49">
        <v>0</v>
      </c>
      <c r="F215" s="49">
        <f>D215+E215</f>
        <v>0</v>
      </c>
      <c r="G215" s="49">
        <v>0</v>
      </c>
      <c r="H215" s="49">
        <f>F215*(($H$180)+1)+(IF(G215&lt;101,G215,IF(G215&lt;201,G215/2,IF(G215&lt;=301,G215/3,G215/4))))</f>
        <v>0</v>
      </c>
      <c r="I215" s="33"/>
    </row>
    <row r="216" spans="1:20" s="34" customFormat="1" ht="15.75" hidden="1" customHeight="1" x14ac:dyDescent="0.25">
      <c r="A216" s="100" t="str">
        <f ca="1">(SUMPRODUCT(MID(0&amp;(LEFT(A215,SUM(LEN(A215)-LEN(SUBSTITUTE(A215,{"0","1","2"},""))))), LARGE(INDEX(ISNUMBER(--MID((LEFT(A215,SUM(LEN(A215)-LEN(SUBSTITUTE(A215,{"0","1","2"},""))))), ROW(INDIRECT("1:"&amp;LEN((LEFT(A215,SUM(LEN(A215)-LEN(SUBSTITUTE(A215,{"0","1","2"},"")))))))), 1)) * ROW(INDIRECT("1:"&amp;LEN((LEFT(A215,SUM(LEN(A215)-LEN(SUBSTITUTE(A215,{"0","1","2"},"")))))))), 0), ROW(INDIRECT("1:"&amp;LEN((LEFT(A215,SUM(LEN(A215)-LEN(SUBSTITUTE(A215,{"0","1","2"},"")))))))))+1, 1) * 10^ROW(INDIRECT("1:"&amp;LEN((LEFT(A215,SUM(LEN(A215)-LEN(SUBSTITUTE(A215,{"0","1","2"},""))))))))/10))*1+1&amp;""&amp;" &amp; "&amp;""&amp;(SUMPRODUCT(MID(0&amp;(--TRIM(RIGHT(SUBSTITUTE(LEFT(A215,_xlfn.AGGREGATE(16,6,FIND({0,1,2,3,4,5,6,7,8,9},A215,ROW(INDIRECT("1:"&amp;LEN(A215)))),1))," ",REPT(" ",LEN(A215))),LEN(A215)))), LARGE(INDEX(ISNUMBER(--MID((--TRIM(RIGHT(SUBSTITUTE(LEFT(A215,_xlfn.AGGREGATE(16,6,FIND({0,1,2,3,4,5,6,7,8,9},A215,ROW(INDIRECT("1:"&amp;LEN(A215)))),1))," ",REPT(" ",LEN(A215))),LEN(A215)))), ROW(INDIRECT("1:"&amp;LEN((--TRIM(RIGHT(SUBSTITUTE(LEFT(A215,_xlfn.AGGREGATE(16,6,FIND({0,1,2,3,4,5,6,7,8,9},A215,ROW(INDIRECT("1:"&amp;LEN(A215)))),1))," ",REPT(" ",LEN(A215))),LEN(A215))))))), 1)) * ROW(INDIRECT("1:"&amp;LEN((--TRIM(RIGHT(SUBSTITUTE(LEFT(A215,_xlfn.AGGREGATE(16,6,FIND({0,1,2,3,4,5,6,7,8,9},A215,ROW(INDIRECT("1:"&amp;LEN(A215)))),1))," ",REPT(" ",LEN(A215))),LEN(A215))))))), 0), ROW(INDIRECT("1:"&amp;LEN((--TRIM(RIGHT(SUBSTITUTE(LEFT(A215,_xlfn.AGGREGATE(16,6,FIND({0,1,2,3,4,5,6,7,8,9},A215,ROW(INDIRECT("1:"&amp;LEN(A215)))),1))," ",REPT(" ",LEN(A215))),LEN(A215))))))))+1, 1) * 10^ROW(INDIRECT("1:"&amp;LEN((--TRIM(RIGHT(SUBSTITUTE(LEFT(A215,_xlfn.AGGREGATE(16,6,FIND({0,1,2,3,4,5,6,7,8,9},A215,ROW(INDIRECT("1:"&amp;LEN(A215)))),1))," ",REPT(" ",LEN(A215))),LEN(A215)))))))/10))*1+1</f>
        <v>204 &amp; 504</v>
      </c>
      <c r="B216" s="101"/>
      <c r="C216" s="39"/>
      <c r="D216" s="39"/>
      <c r="E216" s="49">
        <v>0</v>
      </c>
      <c r="F216" s="49">
        <f>D216+E216</f>
        <v>0</v>
      </c>
      <c r="G216" s="49">
        <v>0</v>
      </c>
      <c r="H216" s="49">
        <f>F216*(($H$180)+1)+(IF(G216&lt;101,G216,IF(G216&lt;201,G216/2,IF(G216&lt;=301,G216/3,G216/4))))</f>
        <v>0</v>
      </c>
      <c r="I216" s="33"/>
    </row>
    <row r="217" spans="1:20" s="34" customFormat="1" ht="15.75" hidden="1" customHeight="1" x14ac:dyDescent="0.25">
      <c r="A217" s="100" t="str">
        <f ca="1">(SUMPRODUCT(MID(0&amp;(LEFT(A216,SUM(LEN(A216)-LEN(SUBSTITUTE(A216,{"0","1","2"},""))))), LARGE(INDEX(ISNUMBER(--MID((LEFT(A216,SUM(LEN(A216)-LEN(SUBSTITUTE(A216,{"0","1","2"},""))))), ROW(INDIRECT("1:"&amp;LEN((LEFT(A216,SUM(LEN(A216)-LEN(SUBSTITUTE(A216,{"0","1","2"},"")))))))), 1)) * ROW(INDIRECT("1:"&amp;LEN((LEFT(A216,SUM(LEN(A216)-LEN(SUBSTITUTE(A216,{"0","1","2"},"")))))))), 0), ROW(INDIRECT("1:"&amp;LEN((LEFT(A216,SUM(LEN(A216)-LEN(SUBSTITUTE(A216,{"0","1","2"},"")))))))))+1, 1) * 10^ROW(INDIRECT("1:"&amp;LEN((LEFT(A216,SUM(LEN(A216)-LEN(SUBSTITUTE(A216,{"0","1","2"},""))))))))/10))*1+1&amp;""&amp;" &amp; "&amp;""&amp;(SUMPRODUCT(MID(0&amp;(--TRIM(RIGHT(SUBSTITUTE(LEFT(A216,_xlfn.AGGREGATE(16,6,FIND({0,1,2,3,4,5,6,7,8,9},A216,ROW(INDIRECT("1:"&amp;LEN(A216)))),1))," ",REPT(" ",LEN(A216))),LEN(A216)))), LARGE(INDEX(ISNUMBER(--MID((--TRIM(RIGHT(SUBSTITUTE(LEFT(A216,_xlfn.AGGREGATE(16,6,FIND({0,1,2,3,4,5,6,7,8,9},A216,ROW(INDIRECT("1:"&amp;LEN(A216)))),1))," ",REPT(" ",LEN(A216))),LEN(A216)))), ROW(INDIRECT("1:"&amp;LEN((--TRIM(RIGHT(SUBSTITUTE(LEFT(A216,_xlfn.AGGREGATE(16,6,FIND({0,1,2,3,4,5,6,7,8,9},A216,ROW(INDIRECT("1:"&amp;LEN(A216)))),1))," ",REPT(" ",LEN(A216))),LEN(A216))))))), 1)) * ROW(INDIRECT("1:"&amp;LEN((--TRIM(RIGHT(SUBSTITUTE(LEFT(A216,_xlfn.AGGREGATE(16,6,FIND({0,1,2,3,4,5,6,7,8,9},A216,ROW(INDIRECT("1:"&amp;LEN(A216)))),1))," ",REPT(" ",LEN(A216))),LEN(A216))))))), 0), ROW(INDIRECT("1:"&amp;LEN((--TRIM(RIGHT(SUBSTITUTE(LEFT(A216,_xlfn.AGGREGATE(16,6,FIND({0,1,2,3,4,5,6,7,8,9},A216,ROW(INDIRECT("1:"&amp;LEN(A216)))),1))," ",REPT(" ",LEN(A216))),LEN(A216))))))))+1, 1) * 10^ROW(INDIRECT("1:"&amp;LEN((--TRIM(RIGHT(SUBSTITUTE(LEFT(A216,_xlfn.AGGREGATE(16,6,FIND({0,1,2,3,4,5,6,7,8,9},A216,ROW(INDIRECT("1:"&amp;LEN(A216)))),1))," ",REPT(" ",LEN(A216))),LEN(A216)))))))/10))*1+1</f>
        <v>205 &amp; 505</v>
      </c>
      <c r="B217" s="101"/>
      <c r="C217" s="39"/>
      <c r="D217" s="39"/>
      <c r="E217" s="49">
        <v>0</v>
      </c>
      <c r="F217" s="49">
        <f>D217+E217</f>
        <v>0</v>
      </c>
      <c r="G217" s="49">
        <v>0</v>
      </c>
      <c r="H217" s="49">
        <f>F217*(($H$180)+1)+(IF(G217&lt;101,G217,IF(G217&lt;201,G217/2,IF(G217&lt;=301,G217/3,G217/4))))</f>
        <v>0</v>
      </c>
      <c r="I217" s="33"/>
    </row>
    <row r="218" spans="1:20" s="32" customFormat="1" x14ac:dyDescent="0.25">
      <c r="A218" s="187" t="s">
        <v>65</v>
      </c>
      <c r="B218" s="187"/>
      <c r="C218" s="187"/>
      <c r="D218" s="187"/>
      <c r="E218" s="187"/>
      <c r="F218" s="187"/>
      <c r="G218" s="187"/>
      <c r="H218" s="187"/>
      <c r="T218" s="34"/>
    </row>
    <row r="219" spans="1:20" s="32" customFormat="1" ht="33" customHeight="1" x14ac:dyDescent="0.25">
      <c r="A219" s="41" t="s">
        <v>151</v>
      </c>
      <c r="B219" s="171" t="s">
        <v>440</v>
      </c>
      <c r="C219" s="172"/>
      <c r="D219" s="172"/>
      <c r="E219" s="172"/>
      <c r="F219" s="172"/>
      <c r="G219" s="172"/>
      <c r="H219" s="173"/>
      <c r="J219" s="32" t="s">
        <v>439</v>
      </c>
      <c r="T219" s="34"/>
    </row>
    <row r="220" spans="1:20" s="32" customFormat="1" x14ac:dyDescent="0.25">
      <c r="A220" s="41" t="s">
        <v>151</v>
      </c>
      <c r="B220" s="168" t="str">
        <f>(IF(H179="Saleable area Loading :","We have considered Saleable area of Flats as per our Calculation.","We considered Saleable area of Flat as per Builder area Sheet."))</f>
        <v>We have considered Saleable area of Flats as per our Calculation.</v>
      </c>
      <c r="C220" s="169"/>
      <c r="D220" s="169"/>
      <c r="E220" s="169"/>
      <c r="F220" s="169"/>
      <c r="G220" s="169"/>
      <c r="H220" s="170"/>
      <c r="T220" s="34"/>
    </row>
    <row r="221" spans="1:20" s="32" customFormat="1" x14ac:dyDescent="0.25">
      <c r="A221" s="41" t="s">
        <v>151</v>
      </c>
      <c r="B221" s="168" t="str">
        <f>(IF(H128="Saleable area Loading :","We have considered Saleable area of Commercial as per our Calculation.","We considered Saleable area of Commercial as per Builder area Sheet."))</f>
        <v>We have considered Saleable area of Commercial as per our Calculation.</v>
      </c>
      <c r="C221" s="169"/>
      <c r="D221" s="169"/>
      <c r="E221" s="169"/>
      <c r="F221" s="169"/>
      <c r="G221" s="169"/>
      <c r="H221" s="170"/>
      <c r="T221" s="34"/>
    </row>
    <row r="222" spans="1:20" s="32" customFormat="1" x14ac:dyDescent="0.25">
      <c r="A222" s="41" t="s">
        <v>151</v>
      </c>
      <c r="B222" s="165" t="s">
        <v>118</v>
      </c>
      <c r="C222" s="166"/>
      <c r="D222" s="166"/>
      <c r="E222" s="166"/>
      <c r="F222" s="166"/>
      <c r="G222" s="166"/>
      <c r="H222" s="167"/>
      <c r="T222" s="34"/>
    </row>
    <row r="223" spans="1:20" s="32" customFormat="1" x14ac:dyDescent="0.25">
      <c r="A223" s="41" t="s">
        <v>151</v>
      </c>
      <c r="B223" s="165" t="s">
        <v>378</v>
      </c>
      <c r="C223" s="166"/>
      <c r="D223" s="166"/>
      <c r="E223" s="166"/>
      <c r="F223" s="166"/>
      <c r="G223" s="166"/>
      <c r="H223" s="167"/>
      <c r="J223" s="32" t="s">
        <v>405</v>
      </c>
      <c r="T223" s="34"/>
    </row>
    <row r="224" spans="1:20" s="32" customFormat="1" x14ac:dyDescent="0.25">
      <c r="A224" s="41" t="s">
        <v>151</v>
      </c>
      <c r="B224" s="165" t="s">
        <v>150</v>
      </c>
      <c r="C224" s="166"/>
      <c r="D224" s="166"/>
      <c r="E224" s="166"/>
      <c r="F224" s="166"/>
      <c r="G224" s="166"/>
      <c r="H224" s="167"/>
    </row>
    <row r="225" spans="1:20" s="32" customFormat="1" x14ac:dyDescent="0.25">
      <c r="A225" s="41" t="s">
        <v>151</v>
      </c>
      <c r="B225" s="165" t="s">
        <v>119</v>
      </c>
      <c r="C225" s="166"/>
      <c r="D225" s="166"/>
      <c r="E225" s="166"/>
      <c r="F225" s="166"/>
      <c r="G225" s="166"/>
      <c r="H225" s="167"/>
    </row>
    <row r="226" spans="1:20" s="32" customFormat="1" ht="34.5" customHeight="1" x14ac:dyDescent="0.25">
      <c r="A226" s="41" t="s">
        <v>151</v>
      </c>
      <c r="B226" s="165" t="s">
        <v>152</v>
      </c>
      <c r="C226" s="166"/>
      <c r="D226" s="166"/>
      <c r="E226" s="166"/>
      <c r="F226" s="166"/>
      <c r="G226" s="166"/>
      <c r="H226" s="167"/>
    </row>
    <row r="227" spans="1:20" s="32" customFormat="1" x14ac:dyDescent="0.25">
      <c r="A227" s="41" t="s">
        <v>151</v>
      </c>
      <c r="B227" s="165" t="s">
        <v>120</v>
      </c>
      <c r="C227" s="166"/>
      <c r="D227" s="166"/>
      <c r="E227" s="166"/>
      <c r="F227" s="166"/>
      <c r="G227" s="166"/>
      <c r="H227" s="167"/>
    </row>
    <row r="228" spans="1:20" s="32" customFormat="1" ht="48" customHeight="1" x14ac:dyDescent="0.25">
      <c r="A228" s="183" t="s">
        <v>151</v>
      </c>
      <c r="B228" s="176" t="s">
        <v>417</v>
      </c>
      <c r="C228" s="177"/>
      <c r="D228" s="177"/>
      <c r="E228" s="182" t="s">
        <v>418</v>
      </c>
      <c r="F228" s="182"/>
      <c r="G228" s="182"/>
      <c r="H228" s="182"/>
    </row>
    <row r="229" spans="1:20" s="32" customFormat="1" ht="15.75" customHeight="1" x14ac:dyDescent="0.25">
      <c r="A229" s="184"/>
      <c r="B229" s="177" t="s">
        <v>419</v>
      </c>
      <c r="C229" s="177"/>
      <c r="D229" s="177"/>
      <c r="E229" s="182" t="s">
        <v>416</v>
      </c>
      <c r="F229" s="182"/>
      <c r="G229" s="182"/>
      <c r="H229" s="182"/>
      <c r="I229" s="32" t="s">
        <v>416</v>
      </c>
    </row>
    <row r="230" spans="1:20" s="32" customFormat="1" ht="33" customHeight="1" x14ac:dyDescent="0.25">
      <c r="A230" s="70" t="s">
        <v>151</v>
      </c>
      <c r="B230" s="171" t="s">
        <v>427</v>
      </c>
      <c r="C230" s="172"/>
      <c r="D230" s="172"/>
      <c r="E230" s="172"/>
      <c r="F230" s="172"/>
      <c r="G230" s="172"/>
      <c r="H230" s="173"/>
    </row>
    <row r="231" spans="1:20" s="32" customFormat="1" ht="30.75" customHeight="1" x14ac:dyDescent="0.25">
      <c r="A231" s="70" t="s">
        <v>151</v>
      </c>
      <c r="B231" s="171" t="s">
        <v>426</v>
      </c>
      <c r="C231" s="172"/>
      <c r="D231" s="172"/>
      <c r="E231" s="172"/>
      <c r="F231" s="172"/>
      <c r="G231" s="172"/>
      <c r="H231" s="173"/>
      <c r="I231" s="32" t="s">
        <v>425</v>
      </c>
    </row>
    <row r="232" spans="1:20" s="32" customFormat="1" ht="32.25" hidden="1" customHeight="1" x14ac:dyDescent="0.25">
      <c r="A232" s="46" t="s">
        <v>151</v>
      </c>
      <c r="B232" s="179" t="s">
        <v>176</v>
      </c>
      <c r="C232" s="180"/>
      <c r="D232" s="180"/>
      <c r="E232" s="180"/>
      <c r="F232" s="180"/>
      <c r="G232" s="180"/>
      <c r="H232" s="181"/>
    </row>
    <row r="233" spans="1:20" s="32" customFormat="1" hidden="1" x14ac:dyDescent="0.25">
      <c r="A233" s="50" t="s">
        <v>151</v>
      </c>
      <c r="B233" s="179" t="s">
        <v>232</v>
      </c>
      <c r="C233" s="180"/>
      <c r="D233" s="180"/>
      <c r="E233" s="180"/>
      <c r="F233" s="180"/>
      <c r="G233" s="180"/>
      <c r="H233" s="181"/>
    </row>
    <row r="234" spans="1:20" x14ac:dyDescent="0.25">
      <c r="A234" s="129" t="s">
        <v>58</v>
      </c>
      <c r="B234" s="129"/>
      <c r="C234" s="129"/>
      <c r="D234" s="129"/>
      <c r="E234" s="129"/>
      <c r="F234" s="129"/>
      <c r="G234" s="129"/>
      <c r="H234" s="129"/>
      <c r="T234" s="32"/>
    </row>
    <row r="235" spans="1:20" x14ac:dyDescent="0.25">
      <c r="A235" s="145" t="s">
        <v>59</v>
      </c>
      <c r="B235" s="145"/>
      <c r="C235" s="145"/>
      <c r="D235" s="145"/>
      <c r="E235" s="145"/>
      <c r="F235" s="145"/>
      <c r="G235" s="145"/>
      <c r="H235" s="145"/>
      <c r="T235" s="32"/>
    </row>
    <row r="236" spans="1:20" ht="15.75" customHeight="1" x14ac:dyDescent="0.25">
      <c r="A236" s="178" t="s">
        <v>60</v>
      </c>
      <c r="B236" s="178"/>
      <c r="C236" s="178"/>
      <c r="D236" s="178"/>
      <c r="E236" s="178"/>
      <c r="F236" s="178"/>
      <c r="G236" s="178"/>
      <c r="H236" s="178"/>
      <c r="T236" s="32"/>
    </row>
    <row r="237" spans="1:20" x14ac:dyDescent="0.25">
      <c r="A237" s="145" t="s">
        <v>61</v>
      </c>
      <c r="B237" s="145"/>
      <c r="C237" s="145"/>
      <c r="D237" s="145"/>
      <c r="E237" s="145"/>
      <c r="F237" s="145"/>
      <c r="G237" s="145"/>
      <c r="H237" s="145"/>
      <c r="T237" s="32"/>
    </row>
    <row r="238" spans="1:20" x14ac:dyDescent="0.25">
      <c r="A238" s="145" t="s">
        <v>62</v>
      </c>
      <c r="B238" s="145"/>
      <c r="C238" s="145"/>
      <c r="D238" s="145"/>
      <c r="E238" s="145"/>
      <c r="F238" s="145"/>
      <c r="G238" s="145"/>
      <c r="H238" s="145"/>
      <c r="T238" s="32"/>
    </row>
    <row r="239" spans="1:20" x14ac:dyDescent="0.25">
      <c r="A239" s="145" t="s">
        <v>121</v>
      </c>
      <c r="B239" s="145"/>
      <c r="C239" s="145"/>
      <c r="D239" s="145"/>
      <c r="E239" s="145"/>
      <c r="F239" s="145"/>
      <c r="G239" s="145"/>
      <c r="H239" s="145"/>
      <c r="T239" s="32"/>
    </row>
    <row r="240" spans="1:20" ht="33.950000000000003" customHeight="1" x14ac:dyDescent="0.25">
      <c r="A240" s="130" t="s">
        <v>122</v>
      </c>
      <c r="B240" s="130"/>
      <c r="C240" s="130"/>
      <c r="D240" s="130"/>
      <c r="E240" s="130"/>
      <c r="F240" s="130"/>
      <c r="G240" s="130"/>
      <c r="H240" s="130"/>
    </row>
    <row r="241" spans="1:8" x14ac:dyDescent="0.25">
      <c r="A241" s="175" t="s">
        <v>72</v>
      </c>
      <c r="B241" s="175"/>
      <c r="C241" s="175" t="s">
        <v>435</v>
      </c>
      <c r="D241" s="175"/>
      <c r="E241" s="175" t="s">
        <v>102</v>
      </c>
      <c r="F241" s="175"/>
      <c r="G241" s="175" t="s">
        <v>438</v>
      </c>
      <c r="H241" s="175"/>
    </row>
    <row r="242" spans="1:8" x14ac:dyDescent="0.25">
      <c r="A242" s="174" t="s">
        <v>74</v>
      </c>
      <c r="B242" s="174"/>
      <c r="C242" s="174"/>
      <c r="D242" s="174"/>
      <c r="E242" s="174"/>
      <c r="F242" s="174"/>
      <c r="G242" s="174"/>
      <c r="H242" s="174"/>
    </row>
    <row r="243" spans="1:8" x14ac:dyDescent="0.25">
      <c r="A243" s="174"/>
      <c r="B243" s="174"/>
      <c r="C243" s="174"/>
      <c r="D243" s="174"/>
      <c r="E243" s="174"/>
      <c r="F243" s="174"/>
      <c r="G243" s="174"/>
      <c r="H243" s="174"/>
    </row>
    <row r="244" spans="1:8" x14ac:dyDescent="0.25">
      <c r="A244" s="174"/>
      <c r="B244" s="174"/>
      <c r="C244" s="174"/>
      <c r="D244" s="174"/>
      <c r="E244" s="174"/>
      <c r="F244" s="174"/>
      <c r="G244" s="174"/>
      <c r="H244" s="174"/>
    </row>
    <row r="245" spans="1:8" x14ac:dyDescent="0.25">
      <c r="A245" s="174"/>
      <c r="B245" s="174"/>
      <c r="C245" s="174"/>
      <c r="D245" s="174"/>
      <c r="E245" s="174"/>
      <c r="F245" s="174"/>
      <c r="G245" s="174"/>
      <c r="H245" s="174"/>
    </row>
    <row r="246" spans="1:8" x14ac:dyDescent="0.25">
      <c r="A246" s="35" t="s">
        <v>63</v>
      </c>
      <c r="B246" s="36"/>
      <c r="C246" s="36"/>
      <c r="D246" s="35" t="str">
        <f>E9</f>
        <v>Astitwa</v>
      </c>
      <c r="F246" s="36"/>
      <c r="G246" s="36"/>
      <c r="H246" s="36"/>
    </row>
    <row r="247" spans="1:8" x14ac:dyDescent="0.25">
      <c r="A247" s="36"/>
      <c r="B247" s="36"/>
      <c r="C247" s="36"/>
      <c r="D247" s="36"/>
      <c r="E247" s="36"/>
      <c r="F247" s="36"/>
      <c r="G247" s="36"/>
      <c r="H247" s="36"/>
    </row>
    <row r="248" spans="1:8" x14ac:dyDescent="0.25">
      <c r="A248" s="36"/>
      <c r="B248" s="36"/>
      <c r="C248" s="36"/>
      <c r="D248" s="36"/>
      <c r="E248" s="36"/>
      <c r="F248" s="36"/>
      <c r="G248" s="36"/>
      <c r="H248" s="36"/>
    </row>
    <row r="249" spans="1:8" ht="15" customHeight="1" x14ac:dyDescent="0.25"/>
    <row r="289" spans="1:1" x14ac:dyDescent="0.25">
      <c r="A289" s="38" t="s">
        <v>161</v>
      </c>
    </row>
    <row r="320" spans="1:1" x14ac:dyDescent="0.25">
      <c r="A320" s="38" t="s">
        <v>64</v>
      </c>
    </row>
  </sheetData>
  <mergeCells count="437">
    <mergeCell ref="A108:E108"/>
    <mergeCell ref="F108:H108"/>
    <mergeCell ref="D133:H135"/>
    <mergeCell ref="D146:H147"/>
    <mergeCell ref="A154:B154"/>
    <mergeCell ref="L154:M154"/>
    <mergeCell ref="A163:B163"/>
    <mergeCell ref="L163:M163"/>
    <mergeCell ref="C163:H164"/>
    <mergeCell ref="L137:M137"/>
    <mergeCell ref="L138:M138"/>
    <mergeCell ref="L139:M139"/>
    <mergeCell ref="L140:M140"/>
    <mergeCell ref="L141:M141"/>
    <mergeCell ref="L161:M161"/>
    <mergeCell ref="L160:M160"/>
    <mergeCell ref="A159:B159"/>
    <mergeCell ref="A141:B141"/>
    <mergeCell ref="A142:B142"/>
    <mergeCell ref="G124:H124"/>
    <mergeCell ref="C119:D119"/>
    <mergeCell ref="E119:F119"/>
    <mergeCell ref="G119:H119"/>
    <mergeCell ref="A120:B120"/>
    <mergeCell ref="C120:D120"/>
    <mergeCell ref="E120:F120"/>
    <mergeCell ref="G120:H120"/>
    <mergeCell ref="B226:H226"/>
    <mergeCell ref="A209:B209"/>
    <mergeCell ref="A198:B198"/>
    <mergeCell ref="B224:H224"/>
    <mergeCell ref="A206:H206"/>
    <mergeCell ref="A110:E110"/>
    <mergeCell ref="A203:B203"/>
    <mergeCell ref="A118:B118"/>
    <mergeCell ref="E179:E180"/>
    <mergeCell ref="A204:B204"/>
    <mergeCell ref="A201:B201"/>
    <mergeCell ref="A125:B125"/>
    <mergeCell ref="C125:D125"/>
    <mergeCell ref="E125:F125"/>
    <mergeCell ref="C124:D124"/>
    <mergeCell ref="A189:H189"/>
    <mergeCell ref="A210:B210"/>
    <mergeCell ref="A133:B133"/>
    <mergeCell ref="A131:H131"/>
    <mergeCell ref="A130:H130"/>
    <mergeCell ref="A137:B137"/>
    <mergeCell ref="F105:H105"/>
    <mergeCell ref="F106:H106"/>
    <mergeCell ref="G128:G129"/>
    <mergeCell ref="F102:H102"/>
    <mergeCell ref="F107:H107"/>
    <mergeCell ref="E122:F122"/>
    <mergeCell ref="G125:H125"/>
    <mergeCell ref="A126:H126"/>
    <mergeCell ref="D128:D129"/>
    <mergeCell ref="A106:E106"/>
    <mergeCell ref="A105:E105"/>
    <mergeCell ref="A102:E102"/>
    <mergeCell ref="A113:E113"/>
    <mergeCell ref="F113:H113"/>
    <mergeCell ref="A114:E114"/>
    <mergeCell ref="F114:H114"/>
    <mergeCell ref="G118:H118"/>
    <mergeCell ref="F109:H109"/>
    <mergeCell ref="C116:D116"/>
    <mergeCell ref="A107:E107"/>
    <mergeCell ref="A124:B124"/>
    <mergeCell ref="E124:F124"/>
    <mergeCell ref="A112:E112"/>
    <mergeCell ref="A123:B123"/>
    <mergeCell ref="A87:B87"/>
    <mergeCell ref="A91:B91"/>
    <mergeCell ref="A90:B90"/>
    <mergeCell ref="A94:B94"/>
    <mergeCell ref="A95:B95"/>
    <mergeCell ref="F104:H104"/>
    <mergeCell ref="A104:E104"/>
    <mergeCell ref="E91:F91"/>
    <mergeCell ref="G91:H91"/>
    <mergeCell ref="A93:B93"/>
    <mergeCell ref="A96:B96"/>
    <mergeCell ref="A97:B97"/>
    <mergeCell ref="A98:B98"/>
    <mergeCell ref="F103:H103"/>
    <mergeCell ref="C88:H88"/>
    <mergeCell ref="A101:B101"/>
    <mergeCell ref="G92:H101"/>
    <mergeCell ref="L153:M153"/>
    <mergeCell ref="L155:M155"/>
    <mergeCell ref="A156:B156"/>
    <mergeCell ref="L156:M156"/>
    <mergeCell ref="A157:B157"/>
    <mergeCell ref="L157:M157"/>
    <mergeCell ref="A158:B158"/>
    <mergeCell ref="L158:M158"/>
    <mergeCell ref="C153:H155"/>
    <mergeCell ref="A153:B153"/>
    <mergeCell ref="A155:B155"/>
    <mergeCell ref="A40:B40"/>
    <mergeCell ref="C40:H40"/>
    <mergeCell ref="F128:F129"/>
    <mergeCell ref="C118:D118"/>
    <mergeCell ref="E118:F118"/>
    <mergeCell ref="B128:B129"/>
    <mergeCell ref="A128:A129"/>
    <mergeCell ref="C179:C180"/>
    <mergeCell ref="G179:G180"/>
    <mergeCell ref="A49:B49"/>
    <mergeCell ref="C49:H49"/>
    <mergeCell ref="A162:H162"/>
    <mergeCell ref="A165:B165"/>
    <mergeCell ref="A166:B166"/>
    <mergeCell ref="A167:B167"/>
    <mergeCell ref="A168:B168"/>
    <mergeCell ref="A169:B169"/>
    <mergeCell ref="A170:B170"/>
    <mergeCell ref="A164:B164"/>
    <mergeCell ref="A117:B117"/>
    <mergeCell ref="C117:D117"/>
    <mergeCell ref="E117:F117"/>
    <mergeCell ref="G117:H117"/>
    <mergeCell ref="A86:B86"/>
    <mergeCell ref="A39:B39"/>
    <mergeCell ref="C39:H39"/>
    <mergeCell ref="A46:D46"/>
    <mergeCell ref="L136:M136"/>
    <mergeCell ref="L134:M134"/>
    <mergeCell ref="L133:M133"/>
    <mergeCell ref="A85:B85"/>
    <mergeCell ref="C123:D123"/>
    <mergeCell ref="E123:F123"/>
    <mergeCell ref="G123:H123"/>
    <mergeCell ref="A103:E103"/>
    <mergeCell ref="A132:H132"/>
    <mergeCell ref="E128:E129"/>
    <mergeCell ref="A92:B92"/>
    <mergeCell ref="A47:D47"/>
    <mergeCell ref="A48:H48"/>
    <mergeCell ref="D64:H64"/>
    <mergeCell ref="A64:C64"/>
    <mergeCell ref="A84:B84"/>
    <mergeCell ref="C90:H90"/>
    <mergeCell ref="A45:D45"/>
    <mergeCell ref="E78:F87"/>
    <mergeCell ref="G78:H87"/>
    <mergeCell ref="A82:B82"/>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A65:C66"/>
    <mergeCell ref="D65:H65"/>
    <mergeCell ref="D66:H66"/>
    <mergeCell ref="C51:E51"/>
    <mergeCell ref="C50:E50"/>
    <mergeCell ref="G50:H5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A76:B76"/>
    <mergeCell ref="A74:B74"/>
    <mergeCell ref="C74:H74"/>
    <mergeCell ref="A77:B77"/>
    <mergeCell ref="A80:B80"/>
    <mergeCell ref="A121:H121"/>
    <mergeCell ref="A234:H234"/>
    <mergeCell ref="G122:H122"/>
    <mergeCell ref="A205:B205"/>
    <mergeCell ref="C128:C129"/>
    <mergeCell ref="B179:B180"/>
    <mergeCell ref="A235:H235"/>
    <mergeCell ref="A208:B208"/>
    <mergeCell ref="A152:H152"/>
    <mergeCell ref="A191:B191"/>
    <mergeCell ref="A192:B192"/>
    <mergeCell ref="A190:B190"/>
    <mergeCell ref="A136:B136"/>
    <mergeCell ref="A135:B135"/>
    <mergeCell ref="A178:H178"/>
    <mergeCell ref="B220:H220"/>
    <mergeCell ref="B222:H222"/>
    <mergeCell ref="B223:H223"/>
    <mergeCell ref="A218:H218"/>
    <mergeCell ref="A193:B193"/>
    <mergeCell ref="A211:B211"/>
    <mergeCell ref="A122:B122"/>
    <mergeCell ref="D179:D180"/>
    <mergeCell ref="B227:H227"/>
    <mergeCell ref="A242:H245"/>
    <mergeCell ref="A241:B241"/>
    <mergeCell ref="E241:F241"/>
    <mergeCell ref="C241:D241"/>
    <mergeCell ref="G241:H241"/>
    <mergeCell ref="A240:H240"/>
    <mergeCell ref="A238:H238"/>
    <mergeCell ref="B228:D228"/>
    <mergeCell ref="B229:D229"/>
    <mergeCell ref="A239:H239"/>
    <mergeCell ref="A236:H236"/>
    <mergeCell ref="B233:H233"/>
    <mergeCell ref="E228:H228"/>
    <mergeCell ref="E229:H229"/>
    <mergeCell ref="A228:A229"/>
    <mergeCell ref="B231:H231"/>
    <mergeCell ref="B230:H230"/>
    <mergeCell ref="B232:H232"/>
    <mergeCell ref="A237:H237"/>
    <mergeCell ref="B225:H225"/>
    <mergeCell ref="B221:H221"/>
    <mergeCell ref="A215:B215"/>
    <mergeCell ref="A212:H212"/>
    <mergeCell ref="A213:B213"/>
    <mergeCell ref="A214:B214"/>
    <mergeCell ref="A217:B217"/>
    <mergeCell ref="A216:B216"/>
    <mergeCell ref="B219:H219"/>
    <mergeCell ref="A138:B138"/>
    <mergeCell ref="A139:B139"/>
    <mergeCell ref="A140:B140"/>
    <mergeCell ref="A149:B149"/>
    <mergeCell ref="A175:B175"/>
    <mergeCell ref="A147:B147"/>
    <mergeCell ref="A148:B148"/>
    <mergeCell ref="A161:B161"/>
    <mergeCell ref="A160:B160"/>
    <mergeCell ref="G54:H54"/>
    <mergeCell ref="A56:B57"/>
    <mergeCell ref="C56:E56"/>
    <mergeCell ref="G56:H56"/>
    <mergeCell ref="A58:B59"/>
    <mergeCell ref="C58:E58"/>
    <mergeCell ref="G58:H58"/>
    <mergeCell ref="G51:H51"/>
    <mergeCell ref="A52:B53"/>
    <mergeCell ref="I15:P15"/>
    <mergeCell ref="F112:H112"/>
    <mergeCell ref="F110:H110"/>
    <mergeCell ref="A202:B202"/>
    <mergeCell ref="A127:H127"/>
    <mergeCell ref="G116:H116"/>
    <mergeCell ref="A111:E111"/>
    <mergeCell ref="A134:B134"/>
    <mergeCell ref="A60:B60"/>
    <mergeCell ref="C60:E60"/>
    <mergeCell ref="D62:H62"/>
    <mergeCell ref="F111:H111"/>
    <mergeCell ref="E116:F116"/>
    <mergeCell ref="A116:B116"/>
    <mergeCell ref="A119:B119"/>
    <mergeCell ref="C122:D122"/>
    <mergeCell ref="D71:H71"/>
    <mergeCell ref="A72:C72"/>
    <mergeCell ref="E43:H43"/>
    <mergeCell ref="A43:D43"/>
    <mergeCell ref="A88:B88"/>
    <mergeCell ref="A188:B188"/>
    <mergeCell ref="A109:E109"/>
    <mergeCell ref="E92:F101"/>
    <mergeCell ref="A83:B83"/>
    <mergeCell ref="A50:B50"/>
    <mergeCell ref="L142:M142"/>
    <mergeCell ref="A143:B143"/>
    <mergeCell ref="L143:M143"/>
    <mergeCell ref="A144:B144"/>
    <mergeCell ref="L144:M144"/>
    <mergeCell ref="A145:H145"/>
    <mergeCell ref="A146:B146"/>
    <mergeCell ref="C53:H53"/>
    <mergeCell ref="C52:E52"/>
    <mergeCell ref="C55:H55"/>
    <mergeCell ref="A99:B99"/>
    <mergeCell ref="A100:B100"/>
    <mergeCell ref="A115:H115"/>
    <mergeCell ref="G52:H52"/>
    <mergeCell ref="A51:B51"/>
    <mergeCell ref="A61:H61"/>
    <mergeCell ref="A62:C62"/>
    <mergeCell ref="A63:C63"/>
    <mergeCell ref="D63:H63"/>
    <mergeCell ref="G60:H60"/>
    <mergeCell ref="A54:B55"/>
    <mergeCell ref="C54:E54"/>
    <mergeCell ref="L148:M148"/>
    <mergeCell ref="L149:M149"/>
    <mergeCell ref="A150:B150"/>
    <mergeCell ref="L150:M150"/>
    <mergeCell ref="A151:B151"/>
    <mergeCell ref="L151:M151"/>
    <mergeCell ref="C148:H151"/>
    <mergeCell ref="A181:H181"/>
    <mergeCell ref="A183:H183"/>
    <mergeCell ref="A182:H182"/>
    <mergeCell ref="L159:M159"/>
    <mergeCell ref="L165:M165"/>
    <mergeCell ref="L166:M166"/>
    <mergeCell ref="L167:M167"/>
    <mergeCell ref="L168:M168"/>
    <mergeCell ref="L169:M169"/>
    <mergeCell ref="L170:M170"/>
    <mergeCell ref="L164:M164"/>
    <mergeCell ref="A171:H171"/>
    <mergeCell ref="A172:B172"/>
    <mergeCell ref="L172:M172"/>
    <mergeCell ref="A173:B173"/>
    <mergeCell ref="L173:M173"/>
    <mergeCell ref="A174:B174"/>
    <mergeCell ref="L174:M174"/>
    <mergeCell ref="L194:M194"/>
    <mergeCell ref="A197:B197"/>
    <mergeCell ref="A207:B207"/>
    <mergeCell ref="L193:M193"/>
    <mergeCell ref="L175:M175"/>
    <mergeCell ref="A176:B176"/>
    <mergeCell ref="L176:M176"/>
    <mergeCell ref="A177:B177"/>
    <mergeCell ref="L177:M177"/>
    <mergeCell ref="A184:H184"/>
    <mergeCell ref="A185:B185"/>
    <mergeCell ref="A186:B186"/>
    <mergeCell ref="A187:B187"/>
    <mergeCell ref="A200:H200"/>
    <mergeCell ref="A199:B199"/>
    <mergeCell ref="A196:B196"/>
    <mergeCell ref="A179:A180"/>
    <mergeCell ref="F179:F180"/>
    <mergeCell ref="A195:B195"/>
    <mergeCell ref="A194:H194"/>
    <mergeCell ref="L190:M190"/>
    <mergeCell ref="L191:M191"/>
    <mergeCell ref="L192:M192"/>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41:H241">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79:B18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79:E180">
      <formula1>"Fungible area,Balcony Area,Chajja Area,Cornice Area,AP Area,WS Area"</formula1>
    </dataValidation>
    <dataValidation type="list" allowBlank="1" showInputMessage="1" showErrorMessage="1" sqref="H129 H18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28 H179">
      <formula1>"Saleable area Loading :,Builder Saleable Area"</formula1>
    </dataValidation>
    <dataValidation type="list" allowBlank="1" showInputMessage="1" showErrorMessage="1" sqref="D128:D129 D179:D180">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3" max="16383" man="1"/>
    <brk id="245" max="16383" man="1"/>
    <brk id="288" max="16383" man="1"/>
    <brk id="31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6" t="s">
        <v>103</v>
      </c>
      <c r="C3" s="256"/>
      <c r="D3" s="256"/>
      <c r="E3" s="256"/>
      <c r="F3" s="256"/>
      <c r="G3" s="256"/>
      <c r="H3" s="256"/>
    </row>
    <row r="4" spans="1:9" x14ac:dyDescent="0.25">
      <c r="A4" s="2"/>
      <c r="B4" s="3" t="s">
        <v>104</v>
      </c>
      <c r="C4" s="3" t="s">
        <v>105</v>
      </c>
      <c r="D4" s="3" t="s">
        <v>66</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177</v>
      </c>
      <c r="E4" s="48" t="s">
        <v>187</v>
      </c>
      <c r="F4" s="48" t="s">
        <v>170</v>
      </c>
      <c r="G4" s="48" t="s">
        <v>192</v>
      </c>
      <c r="H4" s="48" t="s">
        <v>210</v>
      </c>
      <c r="J4" t="s">
        <v>192</v>
      </c>
      <c r="K4" t="s">
        <v>208</v>
      </c>
    </row>
    <row r="5" spans="2:11" x14ac:dyDescent="0.25">
      <c r="B5" s="47"/>
      <c r="C5" s="47"/>
      <c r="D5" s="48" t="s">
        <v>178</v>
      </c>
      <c r="E5" s="48" t="s">
        <v>185</v>
      </c>
      <c r="F5" s="48" t="s">
        <v>207</v>
      </c>
      <c r="G5" s="48" t="s">
        <v>193</v>
      </c>
      <c r="H5" s="48" t="s">
        <v>211</v>
      </c>
    </row>
    <row r="6" spans="2:11" x14ac:dyDescent="0.25">
      <c r="B6" s="47"/>
      <c r="C6" s="47"/>
      <c r="D6" s="48" t="s">
        <v>179</v>
      </c>
      <c r="E6" s="48" t="s">
        <v>186</v>
      </c>
      <c r="F6" s="48" t="s">
        <v>208</v>
      </c>
      <c r="G6" s="48" t="s">
        <v>194</v>
      </c>
      <c r="H6" s="48" t="s">
        <v>224</v>
      </c>
    </row>
    <row r="7" spans="2:11" x14ac:dyDescent="0.25">
      <c r="B7" s="47"/>
      <c r="C7" s="47"/>
      <c r="D7" s="48" t="s">
        <v>180</v>
      </c>
      <c r="E7" s="48" t="s">
        <v>188</v>
      </c>
      <c r="F7" s="48" t="s">
        <v>209</v>
      </c>
      <c r="G7" s="48" t="s">
        <v>195</v>
      </c>
      <c r="H7" s="48" t="s">
        <v>212</v>
      </c>
    </row>
    <row r="8" spans="2:11" x14ac:dyDescent="0.25">
      <c r="B8" s="47"/>
      <c r="C8" s="47"/>
      <c r="D8" s="48" t="s">
        <v>181</v>
      </c>
      <c r="E8" s="48" t="s">
        <v>189</v>
      </c>
      <c r="F8" s="48"/>
      <c r="G8" s="48" t="s">
        <v>196</v>
      </c>
      <c r="H8" s="48" t="s">
        <v>213</v>
      </c>
    </row>
    <row r="9" spans="2:11" x14ac:dyDescent="0.25">
      <c r="B9" s="47"/>
      <c r="C9" s="47"/>
      <c r="D9" s="48" t="s">
        <v>182</v>
      </c>
      <c r="E9" s="48" t="s">
        <v>187</v>
      </c>
      <c r="F9" s="48"/>
      <c r="G9" s="48" t="s">
        <v>197</v>
      </c>
      <c r="H9" s="48" t="s">
        <v>214</v>
      </c>
    </row>
    <row r="10" spans="2:11" x14ac:dyDescent="0.25">
      <c r="B10" s="47"/>
      <c r="C10" s="47"/>
      <c r="D10" s="48" t="s">
        <v>183</v>
      </c>
      <c r="E10" s="48" t="s">
        <v>190</v>
      </c>
      <c r="F10" s="48"/>
      <c r="G10" s="48" t="s">
        <v>198</v>
      </c>
      <c r="H10" s="48" t="s">
        <v>215</v>
      </c>
    </row>
    <row r="11" spans="2:11" x14ac:dyDescent="0.25">
      <c r="B11" s="47"/>
      <c r="C11" s="47"/>
      <c r="D11" s="48" t="s">
        <v>184</v>
      </c>
      <c r="E11" s="48" t="s">
        <v>191</v>
      </c>
      <c r="F11" s="48"/>
      <c r="G11" s="48" t="s">
        <v>199</v>
      </c>
      <c r="H11" s="48" t="s">
        <v>216</v>
      </c>
    </row>
    <row r="12" spans="2:11" x14ac:dyDescent="0.25">
      <c r="B12" s="47"/>
      <c r="C12" s="47"/>
      <c r="D12" s="48"/>
      <c r="E12" s="48"/>
      <c r="F12" s="48"/>
      <c r="G12" s="48" t="s">
        <v>200</v>
      </c>
      <c r="H12" s="48" t="s">
        <v>217</v>
      </c>
    </row>
    <row r="13" spans="2:11" x14ac:dyDescent="0.25">
      <c r="B13" s="47"/>
      <c r="C13" s="47"/>
      <c r="D13" s="48"/>
      <c r="E13" s="48"/>
      <c r="F13" s="48"/>
      <c r="G13" s="48" t="s">
        <v>201</v>
      </c>
      <c r="H13" s="48" t="s">
        <v>218</v>
      </c>
    </row>
    <row r="14" spans="2:11" x14ac:dyDescent="0.25">
      <c r="B14" s="47"/>
      <c r="C14" s="47"/>
      <c r="D14" s="48"/>
      <c r="E14" s="48"/>
      <c r="F14" s="48"/>
      <c r="G14" s="48" t="s">
        <v>202</v>
      </c>
      <c r="H14" s="48" t="s">
        <v>219</v>
      </c>
    </row>
    <row r="15" spans="2:11" x14ac:dyDescent="0.25">
      <c r="B15" s="47"/>
      <c r="C15" s="47"/>
      <c r="D15" s="48"/>
      <c r="E15" s="48"/>
      <c r="F15" s="48"/>
      <c r="G15" s="48" t="s">
        <v>203</v>
      </c>
      <c r="H15" s="48" t="s">
        <v>220</v>
      </c>
    </row>
    <row r="16" spans="2:11" x14ac:dyDescent="0.25">
      <c r="B16" s="47"/>
      <c r="C16" s="47"/>
      <c r="D16" s="48"/>
      <c r="E16" s="48"/>
      <c r="F16" s="48"/>
      <c r="G16" s="48" t="s">
        <v>204</v>
      </c>
      <c r="H16" s="48" t="s">
        <v>221</v>
      </c>
    </row>
    <row r="17" spans="2:8" x14ac:dyDescent="0.25">
      <c r="B17" s="47"/>
      <c r="C17" s="47"/>
      <c r="D17" s="48"/>
      <c r="E17" s="48"/>
      <c r="F17" s="48"/>
      <c r="G17" s="48" t="s">
        <v>205</v>
      </c>
      <c r="H17" s="48" t="s">
        <v>222</v>
      </c>
    </row>
    <row r="18" spans="2:8" x14ac:dyDescent="0.25">
      <c r="B18" s="47"/>
      <c r="C18" s="47"/>
      <c r="D18" s="48"/>
      <c r="E18" s="48"/>
      <c r="F18" s="48"/>
      <c r="G18" s="48" t="s">
        <v>206</v>
      </c>
      <c r="H18" s="48" t="s">
        <v>223</v>
      </c>
    </row>
    <row r="24" spans="2:8" x14ac:dyDescent="0.25">
      <c r="C24" t="s">
        <v>167</v>
      </c>
    </row>
    <row r="25" spans="2:8" x14ac:dyDescent="0.25">
      <c r="C25" t="s">
        <v>225</v>
      </c>
    </row>
    <row r="26" spans="2:8" x14ac:dyDescent="0.25">
      <c r="C26" t="s">
        <v>226</v>
      </c>
    </row>
    <row r="27" spans="2:8" x14ac:dyDescent="0.25">
      <c r="C27" t="s">
        <v>227</v>
      </c>
    </row>
    <row r="28" spans="2:8" x14ac:dyDescent="0.25">
      <c r="C28" t="s">
        <v>228</v>
      </c>
    </row>
    <row r="29" spans="2:8" x14ac:dyDescent="0.25">
      <c r="C29" t="s">
        <v>229</v>
      </c>
    </row>
    <row r="30" spans="2:8" x14ac:dyDescent="0.25">
      <c r="C30" t="s">
        <v>167</v>
      </c>
    </row>
    <row r="33" spans="3:11" x14ac:dyDescent="0.25">
      <c r="J33">
        <v>1</v>
      </c>
      <c r="K33">
        <v>2</v>
      </c>
    </row>
    <row r="34" spans="3:11" x14ac:dyDescent="0.25">
      <c r="C34" s="51" t="s">
        <v>236</v>
      </c>
      <c r="D34" s="48" t="s">
        <v>234</v>
      </c>
      <c r="E34" s="48" t="s">
        <v>239</v>
      </c>
      <c r="F34" s="48" t="s">
        <v>237</v>
      </c>
      <c r="G34" s="48" t="s">
        <v>238</v>
      </c>
      <c r="H34" s="48" t="s">
        <v>240</v>
      </c>
      <c r="J34" t="s">
        <v>192</v>
      </c>
      <c r="K34" t="s">
        <v>208</v>
      </c>
    </row>
    <row r="35" spans="3:11" x14ac:dyDescent="0.25">
      <c r="C35" s="47" t="s">
        <v>235</v>
      </c>
      <c r="D35" s="48" t="s">
        <v>168</v>
      </c>
      <c r="E35" s="48" t="s">
        <v>244</v>
      </c>
      <c r="F35" s="48" t="s">
        <v>246</v>
      </c>
      <c r="G35" s="48" t="s">
        <v>248</v>
      </c>
      <c r="H35" s="48"/>
    </row>
    <row r="36" spans="3:11" x14ac:dyDescent="0.25">
      <c r="C36" s="47"/>
      <c r="D36" s="48" t="s">
        <v>241</v>
      </c>
      <c r="E36" s="48" t="s">
        <v>245</v>
      </c>
      <c r="F36" s="48" t="s">
        <v>247</v>
      </c>
      <c r="G36" s="48" t="s">
        <v>249</v>
      </c>
      <c r="H36" s="48"/>
    </row>
    <row r="37" spans="3:11" x14ac:dyDescent="0.25">
      <c r="C37" s="47"/>
      <c r="D37" s="48" t="s">
        <v>242</v>
      </c>
      <c r="E37" s="48"/>
      <c r="F37" s="48"/>
      <c r="G37" s="48" t="s">
        <v>250</v>
      </c>
      <c r="H37" s="48"/>
    </row>
    <row r="38" spans="3:11" x14ac:dyDescent="0.25">
      <c r="C38" s="47"/>
      <c r="D38" s="48" t="s">
        <v>243</v>
      </c>
      <c r="E38" s="48"/>
      <c r="F38" s="48"/>
      <c r="G38" s="48" t="s">
        <v>250</v>
      </c>
      <c r="H38" s="48"/>
    </row>
    <row r="39" spans="3:11" x14ac:dyDescent="0.25">
      <c r="C39" s="47"/>
      <c r="D39" s="48"/>
      <c r="E39" s="48"/>
      <c r="F39" s="48"/>
      <c r="G39" s="48" t="s">
        <v>251</v>
      </c>
      <c r="H39" s="48"/>
    </row>
    <row r="40" spans="3:11" x14ac:dyDescent="0.25">
      <c r="C40" s="47"/>
      <c r="D40" s="48"/>
      <c r="E40" s="48"/>
      <c r="F40" s="48"/>
      <c r="G40" s="48" t="s">
        <v>252</v>
      </c>
      <c r="H40" s="48"/>
    </row>
    <row r="41" spans="3:11" x14ac:dyDescent="0.25">
      <c r="C41" s="47"/>
      <c r="D41" s="48"/>
      <c r="E41" s="48"/>
      <c r="F41" s="48"/>
      <c r="G41" s="48"/>
      <c r="H41" s="48"/>
    </row>
    <row r="43" spans="3:11" x14ac:dyDescent="0.25">
      <c r="C43" t="s">
        <v>253</v>
      </c>
    </row>
    <row r="44" spans="3:11" x14ac:dyDescent="0.25">
      <c r="C44" t="s">
        <v>170</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177</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192</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187</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4" workbookViewId="0">
      <selection activeCell="E24" sqref="E24"/>
    </sheetView>
  </sheetViews>
  <sheetFormatPr defaultRowHeight="15" x14ac:dyDescent="0.25"/>
  <cols>
    <col min="2" max="2" width="3" bestFit="1" customWidth="1"/>
    <col min="3" max="3" width="130" customWidth="1"/>
  </cols>
  <sheetData>
    <row r="2" spans="2:3" ht="15" customHeight="1" x14ac:dyDescent="0.25">
      <c r="B2" s="52">
        <v>1</v>
      </c>
      <c r="C2" s="55" t="s">
        <v>284</v>
      </c>
    </row>
    <row r="3" spans="2:3" x14ac:dyDescent="0.25">
      <c r="B3" s="52">
        <v>2</v>
      </c>
      <c r="C3" s="53" t="s">
        <v>285</v>
      </c>
    </row>
    <row r="4" spans="2:3" x14ac:dyDescent="0.25">
      <c r="B4" s="52">
        <v>3</v>
      </c>
      <c r="C4" s="54" t="s">
        <v>286</v>
      </c>
    </row>
    <row r="5" spans="2:3" ht="30" x14ac:dyDescent="0.25">
      <c r="B5" s="52">
        <v>4</v>
      </c>
      <c r="C5" s="53" t="s">
        <v>287</v>
      </c>
    </row>
    <row r="6" spans="2:3" x14ac:dyDescent="0.25">
      <c r="B6" s="52">
        <v>5</v>
      </c>
      <c r="C6" s="54" t="s">
        <v>288</v>
      </c>
    </row>
    <row r="7" spans="2:3" ht="30" x14ac:dyDescent="0.25">
      <c r="B7" s="52">
        <v>6</v>
      </c>
      <c r="C7" s="53" t="s">
        <v>289</v>
      </c>
    </row>
    <row r="8" spans="2:3" ht="90" x14ac:dyDescent="0.25">
      <c r="B8" s="52">
        <v>7</v>
      </c>
      <c r="C8" s="53" t="s">
        <v>290</v>
      </c>
    </row>
    <row r="9" spans="2:3" x14ac:dyDescent="0.25">
      <c r="B9" s="52">
        <v>8</v>
      </c>
      <c r="C9" s="54" t="s">
        <v>291</v>
      </c>
    </row>
    <row r="10" spans="2:3" x14ac:dyDescent="0.25">
      <c r="B10" s="52">
        <v>9</v>
      </c>
      <c r="C10" s="54" t="s">
        <v>292</v>
      </c>
    </row>
    <row r="11" spans="2:3" x14ac:dyDescent="0.25">
      <c r="B11" s="52">
        <v>10</v>
      </c>
      <c r="C11" s="54" t="s">
        <v>293</v>
      </c>
    </row>
    <row r="12" spans="2:3" x14ac:dyDescent="0.25">
      <c r="B12" s="52">
        <v>11</v>
      </c>
      <c r="C12" s="54" t="s">
        <v>294</v>
      </c>
    </row>
    <row r="13" spans="2:3" x14ac:dyDescent="0.25">
      <c r="B13" s="52">
        <v>12</v>
      </c>
      <c r="C13" s="54" t="s">
        <v>295</v>
      </c>
    </row>
    <row r="14" spans="2:3" x14ac:dyDescent="0.25">
      <c r="B14" s="52">
        <v>13</v>
      </c>
      <c r="C14" s="54" t="s">
        <v>296</v>
      </c>
    </row>
    <row r="15" spans="2:3" x14ac:dyDescent="0.25">
      <c r="B15" s="52">
        <v>14</v>
      </c>
      <c r="C15" s="54" t="s">
        <v>286</v>
      </c>
    </row>
    <row r="16" spans="2:3" x14ac:dyDescent="0.25">
      <c r="B16" s="52">
        <v>15</v>
      </c>
      <c r="C16" s="54" t="s">
        <v>298</v>
      </c>
    </row>
    <row r="17" spans="2:3" ht="31.5" customHeight="1" x14ac:dyDescent="0.25">
      <c r="B17" s="57">
        <v>16</v>
      </c>
      <c r="C17" s="59" t="s">
        <v>299</v>
      </c>
    </row>
    <row r="18" spans="2:3" x14ac:dyDescent="0.25">
      <c r="B18" s="58">
        <v>17</v>
      </c>
      <c r="C18" s="59" t="s">
        <v>300</v>
      </c>
    </row>
    <row r="19" spans="2:3" x14ac:dyDescent="0.25">
      <c r="B19" s="57">
        <v>18</v>
      </c>
      <c r="C19" s="52" t="s">
        <v>301</v>
      </c>
    </row>
    <row r="20" spans="2:3" x14ac:dyDescent="0.25">
      <c r="B20" s="58">
        <v>19</v>
      </c>
      <c r="C20" s="52" t="s">
        <v>302</v>
      </c>
    </row>
    <row r="21" spans="2:3" x14ac:dyDescent="0.25">
      <c r="B21" s="60">
        <v>20</v>
      </c>
      <c r="C21" s="52" t="s">
        <v>303</v>
      </c>
    </row>
    <row r="22" spans="2:3" x14ac:dyDescent="0.25">
      <c r="B22" s="58">
        <v>21</v>
      </c>
      <c r="C22" s="52" t="s">
        <v>301</v>
      </c>
    </row>
    <row r="23" spans="2:3" s="68" customFormat="1" ht="29.25" customHeight="1" x14ac:dyDescent="0.25">
      <c r="B23" s="67">
        <v>22</v>
      </c>
      <c r="C23" s="55" t="s">
        <v>330</v>
      </c>
    </row>
    <row r="24" spans="2:3" s="68" customFormat="1" ht="30.75" customHeight="1" x14ac:dyDescent="0.25">
      <c r="B24" s="69">
        <v>23</v>
      </c>
      <c r="C24" s="55" t="s">
        <v>331</v>
      </c>
    </row>
    <row r="25" spans="2:3" x14ac:dyDescent="0.25">
      <c r="B25" s="60">
        <v>24</v>
      </c>
      <c r="C25" s="52"/>
    </row>
    <row r="26" spans="2:3" x14ac:dyDescent="0.25">
      <c r="B26" s="58">
        <v>25</v>
      </c>
      <c r="C26"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61" t="s">
        <v>304</v>
      </c>
      <c r="C2" s="257"/>
      <c r="D2" s="257"/>
    </row>
    <row r="3" spans="1:12" x14ac:dyDescent="0.25">
      <c r="D3" s="62"/>
      <c r="E3" s="62"/>
      <c r="F3" s="62"/>
      <c r="G3" s="62"/>
      <c r="H3" s="62"/>
      <c r="I3" s="62"/>
    </row>
    <row r="4" spans="1:12" x14ac:dyDescent="0.25">
      <c r="A4" s="61" t="s">
        <v>66</v>
      </c>
      <c r="B4" s="63" t="s">
        <v>305</v>
      </c>
      <c r="C4" s="258" t="s">
        <v>306</v>
      </c>
      <c r="D4" s="258"/>
      <c r="E4" s="258"/>
      <c r="F4" s="63"/>
      <c r="G4" s="259" t="s">
        <v>307</v>
      </c>
      <c r="H4" s="259"/>
      <c r="I4" s="259"/>
      <c r="J4" s="260" t="s">
        <v>308</v>
      </c>
      <c r="K4" s="260"/>
      <c r="L4" s="260"/>
    </row>
    <row r="5" spans="1:12" x14ac:dyDescent="0.25">
      <c r="A5" s="61"/>
      <c r="B5" s="63"/>
      <c r="C5" s="63" t="s">
        <v>309</v>
      </c>
      <c r="D5" s="63" t="s">
        <v>310</v>
      </c>
      <c r="E5" s="63" t="s">
        <v>311</v>
      </c>
      <c r="F5" s="63"/>
      <c r="G5" s="63" t="s">
        <v>309</v>
      </c>
      <c r="H5" s="63" t="s">
        <v>310</v>
      </c>
      <c r="I5" s="63" t="s">
        <v>311</v>
      </c>
      <c r="J5" s="63" t="s">
        <v>309</v>
      </c>
      <c r="K5" s="63" t="s">
        <v>310</v>
      </c>
      <c r="L5" s="63" t="s">
        <v>311</v>
      </c>
    </row>
    <row r="6" spans="1:12" x14ac:dyDescent="0.25">
      <c r="B6" s="48" t="s">
        <v>312</v>
      </c>
      <c r="C6" s="48"/>
      <c r="D6" s="48"/>
      <c r="E6" s="48">
        <f>C6*D6</f>
        <v>0</v>
      </c>
      <c r="F6" s="48" t="s">
        <v>329</v>
      </c>
      <c r="G6" s="48"/>
      <c r="H6" s="48"/>
      <c r="I6" s="48">
        <f>G6*H6</f>
        <v>0</v>
      </c>
      <c r="J6" s="48"/>
      <c r="K6" s="48"/>
      <c r="L6" s="48">
        <f>J6*K6</f>
        <v>0</v>
      </c>
    </row>
    <row r="7" spans="1:12" x14ac:dyDescent="0.25">
      <c r="B7" s="48"/>
      <c r="C7" s="48"/>
      <c r="D7" s="48"/>
      <c r="E7" s="48">
        <f t="shared" ref="E7:E41" si="0">C7*D7</f>
        <v>0</v>
      </c>
      <c r="F7" s="48" t="s">
        <v>329</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313</v>
      </c>
      <c r="G9" s="48"/>
      <c r="H9" s="48"/>
      <c r="I9" s="48">
        <f t="shared" si="1"/>
        <v>0</v>
      </c>
      <c r="J9" s="48"/>
      <c r="K9" s="48"/>
      <c r="L9" s="48">
        <f t="shared" si="2"/>
        <v>0</v>
      </c>
    </row>
    <row r="10" spans="1:12" x14ac:dyDescent="0.25">
      <c r="B10" s="48" t="s">
        <v>314</v>
      </c>
      <c r="C10" s="48"/>
      <c r="D10" s="48"/>
      <c r="E10" s="48">
        <f t="shared" si="0"/>
        <v>0</v>
      </c>
      <c r="F10" s="48" t="s">
        <v>313</v>
      </c>
      <c r="G10" s="48"/>
      <c r="H10" s="48"/>
      <c r="I10" s="48">
        <f t="shared" si="1"/>
        <v>0</v>
      </c>
      <c r="J10" s="48"/>
      <c r="K10" s="48"/>
      <c r="L10" s="48">
        <f t="shared" si="2"/>
        <v>0</v>
      </c>
    </row>
    <row r="11" spans="1:12" x14ac:dyDescent="0.25">
      <c r="B11" s="48"/>
      <c r="C11" s="48"/>
      <c r="D11" s="48"/>
      <c r="E11" s="48">
        <f t="shared" si="0"/>
        <v>0</v>
      </c>
      <c r="F11" s="48" t="s">
        <v>315</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316</v>
      </c>
      <c r="C14" s="48"/>
      <c r="D14" s="48"/>
      <c r="E14" s="48">
        <f t="shared" si="0"/>
        <v>0</v>
      </c>
      <c r="F14" s="48" t="s">
        <v>313</v>
      </c>
      <c r="G14" s="48"/>
      <c r="H14" s="48"/>
      <c r="I14" s="48">
        <f t="shared" si="1"/>
        <v>0</v>
      </c>
      <c r="J14" s="48"/>
      <c r="K14" s="48"/>
      <c r="L14" s="48">
        <f t="shared" si="2"/>
        <v>0</v>
      </c>
    </row>
    <row r="15" spans="1:12" x14ac:dyDescent="0.25">
      <c r="B15" s="48"/>
      <c r="C15" s="48"/>
      <c r="D15" s="48"/>
      <c r="E15" s="48">
        <f t="shared" si="0"/>
        <v>0</v>
      </c>
      <c r="F15" s="48" t="s">
        <v>315</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317</v>
      </c>
      <c r="C18" s="48"/>
      <c r="D18" s="48"/>
      <c r="E18" s="48">
        <f t="shared" si="0"/>
        <v>0</v>
      </c>
      <c r="F18" s="48" t="s">
        <v>313</v>
      </c>
      <c r="G18" s="48"/>
      <c r="H18" s="48"/>
      <c r="I18" s="48">
        <f t="shared" si="1"/>
        <v>0</v>
      </c>
      <c r="J18" s="48"/>
      <c r="K18" s="48"/>
      <c r="L18" s="48">
        <f t="shared" si="2"/>
        <v>0</v>
      </c>
    </row>
    <row r="19" spans="2:12" x14ac:dyDescent="0.25">
      <c r="B19" s="48"/>
      <c r="C19" s="48"/>
      <c r="D19" s="48"/>
      <c r="E19" s="48">
        <f t="shared" si="0"/>
        <v>0</v>
      </c>
      <c r="F19" s="48" t="s">
        <v>315</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318</v>
      </c>
      <c r="C21" s="48"/>
      <c r="D21" s="48"/>
      <c r="E21" s="48">
        <f t="shared" si="0"/>
        <v>0</v>
      </c>
      <c r="F21" s="48" t="s">
        <v>313</v>
      </c>
      <c r="G21" s="48"/>
      <c r="H21" s="48"/>
      <c r="I21" s="48">
        <f t="shared" si="1"/>
        <v>0</v>
      </c>
      <c r="J21" s="48"/>
      <c r="K21" s="48"/>
      <c r="L21" s="48">
        <f t="shared" si="2"/>
        <v>0</v>
      </c>
    </row>
    <row r="22" spans="2:12" x14ac:dyDescent="0.25">
      <c r="B22" s="48"/>
      <c r="C22" s="48"/>
      <c r="D22" s="48"/>
      <c r="E22" s="48">
        <f t="shared" si="0"/>
        <v>0</v>
      </c>
      <c r="F22" s="48" t="s">
        <v>315</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319</v>
      </c>
      <c r="C24" s="48"/>
      <c r="D24" s="48"/>
      <c r="E24" s="48">
        <f t="shared" si="0"/>
        <v>0</v>
      </c>
      <c r="F24" s="48" t="s">
        <v>320</v>
      </c>
      <c r="G24" s="48"/>
      <c r="H24" s="48"/>
      <c r="I24" s="48">
        <f t="shared" si="1"/>
        <v>0</v>
      </c>
      <c r="J24" s="48"/>
      <c r="K24" s="48"/>
      <c r="L24" s="48">
        <f t="shared" si="2"/>
        <v>0</v>
      </c>
    </row>
    <row r="25" spans="2:12" x14ac:dyDescent="0.25">
      <c r="B25" s="48"/>
      <c r="C25" s="48"/>
      <c r="D25" s="48"/>
      <c r="E25" s="48">
        <f t="shared" ref="E25:E27" si="3">C25*D25</f>
        <v>0</v>
      </c>
      <c r="F25" s="48" t="s">
        <v>320</v>
      </c>
      <c r="G25" s="48"/>
      <c r="H25" s="48"/>
      <c r="I25" s="48">
        <f t="shared" ref="I25:I27" si="4">G25*H25</f>
        <v>0</v>
      </c>
      <c r="J25" s="48"/>
      <c r="K25" s="48"/>
      <c r="L25" s="48">
        <f t="shared" ref="L25:L27" si="5">J25*K25</f>
        <v>0</v>
      </c>
    </row>
    <row r="26" spans="2:12" x14ac:dyDescent="0.25">
      <c r="B26" s="48"/>
      <c r="C26" s="48"/>
      <c r="D26" s="48"/>
      <c r="E26" s="48">
        <f t="shared" si="3"/>
        <v>0</v>
      </c>
      <c r="F26" s="48" t="s">
        <v>320</v>
      </c>
      <c r="G26" s="48"/>
      <c r="H26" s="48"/>
      <c r="I26" s="48">
        <f t="shared" si="4"/>
        <v>0</v>
      </c>
      <c r="J26" s="48"/>
      <c r="K26" s="48"/>
      <c r="L26" s="48">
        <f t="shared" si="5"/>
        <v>0</v>
      </c>
    </row>
    <row r="27" spans="2:12" x14ac:dyDescent="0.25">
      <c r="B27" s="48"/>
      <c r="C27" s="48"/>
      <c r="D27" s="48"/>
      <c r="E27" s="48">
        <f t="shared" si="3"/>
        <v>0</v>
      </c>
      <c r="F27" s="48" t="s">
        <v>320</v>
      </c>
      <c r="G27" s="48"/>
      <c r="H27" s="48"/>
      <c r="I27" s="48">
        <f t="shared" si="4"/>
        <v>0</v>
      </c>
      <c r="J27" s="48"/>
      <c r="K27" s="48"/>
      <c r="L27" s="48">
        <f t="shared" si="5"/>
        <v>0</v>
      </c>
    </row>
    <row r="28" spans="2:12" x14ac:dyDescent="0.25">
      <c r="B28" s="48" t="s">
        <v>321</v>
      </c>
      <c r="C28" s="48"/>
      <c r="D28" s="48"/>
      <c r="E28" s="48">
        <f t="shared" si="0"/>
        <v>0</v>
      </c>
      <c r="F28" s="48" t="s">
        <v>320</v>
      </c>
      <c r="G28" s="48"/>
      <c r="H28" s="48"/>
      <c r="I28" s="48">
        <f t="shared" si="1"/>
        <v>0</v>
      </c>
      <c r="J28" s="48"/>
      <c r="K28" s="48"/>
      <c r="L28" s="48">
        <f t="shared" si="2"/>
        <v>0</v>
      </c>
    </row>
    <row r="29" spans="2:12" x14ac:dyDescent="0.25">
      <c r="B29" s="48" t="s">
        <v>322</v>
      </c>
      <c r="C29" s="48"/>
      <c r="D29" s="48"/>
      <c r="E29" s="48">
        <f t="shared" si="0"/>
        <v>0</v>
      </c>
      <c r="F29" s="48" t="s">
        <v>320</v>
      </c>
      <c r="G29" s="48"/>
      <c r="H29" s="48"/>
      <c r="I29" s="48">
        <f t="shared" si="1"/>
        <v>0</v>
      </c>
      <c r="J29" s="48"/>
      <c r="K29" s="48"/>
      <c r="L29" s="48">
        <f t="shared" si="2"/>
        <v>0</v>
      </c>
    </row>
    <row r="30" spans="2:12" x14ac:dyDescent="0.25">
      <c r="B30" s="48" t="s">
        <v>326</v>
      </c>
      <c r="C30" s="48"/>
      <c r="D30" s="48"/>
      <c r="E30" s="48">
        <f t="shared" si="0"/>
        <v>0</v>
      </c>
      <c r="F30" s="48"/>
      <c r="G30" s="48"/>
      <c r="H30" s="48"/>
      <c r="I30" s="48">
        <f t="shared" si="1"/>
        <v>0</v>
      </c>
      <c r="J30" s="48"/>
      <c r="K30" s="48"/>
      <c r="L30" s="48">
        <f t="shared" si="2"/>
        <v>0</v>
      </c>
    </row>
    <row r="31" spans="2:12" x14ac:dyDescent="0.25">
      <c r="B31" s="48"/>
      <c r="C31" s="48"/>
      <c r="D31" s="48"/>
      <c r="E31" s="48">
        <f t="shared" ref="E31:E32" si="6">C31*D31</f>
        <v>0</v>
      </c>
      <c r="F31" s="48"/>
      <c r="G31" s="48"/>
      <c r="H31" s="48"/>
      <c r="I31" s="48">
        <f t="shared" ref="I31:I32" si="7">G31*H31</f>
        <v>0</v>
      </c>
      <c r="J31" s="48"/>
      <c r="K31" s="48"/>
      <c r="L31" s="48">
        <f t="shared" ref="L31:L32" si="8">J31*K31</f>
        <v>0</v>
      </c>
    </row>
    <row r="32" spans="2:12" x14ac:dyDescent="0.25">
      <c r="B32" s="48"/>
      <c r="C32" s="48"/>
      <c r="D32" s="48"/>
      <c r="E32" s="48">
        <f t="shared" si="6"/>
        <v>0</v>
      </c>
      <c r="F32" s="48"/>
      <c r="G32" s="48"/>
      <c r="H32" s="48"/>
      <c r="I32" s="48">
        <f t="shared" si="7"/>
        <v>0</v>
      </c>
      <c r="J32" s="48"/>
      <c r="K32" s="48"/>
      <c r="L32" s="48">
        <f t="shared" si="8"/>
        <v>0</v>
      </c>
    </row>
    <row r="33" spans="2:12" x14ac:dyDescent="0.25">
      <c r="B33" s="48" t="s">
        <v>323</v>
      </c>
      <c r="C33" s="48"/>
      <c r="D33" s="48"/>
      <c r="E33" s="48">
        <f t="shared" si="0"/>
        <v>0</v>
      </c>
      <c r="F33" s="48"/>
      <c r="G33" s="48"/>
      <c r="H33" s="48"/>
      <c r="I33" s="48">
        <f t="shared" si="1"/>
        <v>0</v>
      </c>
      <c r="J33" s="48"/>
      <c r="K33" s="48"/>
      <c r="L33" s="48">
        <f t="shared" si="2"/>
        <v>0</v>
      </c>
    </row>
    <row r="34" spans="2:12" x14ac:dyDescent="0.25">
      <c r="B34" s="48" t="s">
        <v>327</v>
      </c>
      <c r="C34" s="48"/>
      <c r="D34" s="48"/>
      <c r="E34" s="48">
        <f t="shared" si="0"/>
        <v>0</v>
      </c>
      <c r="F34" s="48"/>
      <c r="G34" s="48"/>
      <c r="H34" s="48"/>
      <c r="I34" s="48">
        <f t="shared" si="1"/>
        <v>0</v>
      </c>
      <c r="J34" s="48"/>
      <c r="K34" s="48"/>
      <c r="L34" s="48">
        <f t="shared" si="2"/>
        <v>0</v>
      </c>
    </row>
    <row r="35" spans="2:12" x14ac:dyDescent="0.25">
      <c r="B35" s="48" t="s">
        <v>324</v>
      </c>
      <c r="C35" s="48"/>
      <c r="D35" s="48"/>
      <c r="E35" s="48">
        <f t="shared" si="0"/>
        <v>0</v>
      </c>
      <c r="F35" s="48"/>
      <c r="G35" s="48"/>
      <c r="H35" s="48"/>
      <c r="I35" s="48">
        <f t="shared" si="1"/>
        <v>0</v>
      </c>
      <c r="J35" s="48"/>
      <c r="K35" s="48"/>
      <c r="L35" s="48">
        <f t="shared" si="2"/>
        <v>0</v>
      </c>
    </row>
    <row r="36" spans="2:12" x14ac:dyDescent="0.25">
      <c r="B36" s="48" t="s">
        <v>325</v>
      </c>
      <c r="C36" s="48"/>
      <c r="D36" s="48"/>
      <c r="E36" s="48">
        <f t="shared" si="0"/>
        <v>0</v>
      </c>
      <c r="F36" s="48"/>
      <c r="G36" s="48"/>
      <c r="H36" s="48"/>
      <c r="I36" s="48">
        <f>G36*H36</f>
        <v>0</v>
      </c>
      <c r="J36" s="48"/>
      <c r="K36" s="48"/>
      <c r="L36" s="48">
        <f>J36*K36</f>
        <v>0</v>
      </c>
    </row>
    <row r="37" spans="2:12" x14ac:dyDescent="0.25">
      <c r="B37" s="48"/>
      <c r="C37" s="48"/>
      <c r="D37" s="48"/>
      <c r="E37" s="48">
        <f t="shared" ref="E37:E38" si="9">C37*D37</f>
        <v>0</v>
      </c>
      <c r="F37" s="48"/>
      <c r="G37" s="48"/>
      <c r="H37" s="48"/>
      <c r="I37" s="48">
        <f t="shared" ref="I37:I38" si="10">G37*H37</f>
        <v>0</v>
      </c>
      <c r="J37" s="48"/>
      <c r="K37" s="48"/>
      <c r="L37" s="48">
        <f t="shared" ref="L37:L38" si="11">J37*K37</f>
        <v>0</v>
      </c>
    </row>
    <row r="38" spans="2:12" x14ac:dyDescent="0.25">
      <c r="B38" s="48" t="s">
        <v>328</v>
      </c>
      <c r="C38" s="48"/>
      <c r="D38" s="48"/>
      <c r="E38" s="48">
        <f t="shared" si="9"/>
        <v>0</v>
      </c>
      <c r="F38" s="48"/>
      <c r="G38" s="48"/>
      <c r="H38" s="48"/>
      <c r="I38" s="48">
        <f t="shared" si="10"/>
        <v>0</v>
      </c>
      <c r="J38" s="48"/>
      <c r="K38" s="48"/>
      <c r="L38" s="48">
        <f t="shared" si="11"/>
        <v>0</v>
      </c>
    </row>
    <row r="39" spans="2:12" x14ac:dyDescent="0.25">
      <c r="B39" s="48"/>
      <c r="C39" s="48"/>
      <c r="D39" s="48"/>
      <c r="E39" s="48">
        <f t="shared" si="0"/>
        <v>0</v>
      </c>
      <c r="F39" s="48"/>
      <c r="G39" s="48"/>
      <c r="H39" s="48"/>
      <c r="I39" s="48">
        <f>G39*H39</f>
        <v>0</v>
      </c>
      <c r="J39" s="48"/>
      <c r="K39" s="48"/>
      <c r="L39" s="48">
        <f>J39*K39</f>
        <v>0</v>
      </c>
    </row>
    <row r="40" spans="2:12" x14ac:dyDescent="0.25">
      <c r="B40" s="48"/>
      <c r="C40" s="48"/>
      <c r="D40" s="48"/>
      <c r="E40" s="48">
        <f t="shared" si="0"/>
        <v>0</v>
      </c>
      <c r="F40" s="48"/>
      <c r="G40" s="48"/>
      <c r="H40" s="48"/>
      <c r="I40" s="48">
        <f>G40*H40</f>
        <v>0</v>
      </c>
      <c r="J40" s="48"/>
      <c r="K40" s="48"/>
      <c r="L40" s="48">
        <f>J40*K40</f>
        <v>0</v>
      </c>
    </row>
    <row r="41" spans="2:12" x14ac:dyDescent="0.25">
      <c r="B41" s="48"/>
      <c r="C41" s="48"/>
      <c r="D41" s="48"/>
      <c r="E41" s="48">
        <f t="shared" si="0"/>
        <v>0</v>
      </c>
      <c r="F41" s="48"/>
      <c r="G41" s="48"/>
      <c r="H41" s="48"/>
      <c r="I41" s="48">
        <f>G41*H41</f>
        <v>0</v>
      </c>
      <c r="J41" s="48"/>
      <c r="K41" s="48"/>
      <c r="L41" s="48">
        <f>J41*K41</f>
        <v>0</v>
      </c>
    </row>
    <row r="42" spans="2:12" x14ac:dyDescent="0.25">
      <c r="B42" s="48" t="s">
        <v>148</v>
      </c>
      <c r="C42" s="48"/>
      <c r="D42" s="48">
        <f>E42*10.764</f>
        <v>0</v>
      </c>
      <c r="E42" s="66">
        <f>SUM(E6:E41)</f>
        <v>0</v>
      </c>
      <c r="F42" s="48"/>
      <c r="G42" s="48"/>
      <c r="H42" s="48">
        <f>I42*10.764</f>
        <v>0</v>
      </c>
      <c r="I42" s="65">
        <f>SUM(I6:I41)</f>
        <v>0</v>
      </c>
      <c r="J42" s="48"/>
      <c r="K42" s="48">
        <f>L42*10.764</f>
        <v>0</v>
      </c>
      <c r="L42" s="64">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2025-07-10T21:00:12Z</cp:lastPrinted>
  <dcterms:created xsi:type="dcterms:W3CDTF">2019-07-16T09:29:46Z</dcterms:created>
  <dcterms:modified xsi:type="dcterms:W3CDTF">2025-07-10T21:02:33Z</dcterms:modified>
</cp:coreProperties>
</file>