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9FDEBCDA-F2E3-49F0-BDB9-7515ECE4FAB8}"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6" i="1" l="1"/>
  <c r="D166" i="1"/>
  <c r="E165" i="1"/>
  <c r="D165" i="1"/>
  <c r="E164" i="1"/>
  <c r="D164" i="1"/>
  <c r="F164" i="1" s="1"/>
  <c r="H164" i="1" s="1"/>
  <c r="A164" i="1"/>
  <c r="A165" i="1" s="1"/>
  <c r="A166" i="1" s="1"/>
  <c r="E163" i="1"/>
  <c r="D163" i="1"/>
  <c r="I162" i="1"/>
  <c r="F163" i="1" l="1"/>
  <c r="H163" i="1" s="1"/>
  <c r="I163" i="1" s="1"/>
  <c r="F165" i="1"/>
  <c r="H165" i="1" s="1"/>
  <c r="F166" i="1"/>
  <c r="H166" i="1" s="1"/>
  <c r="E43" i="1"/>
  <c r="E175" i="1" l="1"/>
  <c r="E174" i="1"/>
  <c r="D175" i="1"/>
  <c r="D169" i="1"/>
  <c r="D174" i="1"/>
  <c r="D173" i="1"/>
  <c r="E176" i="1"/>
  <c r="D176" i="1"/>
  <c r="A174" i="1"/>
  <c r="A175" i="1" s="1"/>
  <c r="A176" i="1" s="1"/>
  <c r="E173" i="1"/>
  <c r="E171" i="1"/>
  <c r="D171" i="1"/>
  <c r="E170" i="1"/>
  <c r="D170" i="1"/>
  <c r="E169" i="1"/>
  <c r="A169" i="1"/>
  <c r="A170" i="1" s="1"/>
  <c r="A171" i="1" s="1"/>
  <c r="E168" i="1"/>
  <c r="D168" i="1"/>
  <c r="D153" i="1"/>
  <c r="E156" i="1"/>
  <c r="D156" i="1"/>
  <c r="A156" i="1"/>
  <c r="E155" i="1"/>
  <c r="D155" i="1"/>
  <c r="E153" i="1"/>
  <c r="I147" i="1"/>
  <c r="F168" i="1" l="1"/>
  <c r="H168" i="1" s="1"/>
  <c r="F171" i="1"/>
  <c r="H171" i="1" s="1"/>
  <c r="F175" i="1"/>
  <c r="H175" i="1" s="1"/>
  <c r="F176" i="1"/>
  <c r="H176" i="1" s="1"/>
  <c r="F169" i="1"/>
  <c r="H169" i="1" s="1"/>
  <c r="F174" i="1"/>
  <c r="H174" i="1" s="1"/>
  <c r="F156" i="1"/>
  <c r="H156" i="1" s="1"/>
  <c r="F153" i="1"/>
  <c r="H153" i="1" s="1"/>
  <c r="F155" i="1"/>
  <c r="H155" i="1" s="1"/>
  <c r="F170" i="1"/>
  <c r="H170" i="1" s="1"/>
  <c r="F173" i="1"/>
  <c r="H173" i="1" s="1"/>
  <c r="D149" i="1"/>
  <c r="D150" i="1"/>
  <c r="D159" i="1"/>
  <c r="D160" i="1"/>
  <c r="D186" i="1"/>
  <c r="D161" i="1"/>
  <c r="D158" i="1"/>
  <c r="D151" i="1"/>
  <c r="D148" i="1"/>
  <c r="E161" i="1"/>
  <c r="E160" i="1"/>
  <c r="E159" i="1"/>
  <c r="E158" i="1"/>
  <c r="F158" i="1" s="1"/>
  <c r="H158" i="1" s="1"/>
  <c r="E186" i="1"/>
  <c r="E185" i="1"/>
  <c r="D185" i="1"/>
  <c r="E184" i="1"/>
  <c r="D184" i="1"/>
  <c r="E183" i="1"/>
  <c r="D183" i="1"/>
  <c r="A159" i="1"/>
  <c r="A160" i="1" s="1"/>
  <c r="A161" i="1" s="1"/>
  <c r="E181" i="1"/>
  <c r="D181" i="1"/>
  <c r="E180" i="1"/>
  <c r="D180" i="1"/>
  <c r="E178" i="1"/>
  <c r="D178" i="1"/>
  <c r="A181" i="1"/>
  <c r="A184" i="1"/>
  <c r="A185" i="1" s="1"/>
  <c r="A186" i="1" s="1"/>
  <c r="E151" i="1"/>
  <c r="E150" i="1"/>
  <c r="E149" i="1"/>
  <c r="E148" i="1"/>
  <c r="F186" i="1" l="1"/>
  <c r="H186" i="1" s="1"/>
  <c r="C137" i="1"/>
  <c r="C140" i="1" s="1"/>
  <c r="F178" i="1"/>
  <c r="H178" i="1" s="1"/>
  <c r="F180" i="1"/>
  <c r="H180" i="1" s="1"/>
  <c r="F181" i="1"/>
  <c r="H181" i="1" s="1"/>
  <c r="F183" i="1"/>
  <c r="H183" i="1" s="1"/>
  <c r="F184" i="1"/>
  <c r="H184" i="1" s="1"/>
  <c r="F185" i="1"/>
  <c r="H185" i="1" s="1"/>
  <c r="F159" i="1"/>
  <c r="H159" i="1" s="1"/>
  <c r="F160" i="1"/>
  <c r="H160" i="1" s="1"/>
  <c r="F161" i="1"/>
  <c r="H161" i="1" s="1"/>
  <c r="C103" i="1"/>
  <c r="C89" i="1"/>
  <c r="E31" i="1" l="1"/>
  <c r="E26" i="1"/>
  <c r="F148" i="1" l="1"/>
  <c r="H148"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D42" i="7" s="1"/>
  <c r="I42" i="7"/>
  <c r="H42" i="7" s="1"/>
  <c r="L42" i="7"/>
  <c r="K42" i="7" s="1"/>
  <c r="D44" i="7" l="1"/>
  <c r="E44" i="7"/>
  <c r="B213" i="1"/>
  <c r="G58" i="1" l="1"/>
  <c r="C58" i="1"/>
  <c r="S33" i="1" l="1"/>
  <c r="F11" i="5" l="1"/>
  <c r="G11" i="5" s="1"/>
  <c r="F10" i="5"/>
  <c r="G10" i="5" s="1"/>
  <c r="F9" i="5"/>
  <c r="G9" i="5" s="1"/>
  <c r="F8" i="5"/>
  <c r="G8" i="5" s="1"/>
  <c r="F7" i="5"/>
  <c r="G7" i="5" s="1"/>
  <c r="F6" i="5"/>
  <c r="G6" i="5" s="1"/>
  <c r="F5" i="5"/>
  <c r="G5" i="5" s="1"/>
  <c r="G12" i="5" s="1"/>
  <c r="D235" i="1"/>
  <c r="B214" i="1"/>
  <c r="F210" i="1"/>
  <c r="H210" i="1" s="1"/>
  <c r="F209" i="1"/>
  <c r="H209" i="1" s="1"/>
  <c r="F208" i="1"/>
  <c r="H208" i="1" s="1"/>
  <c r="F207" i="1"/>
  <c r="H207" i="1" s="1"/>
  <c r="F206" i="1"/>
  <c r="H206" i="1" s="1"/>
  <c r="F204" i="1"/>
  <c r="H204" i="1" s="1"/>
  <c r="F203" i="1"/>
  <c r="H203" i="1" s="1"/>
  <c r="F202" i="1"/>
  <c r="H202" i="1" s="1"/>
  <c r="F201" i="1"/>
  <c r="H201" i="1" s="1"/>
  <c r="F200" i="1"/>
  <c r="H200" i="1" s="1"/>
  <c r="F198" i="1"/>
  <c r="H198" i="1" s="1"/>
  <c r="F197" i="1"/>
  <c r="H197" i="1" s="1"/>
  <c r="F196" i="1"/>
  <c r="H196" i="1" s="1"/>
  <c r="F195" i="1"/>
  <c r="H195" i="1" s="1"/>
  <c r="F194" i="1"/>
  <c r="H194" i="1" s="1"/>
  <c r="F192" i="1"/>
  <c r="H192" i="1" s="1"/>
  <c r="F191" i="1"/>
  <c r="H191" i="1" s="1"/>
  <c r="F190" i="1"/>
  <c r="H190" i="1" s="1"/>
  <c r="F189" i="1"/>
  <c r="H189" i="1" s="1"/>
  <c r="F188" i="1"/>
  <c r="H188" i="1" s="1"/>
  <c r="A188" i="1"/>
  <c r="A189" i="1" s="1"/>
  <c r="A190" i="1" s="1"/>
  <c r="A191" i="1" s="1"/>
  <c r="A192" i="1" s="1"/>
  <c r="F151" i="1"/>
  <c r="H151" i="1" s="1"/>
  <c r="F150" i="1"/>
  <c r="H150" i="1" s="1"/>
  <c r="F149" i="1"/>
  <c r="A149" i="1"/>
  <c r="A150" i="1" s="1"/>
  <c r="A151" i="1" s="1"/>
  <c r="F129" i="1"/>
  <c r="C75" i="1"/>
  <c r="B76" i="1" s="1"/>
  <c r="G51" i="1"/>
  <c r="C51" i="1"/>
  <c r="E44" i="1"/>
  <c r="E45" i="1" s="1"/>
  <c r="E28" i="1"/>
  <c r="C16" i="1"/>
  <c r="I15" i="1"/>
  <c r="Z13" i="1"/>
  <c r="E8" i="1"/>
  <c r="E3" i="1"/>
  <c r="D69" i="1" s="1"/>
  <c r="A206" i="1"/>
  <c r="A200" i="1"/>
  <c r="A194" i="1"/>
  <c r="E137" i="1" l="1"/>
  <c r="E140" i="1" s="1"/>
  <c r="H149" i="1"/>
  <c r="A195" i="1"/>
  <c r="A201" i="1"/>
  <c r="A207" i="1"/>
  <c r="H76" i="1"/>
  <c r="D85" i="1" l="1"/>
  <c r="D84" i="1"/>
  <c r="D88" i="1"/>
  <c r="J78" i="1"/>
  <c r="D87" i="1"/>
  <c r="D82" i="1"/>
  <c r="J79" i="1"/>
  <c r="D81" i="1"/>
  <c r="J80" i="1"/>
  <c r="C79" i="1" s="1"/>
  <c r="D79" i="1" s="1"/>
  <c r="D86" i="1"/>
  <c r="D83" i="1"/>
  <c r="J81" i="1"/>
  <c r="J82" i="1" s="1"/>
  <c r="J87" i="1" s="1"/>
  <c r="J88" i="1" s="1"/>
  <c r="C80" i="1" s="1"/>
  <c r="J75" i="1"/>
  <c r="J77" i="1" s="1"/>
  <c r="G137" i="1"/>
  <c r="G140" i="1" s="1"/>
  <c r="J85" i="1"/>
  <c r="J83" i="1"/>
  <c r="J84" i="1"/>
  <c r="J86" i="1"/>
  <c r="A196" i="1"/>
  <c r="A208" i="1"/>
  <c r="A202" i="1"/>
  <c r="B90" i="1" l="1"/>
  <c r="J76" i="1"/>
  <c r="E79" i="1"/>
  <c r="D80" i="1"/>
  <c r="G79" i="1"/>
  <c r="D73" i="1" s="1"/>
  <c r="A197" i="1"/>
  <c r="H90" i="1"/>
  <c r="A209" i="1"/>
  <c r="A203"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204" i="1"/>
  <c r="A198" i="1"/>
  <c r="A210"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3"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<sst xmlns="http://schemas.openxmlformats.org/spreadsheetml/2006/main" count="698" uniqueCount="401">
  <si>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</si>
  <si>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</si>
  <si>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</si>
  <si>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</si>
  <si>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</si>
  <si>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</si>
  <si>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</si>
  <si>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</si>
  <si>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</si>
  <si>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</si>
  <si>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</si>
  <si>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</si>
  <si>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</si>
  <si>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</si>
  <si>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</si>
  <si>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</si>
  <si>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</si>
  <si>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</si>
  <si>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</si>
  <si>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</si>
  <si>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</si>
  <si>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</si>
  <si>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</si>
  <si>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</si>
  <si>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</si>
  <si>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</si>
  <si>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</si>
  <si>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</si>
  <si>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</si>
  <si>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</si>
  <si>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</si>
  <si>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</si>
  <si>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</si>
  <si>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</si>
  <si>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</si>
  <si>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</si>
  <si>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</si>
  <si>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</si>
  <si>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</si>
  <si>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</si>
  <si>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</si>
  <si>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</si>
  <si>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</si>
  <si>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</si>
  <si>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</si>
  <si>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</si>
  <si>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</si>
  <si>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</si>
  <si>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</si>
  <si>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</si>
  <si>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</si>
  <si>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</si>
  <si>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</si>
  <si>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</si>
  <si>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</si>
  <si>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</si>
  <si>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</si>
  <si>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</si>
  <si>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</si>
  <si>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</si>
  <si>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</si>
  <si>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</si>
  <si>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</si>
  <si>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</si>
  <si>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</si>
  <si>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</si>
  <si>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</si>
  <si>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</si>
  <si>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</si>
  <si>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</si>
  <si>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</si>
  <si>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</si>
  <si>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</si>
  <si>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</si>
  <si>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</si>
  <si>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</si>
  <si>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</si>
  <si>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</si>
  <si>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</si>
  <si>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</si>
  <si>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</si>
  <si>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</si>
  <si>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</si>
  <si>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</si>
  <si>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</si>
  <si>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</si>
  <si>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</si>
  <si>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</si>
  <si>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</si>
  <si>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</si>
  <si>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</si>
  <si>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</si>
  <si>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</si>
  <si>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</si>
  <si>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</si>
  <si>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</si>
  <si>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</si>
  <si>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</si>
  <si>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</si>
  <si>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</si>
  <si>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</si>
  <si>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</si>
  <si>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</si>
  <si>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</si>
  <si>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</si>
  <si>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</si>
  <si>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</si>
  <si>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</si>
  <si>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</si>
  <si>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</si>
  <si>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</si>
  <si>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</si>
  <si>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</si>
  <si>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</si>
  <si>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</si>
  <si>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</si>
  <si>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</si>
  <si>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</si>
  <si>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</si>
  <si>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</si>
  <si>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</si>
  <si>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</si>
  <si>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</si>
  <si>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</si>
  <si>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</si>
  <si>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</si>
  <si>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</si>
  <si>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</si>
  <si>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</si>
  <si>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</si>
  <si>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</si>
  <si>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</si>
  <si>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</si>
  <si>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</si>
  <si>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</si>
  <si>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</si>
  <si>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</si>
  <si>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</si>
  <si>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</si>
  <si>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</si>
  <si>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</si>
  <si>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</si>
  <si>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</si>
  <si>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</si>
  <si>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</si>
  <si>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</si>
  <si>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</si>
  <si>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</si>
  <si>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</si>
  <si>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</si>
  <si>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</si>
  <si>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</si>
  <si>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</si>
  <si>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</si>
  <si>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</si>
  <si>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</si>
  <si>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</si>
  <si>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</si>
  <si>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</si>
  <si>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</si>
  <si>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</si>
  <si>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</si>
  <si>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</si>
  <si>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</si>
  <si>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</si>
  <si>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</si>
  <si>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</si>
  <si>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</si>
  <si>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</si>
  <si>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</si>
  <si>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</si>
  <si>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</si>
  <si>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</si>
  <si>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</si>
  <si>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</si>
  <si>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</si>
  <si>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</si>
  <si>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</si>
  <si>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</si>
  <si>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</si>
  <si>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</si>
  <si>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</si>
  <si>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</si>
  <si>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</si>
  <si>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</si>
  <si>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</si>
  <si>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</si>
  <si>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</si>
  <si>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</si>
  <si>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</si>
  <si>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</si>
  <si>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</si>
  <si>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</si>
  <si>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</si>
  <si>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</si>
  <si>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</si>
  <si>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</si>
  <si>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</si>
  <si>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</si>
  <si>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</si>
  <si>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</si>
  <si>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</si>
  <si>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</si>
  <si>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</si>
  <si>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</si>
  <si>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</si>
  <si>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</si>
  <si>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</si>
  <si>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</si>
  <si>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</si>
  <si>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</si>
  <si>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</si>
  <si>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</si>
  <si>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</si>
  <si>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</si>
  <si>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</si>
  <si>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</si>
  <si>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</si>
  <si>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</si>
  <si>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</si>
  <si>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</si>
  <si>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</si>
  <si>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</si>
  <si>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</si>
  <si>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</si>
  <si>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</si>
  <si>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</si>
  <si>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</si>
  <si>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</si>
  <si>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</si>
  <si>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</si>
  <si>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</si>
  <si>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</si>
  <si>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</si>
  <si>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</si>
  <si>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</si>
  <si>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</si>
  <si>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</si>
  <si>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</si>
  <si>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</si>
  <si>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</si>
  <si>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</si>
  <si>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</si>
  <si>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</si>
  <si>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</si>
  <si>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</si>
  <si>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</si>
  <si>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</si>
  <si>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</si>
  <si>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</si>
  <si>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</si>
  <si>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</si>
  <si>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</si>
  <si>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</si>
  <si>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</si>
  <si>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</si>
  <si>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</si>
  <si>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</si>
  <si>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</si>
  <si>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</si>
  <si>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</si>
  <si>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</si>
  <si>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</si>
  <si>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</si>
  <si>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</si>
  <si>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</si>
  <si>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</si>
  <si>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</si>
  <si>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</si>
  <si>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</si>
  <si>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</si>
  <si>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</si>
  <si>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</si>
  <si>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</si>
  <si>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</si>
  <si>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</si>
  <si>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</si>
  <si>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</si>
  <si>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</si>
  <si>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</si>
  <si>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</si>
  <si>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</si>
  <si>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</si>
  <si>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</si>
  <si>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</si>
  <si>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</si>
  <si>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</si>
  <si>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</si>
  <si>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</si>
  <si>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</si>
  <si>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</si>
  <si>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</si>
  <si>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</si>
  <si>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</si>
  <si>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</si>
  <si>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</si>
  <si>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</si>
  <si>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</si>
  <si>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</si>
  <si>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</si>
  <si>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</si>
  <si>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</si>
  <si>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</si>
  <si>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</si>
  <si>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</si>
  <si>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</si>
  <si>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</si>
  <si>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</si>
  <si>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</si>
  <si>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</si>
  <si>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</si>
  <si>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</si>
  <si>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</si>
  <si>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</si>
  <si>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</si>
  <si>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</si>
  <si>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</si>
  <si>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</si>
  <si>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</si>
  <si>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</si>
  <si>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</si>
  <si>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</si>
  <si>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</si>
  <si>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</si>
  <si>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</si>
  <si>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</si>
  <si>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</si>
  <si>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</si>
  <si>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</si>
  <si>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</si>
  <si>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</si>
  <si>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</si>
  <si>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</si>
  <si>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</si>
  <si>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</si>
  <si>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P99000048968</t>
  </si>
  <si>
    <t>Newfield Infraventures</t>
  </si>
  <si>
    <t>Dunlin</t>
  </si>
  <si>
    <t>Mr. Kapil 915889327</t>
  </si>
  <si>
    <t>Survey No</t>
  </si>
  <si>
    <t>Sandor</t>
  </si>
  <si>
    <t>Vasai West</t>
  </si>
  <si>
    <t>Shreenathji Apartment</t>
  </si>
  <si>
    <t>Mahatma Gandhi Road</t>
  </si>
  <si>
    <t>As per RERA - 30/09/2026</t>
  </si>
  <si>
    <t>Recreational Garden Space, Children Play Area, Elegant Entrance, Power Back Up System for Elevators etc.</t>
  </si>
  <si>
    <t>Ground Floor For Entrance Lobby &amp; Parking</t>
  </si>
  <si>
    <t>2BHK</t>
  </si>
  <si>
    <t>Flat Number Taken From Sale plan Attached in MIS</t>
  </si>
  <si>
    <t>Building No.1 Wing D (Dunlin)</t>
  </si>
  <si>
    <t>-</t>
  </si>
  <si>
    <t>Refuge Area</t>
  </si>
  <si>
    <t>4BHK</t>
  </si>
  <si>
    <t>We considered Gross carpet area = Net carpet + D.B Area + F.B Area.</t>
  </si>
  <si>
    <t>Navnath Bhatkar</t>
  </si>
  <si>
    <t>6th, 10th, 14th Floor (Part Refuge Area) (Sale)</t>
  </si>
  <si>
    <t>7th, 11th, 15th Floor (Sale)</t>
  </si>
  <si>
    <t>Approved plans does not consist of flat numbers hence we have considered it from sale plan.</t>
  </si>
  <si>
    <t>19.363042,72.812263</t>
  </si>
  <si>
    <t>https://maps.app.goo.gl/pkYAhub6DGJEPmyH8</t>
  </si>
  <si>
    <t>Kharale</t>
  </si>
  <si>
    <t>3.7KM from Vasai Road Railway Station</t>
  </si>
  <si>
    <t>Nalla</t>
  </si>
  <si>
    <t>Internal Road</t>
  </si>
  <si>
    <t>Paved Area/ RG 1</t>
  </si>
  <si>
    <t>Channel</t>
  </si>
  <si>
    <t>Building No.1 Wing C</t>
  </si>
  <si>
    <t>Building No.1 Wing E</t>
  </si>
  <si>
    <t>Residential Building</t>
  </si>
  <si>
    <t>Under Construction Building</t>
  </si>
  <si>
    <t>as per sale plan</t>
  </si>
  <si>
    <t>VVCMC/FIRE/HQ/1199/2023-24</t>
  </si>
  <si>
    <t>Building No.1 (Wing D) = 69.95mtr.</t>
  </si>
  <si>
    <t>VVCMC/TP/RDP/VP-0337/280/2022-23</t>
  </si>
  <si>
    <t>Wing D = Stilt + Podium + 1st to 20th Floor. ( B.U.A =  6690.61sqm )</t>
  </si>
  <si>
    <t>VVCMC/TP/AMEND/VP/0337/280/2022-23</t>
  </si>
  <si>
    <t>Wing D = Stilt + 1P + 1st to 20th Floor</t>
  </si>
  <si>
    <t>7th &amp; 12th Floor</t>
  </si>
  <si>
    <t>6th, 11th, 16th Floor (Part Refuge Area)</t>
  </si>
  <si>
    <t>19th &amp; 20th Floor</t>
  </si>
  <si>
    <t>14th, 15th, 17th &amp; 18th Floor</t>
  </si>
  <si>
    <t>Flats</t>
  </si>
  <si>
    <t>Podium Floor For Society Office, Meter Room &amp; Parking</t>
  </si>
  <si>
    <t>Flats - 77</t>
  </si>
  <si>
    <t>Old S No.230 H No.1 to 8, S No.231 H No.1 to 9, S No.235 H No.1/2, 2 to 10, 11/1, 11/2, S No.236 H No.1, 2, 3, 7, 8, 11 to 15, 17 to 22, 23Pt, 24, 25A, 25B, 27, 28, 29, New S No.230 H No.1/1, 1/2, 1/3, 2/1, 2/2, 3/1, 3/2, 3/3, 5, 6/1, 6/2, 7/1, 7/2, 8/1, 8/2, S No.231 H No.1/1, 1/2, 1/3, 2 to 9, S No.235, H No.1/2, 2/1, 2/2, 2/3, 3/1, 3/2, 3/3, 4/1, 4/2, 4/3, 4/4, 5/1, 5/2, 5/3, 6/1, 6/2, 7, 8/1, 8/2, 9, 10/1, 10/2, 11/1, 11/2, S No.236, H No.1, 2, 3, 7, 8, 11/1, 11/2, 12/1, 12/2, 13/1, 13/2, 14/1, 14/2, 15, 17, 18/1, 18/2, 19/1, 19/2, 20/1, 20/2, 20/3, 21/1, 21/2, 22/1, 22/2, 23/1, 23/2, 23/3, 24/4, 24, 25A, 25B, 27/1, 27/2, 27/3, 28/1, 28/2, 28/3, 29/1, 29/2, 29/3</t>
  </si>
  <si>
    <t>Approved Plans, CC, Builder Saleable Area., Cost Sheet, Sale Plan</t>
  </si>
  <si>
    <t>SIA/MH/INFRA2/422345/2023</t>
  </si>
  <si>
    <t>Building No.1 Wing D = Stilt + Podium + 1st to 20th Floor</t>
  </si>
  <si>
    <t>DB + FB Area</t>
  </si>
  <si>
    <r>
      <t xml:space="preserve">Flat No.
</t>
    </r>
    <r>
      <rPr>
        <b/>
        <sz val="11"/>
        <rFont val="Times New Roman"/>
        <family val="1"/>
      </rPr>
      <t>(Approved Plan)</t>
    </r>
  </si>
  <si>
    <r>
      <t xml:space="preserve">Proposed Amenities :                                                                                                                                                                                                                         </t>
    </r>
    <r>
      <rPr>
        <b/>
        <sz val="12"/>
        <rFont val="Times New Roman"/>
        <family val="1"/>
      </rPr>
      <t xml:space="preserve">                                               </t>
    </r>
  </si>
  <si>
    <t>Amenties Charges</t>
  </si>
  <si>
    <t>Floor Rise Rate from 8th Floor</t>
  </si>
  <si>
    <t>6500 to 7200 + OC + FR(100) for staff case 1301 by Nilesh &amp; Trupti Visit on 16/09/2024</t>
  </si>
  <si>
    <t>1st to 5th, 8th to 10th Floor For Residential</t>
  </si>
  <si>
    <t>13th Floor</t>
  </si>
  <si>
    <t>Flat No. 1301 Sale changes to 1071 62% loading for SBB HEAD staff case by nilesh index2 attached in scanning on 21/09/2024</t>
  </si>
  <si>
    <t xml:space="preserve">Recommended Rates / Other charges of the Property have been revised on 21/09/2024.
</t>
  </si>
  <si>
    <t>Mr. Sunny Singh 8657139103</t>
  </si>
  <si>
    <t>Construction work is in process at the time of Visit. Internal visit was not allowed. (Slow Speed)</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</si>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</sst>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4"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2">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Border="1" applyAlignment="1">
      <alignment horizontal="center" vertical="top"/>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6" fillId="2" borderId="25" xfId="1" applyFont="1" applyFill="1" applyBorder="1" applyAlignment="1">
      <alignment vertical="top" wrapText="1"/>
    </xf>
    <xf numFmtId="0" fontId="6" fillId="2" borderId="0" xfId="1" applyFont="1" applyFill="1" applyAlignment="1">
      <alignment vertical="top" wrapText="1"/>
    </xf>
    <xf numFmtId="1" fontId="5" fillId="5" borderId="1" xfId="0"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6" fillId="2" borderId="25" xfId="1" applyFont="1" applyFill="1" applyBorder="1" applyAlignment="1">
      <alignment horizontal="center" vertical="top" wrapText="1"/>
    </xf>
    <xf numFmtId="0" fontId="6" fillId="2" borderId="0" xfId="1" applyFont="1" applyFill="1" applyAlignment="1">
      <alignment horizontal="center" vertical="top" wrapText="1"/>
    </xf>
    <xf numFmtId="1" fontId="9" fillId="5" borderId="8" xfId="0" applyNumberFormat="1" applyFont="1" applyFill="1" applyBorder="1" applyAlignment="1" applyProtection="1">
      <alignment vertical="top" wrapText="1"/>
      <protection locked="0"/>
    </xf>
    <xf numFmtId="1" fontId="9" fillId="5" borderId="21" xfId="0" applyNumberFormat="1" applyFont="1" applyFill="1" applyBorder="1" applyAlignment="1" applyProtection="1">
      <alignment vertical="top" wrapText="1"/>
      <protection locked="0"/>
    </xf>
    <xf numFmtId="1" fontId="9" fillId="5" borderId="9" xfId="0" applyNumberFormat="1" applyFont="1" applyFill="1" applyBorder="1" applyAlignment="1" applyProtection="1">
      <alignment vertical="top"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4" fillId="2" borderId="0" xfId="1" applyNumberFormat="1" applyFont="1" applyFill="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5" fillId="0" borderId="21"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165"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3"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1" fontId="11" fillId="0" borderId="1"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7" fillId="0" borderId="16"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0" fontId="12" fillId="0" borderId="1" xfId="0" applyFont="1" applyBorder="1" applyAlignment="1" applyProtection="1">
      <alignment horizontal="center" vertical="top" wrapText="1"/>
      <protection locked="0"/>
    </xf>
    <xf numFmtId="1" fontId="12" fillId="0" borderId="1" xfId="0" applyNumberFormat="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protection locked="0"/>
    </xf>
    <xf numFmtId="0" fontId="11" fillId="0" borderId="0" xfId="1" applyFont="1" applyAlignment="1" applyProtection="1">
      <alignment horizontal="left" vertical="top"/>
      <protection locked="0"/>
    </xf>
    <xf numFmtId="0" fontId="11" fillId="0" borderId="26" xfId="1" applyFont="1" applyBorder="1" applyAlignment="1" applyProtection="1">
      <alignment horizontal="left" vertical="top"/>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25" fillId="0" borderId="1" xfId="10" applyFill="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5" fillId="0" borderId="1" xfId="1" applyFont="1" applyBorder="1" applyAlignment="1" applyProtection="1">
      <alignment vertical="top"/>
      <protection locked="0"/>
    </xf>
    <xf numFmtId="0" fontId="9" fillId="0" borderId="3" xfId="0" applyFont="1" applyBorder="1" applyAlignment="1" applyProtection="1">
      <alignment horizontal="center" vertical="center"/>
      <protection locked="0"/>
    </xf>
    <xf numFmtId="0" fontId="7" fillId="0" borderId="16" xfId="1" applyFont="1" applyBorder="1" applyAlignment="1" applyProtection="1">
      <alignment horizontal="center" vertical="top"/>
      <protection locked="0"/>
    </xf>
    <xf numFmtId="0" fontId="16" fillId="0" borderId="25" xfId="1" applyFont="1" applyBorder="1" applyAlignment="1">
      <alignment horizontal="center"/>
    </xf>
    <xf numFmtId="0" fontId="16" fillId="0" borderId="0" xfId="1" applyFont="1" applyAlignment="1">
      <alignment horizontal="center"/>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143004</xdr:colOff>
      <xdr:row>319</xdr:row>
      <xdr:rowOff>76200</xdr:rowOff>
    </xdr:from>
    <xdr:to>
      <xdr:col>6</xdr:col>
      <xdr:colOff>419131</xdr:colOff>
      <xdr:row>337</xdr:row>
      <xdr:rowOff>75750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05004" y="51054000"/>
          <a:ext cx="4362352" cy="3600000"/>
        </a:xfrm>
        <a:prstGeom prst="rect">
          <a:avLst/>
        </a:prstGeom>
        <a:ln>
          <a:solidFill>
            <a:schemeClr val="tx1"/>
          </a:solidFill>
        </a:ln>
      </xdr:spPr>
    </xdr:pic>
    <xdr:clientData/>
  </xdr:twoCellAnchor>
  <xdr:twoCellAnchor>
    <xdr:from>
      <xdr:col>1</xdr:col>
      <xdr:colOff>419099</xdr:colOff>
      <xdr:row>277</xdr:row>
      <xdr:rowOff>180975</xdr:rowOff>
    </xdr:from>
    <xdr:to>
      <xdr:col>5</xdr:col>
      <xdr:colOff>723899</xdr:colOff>
      <xdr:row>295</xdr:row>
      <xdr:rowOff>525</xdr:rowOff>
    </xdr:to>
    <xdr:grpSp>
      <xdr:nvGrpSpPr>
        <xdr:cNvPr id="25" name="Group 24">
          <a:extLst>
            <a:ext uri="{FF2B5EF4-FFF2-40B4-BE49-F238E27FC236}">
              <a16:creationId xmlns:a16="http://schemas.microsoft.com/office/drawing/2014/main" id="{00000000-0008-0000-0000-000019000000}"/>
            </a:ext>
          </a:extLst>
        </xdr:cNvPr>
        <xdr:cNvGrpSpPr/>
      </xdr:nvGrpSpPr>
      <xdr:grpSpPr>
        <a:xfrm>
          <a:off x="1203959" y="46739175"/>
          <a:ext cx="3733800" cy="3385710"/>
          <a:chOff x="1549503" y="867832"/>
          <a:chExt cx="3615292" cy="4500000"/>
        </a:xfrm>
      </xdr:grpSpPr>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49503" y="867832"/>
            <a:ext cx="3615292" cy="4500000"/>
          </a:xfrm>
          <a:prstGeom prst="rect">
            <a:avLst/>
          </a:prstGeom>
          <a:ln>
            <a:solidFill>
              <a:schemeClr val="tx1"/>
            </a:solidFill>
          </a:ln>
        </xdr:spPr>
      </xdr:pic>
      <xdr:sp macro="" textlink="">
        <xdr:nvSpPr>
          <xdr:cNvPr id="27" name="Rectangle 26">
            <a:extLst>
              <a:ext uri="{FF2B5EF4-FFF2-40B4-BE49-F238E27FC236}">
                <a16:creationId xmlns:a16="http://schemas.microsoft.com/office/drawing/2014/main" id="{00000000-0008-0000-0000-00001B000000}"/>
              </a:ext>
            </a:extLst>
          </xdr:cNvPr>
          <xdr:cNvSpPr/>
        </xdr:nvSpPr>
        <xdr:spPr>
          <a:xfrm rot="2593036">
            <a:off x="3075416" y="3328851"/>
            <a:ext cx="786178" cy="48960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33">
            <a:extLst>
              <a:ext uri="{FF2B5EF4-FFF2-40B4-BE49-F238E27FC236}">
                <a16:creationId xmlns:a16="http://schemas.microsoft.com/office/drawing/2014/main" id="{00000000-0008-0000-0000-00001C000000}"/>
              </a:ext>
            </a:extLst>
          </xdr:cNvPr>
          <xdr:cNvSpPr txBox="1"/>
        </xdr:nvSpPr>
        <xdr:spPr>
          <a:xfrm rot="2702324">
            <a:off x="2731038" y="3002107"/>
            <a:ext cx="2025701" cy="34940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Bldg No.1 Wing D</a:t>
            </a:r>
            <a:endParaRPr lang="en-IN" sz="1400" b="1">
              <a:solidFill>
                <a:srgbClr val="FFFF00"/>
              </a:solidFill>
            </a:endParaRPr>
          </a:p>
        </xdr:txBody>
      </xdr:sp>
    </xdr:grpSp>
    <xdr:clientData/>
  </xdr:twoCellAnchor>
  <xdr:twoCellAnchor editAs="oneCell">
    <xdr:from>
      <xdr:col>8</xdr:col>
      <xdr:colOff>266700</xdr:colOff>
      <xdr:row>54</xdr:row>
      <xdr:rowOff>190500</xdr:rowOff>
    </xdr:from>
    <xdr:to>
      <xdr:col>14</xdr:col>
      <xdr:colOff>456498</xdr:colOff>
      <xdr:row>55</xdr:row>
      <xdr:rowOff>247612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6581775" y="16487775"/>
          <a:ext cx="5619048" cy="304762"/>
        </a:xfrm>
        <a:prstGeom prst="rect">
          <a:avLst/>
        </a:prstGeom>
        <a:ln>
          <a:solidFill>
            <a:schemeClr val="tx1"/>
          </a:solidFill>
        </a:ln>
      </xdr:spPr>
    </xdr:pic>
    <xdr:clientData/>
  </xdr:twoCellAnchor>
  <xdr:twoCellAnchor editAs="oneCell">
    <xdr:from>
      <xdr:col>8</xdr:col>
      <xdr:colOff>285750</xdr:colOff>
      <xdr:row>52</xdr:row>
      <xdr:rowOff>28575</xdr:rowOff>
    </xdr:from>
    <xdr:to>
      <xdr:col>14</xdr:col>
      <xdr:colOff>751738</xdr:colOff>
      <xdr:row>55</xdr:row>
      <xdr:rowOff>18971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stretch>
          <a:fillRect/>
        </a:stretch>
      </xdr:blipFill>
      <xdr:spPr>
        <a:xfrm>
          <a:off x="6600825" y="12563475"/>
          <a:ext cx="5895238" cy="638095"/>
        </a:xfrm>
        <a:prstGeom prst="rect">
          <a:avLst/>
        </a:prstGeom>
        <a:ln>
          <a:solidFill>
            <a:schemeClr val="tx1"/>
          </a:solidFill>
        </a:ln>
      </xdr:spPr>
    </xdr:pic>
    <xdr:clientData/>
  </xdr:twoCellAnchor>
  <xdr:twoCellAnchor editAs="oneCell">
    <xdr:from>
      <xdr:col>8</xdr:col>
      <xdr:colOff>295276</xdr:colOff>
      <xdr:row>45</xdr:row>
      <xdr:rowOff>95250</xdr:rowOff>
    </xdr:from>
    <xdr:to>
      <xdr:col>10</xdr:col>
      <xdr:colOff>358149</xdr:colOff>
      <xdr:row>52</xdr:row>
      <xdr:rowOff>65475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6610351" y="13573125"/>
          <a:ext cx="1986923" cy="1980000"/>
        </a:xfrm>
        <a:prstGeom prst="rect">
          <a:avLst/>
        </a:prstGeom>
        <a:ln>
          <a:solidFill>
            <a:schemeClr val="tx1"/>
          </a:solidFill>
        </a:ln>
      </xdr:spPr>
    </xdr:pic>
    <xdr:clientData/>
  </xdr:twoCellAnchor>
  <xdr:twoCellAnchor>
    <xdr:from>
      <xdr:col>1</xdr:col>
      <xdr:colOff>196084</xdr:colOff>
      <xdr:row>295</xdr:row>
      <xdr:rowOff>168165</xdr:rowOff>
    </xdr:from>
    <xdr:to>
      <xdr:col>6</xdr:col>
      <xdr:colOff>202011</xdr:colOff>
      <xdr:row>317</xdr:row>
      <xdr:rowOff>87615</xdr:rowOff>
    </xdr:to>
    <xdr:grpSp>
      <xdr:nvGrpSpPr>
        <xdr:cNvPr id="30" name="Group 29">
          <a:extLst>
            <a:ext uri="{FF2B5EF4-FFF2-40B4-BE49-F238E27FC236}">
              <a16:creationId xmlns:a16="http://schemas.microsoft.com/office/drawing/2014/main" id="{00000000-0008-0000-0000-00001E000000}"/>
            </a:ext>
          </a:extLst>
        </xdr:cNvPr>
        <xdr:cNvGrpSpPr/>
      </xdr:nvGrpSpPr>
      <xdr:grpSpPr>
        <a:xfrm>
          <a:off x="980944" y="50292525"/>
          <a:ext cx="4196927" cy="4278090"/>
          <a:chOff x="1085850" y="50912145"/>
          <a:chExt cx="4092152" cy="4320000"/>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85850" y="50912145"/>
            <a:ext cx="4092152" cy="4320000"/>
          </a:xfrm>
          <a:prstGeom prst="rect">
            <a:avLst/>
          </a:prstGeom>
          <a:ln>
            <a:solidFill>
              <a:schemeClr val="tx1"/>
            </a:solidFill>
          </a:ln>
        </xdr:spPr>
      </xdr:pic>
      <xdr:sp macro="" textlink="">
        <xdr:nvSpPr>
          <xdr:cNvPr id="32" name="Rectangle 31">
            <a:extLst>
              <a:ext uri="{FF2B5EF4-FFF2-40B4-BE49-F238E27FC236}">
                <a16:creationId xmlns:a16="http://schemas.microsoft.com/office/drawing/2014/main" id="{00000000-0008-0000-0000-000020000000}"/>
              </a:ext>
            </a:extLst>
          </xdr:cNvPr>
          <xdr:cNvSpPr/>
        </xdr:nvSpPr>
        <xdr:spPr>
          <a:xfrm rot="18836055">
            <a:off x="3436765" y="53619640"/>
            <a:ext cx="487536" cy="632460"/>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TextBox 45">
            <a:extLst>
              <a:ext uri="{FF2B5EF4-FFF2-40B4-BE49-F238E27FC236}">
                <a16:creationId xmlns:a16="http://schemas.microsoft.com/office/drawing/2014/main" id="{00000000-0008-0000-0000-000021000000}"/>
              </a:ext>
            </a:extLst>
          </xdr:cNvPr>
          <xdr:cNvSpPr txBox="1"/>
        </xdr:nvSpPr>
        <xdr:spPr>
          <a:xfrm rot="2765861">
            <a:off x="2203537" y="53807586"/>
            <a:ext cx="1739579" cy="31149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FF00"/>
                </a:solidFill>
              </a:rPr>
              <a:t>Building No.1 </a:t>
            </a:r>
            <a:endParaRPr lang="en-IN" sz="1400" b="1">
              <a:solidFill>
                <a:srgbClr val="FFFF00"/>
              </a:solidFill>
            </a:endParaRP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3114675" y="52225575"/>
            <a:ext cx="32451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A</a:t>
            </a: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4210050" y="53597175"/>
            <a:ext cx="58637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FFFF00"/>
                </a:solidFill>
                <a:effectLst/>
                <a:latin typeface="+mn-lt"/>
                <a:ea typeface="+mn-ea"/>
                <a:cs typeface="+mn-cs"/>
              </a:rPr>
              <a:t>Wing F</a:t>
            </a:r>
            <a:endParaRPr lang="en-IN">
              <a:solidFill>
                <a:srgbClr val="FFFF00"/>
              </a:solidFill>
              <a:effectLst/>
            </a:endParaRPr>
          </a:p>
          <a:p>
            <a:endParaRPr lang="en-IN" sz="1100">
              <a:solidFill>
                <a:srgbClr val="FFFF00"/>
              </a:solidFill>
            </a:endParaRP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4133850" y="54264945"/>
            <a:ext cx="29726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E</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3486150" y="53693445"/>
            <a:ext cx="33015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D</a:t>
            </a:r>
          </a:p>
        </xdr:txBody>
      </xdr:sp>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2990850" y="53198145"/>
            <a:ext cx="30681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C</a:t>
            </a:r>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2609850" y="52645695"/>
            <a:ext cx="32451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B</a:t>
            </a:r>
          </a:p>
        </xdr:txBody>
      </xdr:sp>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4314825" y="52950495"/>
            <a:ext cx="331757"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800" b="1">
                <a:solidFill>
                  <a:srgbClr val="FFFF00"/>
                </a:solidFill>
              </a:rPr>
              <a:t>G</a:t>
            </a:r>
          </a:p>
        </xdr:txBody>
      </xdr:sp>
    </xdr:grpSp>
    <xdr:clientData/>
  </xdr:twoCellAnchor>
  <xdr:twoCellAnchor>
    <xdr:from>
      <xdr:col>0</xdr:col>
      <xdr:colOff>253562</xdr:colOff>
      <xdr:row>338</xdr:row>
      <xdr:rowOff>33831</xdr:rowOff>
    </xdr:from>
    <xdr:to>
      <xdr:col>7</xdr:col>
      <xdr:colOff>301187</xdr:colOff>
      <xdr:row>354</xdr:row>
      <xdr:rowOff>52553</xdr:rowOff>
    </xdr:to>
    <xdr:grpSp>
      <xdr:nvGrpSpPr>
        <xdr:cNvPr id="41" name="Group 40">
          <a:extLst>
            <a:ext uri="{FF2B5EF4-FFF2-40B4-BE49-F238E27FC236}">
              <a16:creationId xmlns:a16="http://schemas.microsoft.com/office/drawing/2014/main" id="{00000000-0008-0000-0000-000029000000}"/>
            </a:ext>
          </a:extLst>
        </xdr:cNvPr>
        <xdr:cNvGrpSpPr/>
      </xdr:nvGrpSpPr>
      <xdr:grpSpPr>
        <a:xfrm>
          <a:off x="253562" y="58677351"/>
          <a:ext cx="5777865" cy="3188642"/>
          <a:chOff x="542925" y="59844397"/>
          <a:chExt cx="5244860" cy="2967487"/>
        </a:xfrm>
      </xdr:grpSpPr>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42925" y="59844397"/>
            <a:ext cx="5244860" cy="2967487"/>
          </a:xfrm>
          <a:prstGeom prst="rect">
            <a:avLst/>
          </a:prstGeom>
          <a:ln>
            <a:solidFill>
              <a:schemeClr val="tx1"/>
            </a:solidFill>
          </a:ln>
        </xdr:spPr>
      </xdr:pic>
      <xdr:sp macro="" textlink="">
        <xdr:nvSpPr>
          <xdr:cNvPr id="43" name="Rectangle 42">
            <a:extLst>
              <a:ext uri="{FF2B5EF4-FFF2-40B4-BE49-F238E27FC236}">
                <a16:creationId xmlns:a16="http://schemas.microsoft.com/office/drawing/2014/main" id="{00000000-0008-0000-0000-00002B000000}"/>
              </a:ext>
            </a:extLst>
          </xdr:cNvPr>
          <xdr:cNvSpPr/>
        </xdr:nvSpPr>
        <xdr:spPr>
          <a:xfrm rot="18761316">
            <a:off x="1912029" y="61599252"/>
            <a:ext cx="428872" cy="488784"/>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44" name="TextBox 5">
            <a:extLst>
              <a:ext uri="{FF2B5EF4-FFF2-40B4-BE49-F238E27FC236}">
                <a16:creationId xmlns:a16="http://schemas.microsoft.com/office/drawing/2014/main" id="{00000000-0008-0000-0000-00002C000000}"/>
              </a:ext>
            </a:extLst>
          </xdr:cNvPr>
          <xdr:cNvSpPr txBox="1"/>
        </xdr:nvSpPr>
        <xdr:spPr>
          <a:xfrm rot="4432575">
            <a:off x="2842732" y="61290872"/>
            <a:ext cx="593873" cy="248851"/>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Falcon</a:t>
            </a:r>
            <a:endParaRPr lang="en-IN" sz="1000" b="1">
              <a:solidFill>
                <a:srgbClr val="7030A0"/>
              </a:solidFill>
            </a:endParaRPr>
          </a:p>
        </xdr:txBody>
      </xdr:sp>
      <xdr:sp macro="" textlink="">
        <xdr:nvSpPr>
          <xdr:cNvPr id="45" name="TextBox 5">
            <a:extLst>
              <a:ext uri="{FF2B5EF4-FFF2-40B4-BE49-F238E27FC236}">
                <a16:creationId xmlns:a16="http://schemas.microsoft.com/office/drawing/2014/main" id="{00000000-0008-0000-0000-00002D000000}"/>
              </a:ext>
            </a:extLst>
          </xdr:cNvPr>
          <xdr:cNvSpPr txBox="1"/>
        </xdr:nvSpPr>
        <xdr:spPr>
          <a:xfrm rot="3097074">
            <a:off x="1483768" y="62144076"/>
            <a:ext cx="531209" cy="269245"/>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Dunlin</a:t>
            </a:r>
            <a:endParaRPr lang="en-IN" sz="1000" b="1">
              <a:solidFill>
                <a:srgbClr val="7030A0"/>
              </a:solidFill>
            </a:endParaRPr>
          </a:p>
        </xdr:txBody>
      </xdr:sp>
      <xdr:sp macro="" textlink="">
        <xdr:nvSpPr>
          <xdr:cNvPr id="46" name="TextBox 5">
            <a:extLst>
              <a:ext uri="{FF2B5EF4-FFF2-40B4-BE49-F238E27FC236}">
                <a16:creationId xmlns:a16="http://schemas.microsoft.com/office/drawing/2014/main" id="{00000000-0008-0000-0000-00002E000000}"/>
              </a:ext>
            </a:extLst>
          </xdr:cNvPr>
          <xdr:cNvSpPr txBox="1"/>
        </xdr:nvSpPr>
        <xdr:spPr>
          <a:xfrm rot="19124233">
            <a:off x="2445866" y="62418046"/>
            <a:ext cx="629865" cy="279576"/>
          </a:xfrm>
          <a:prstGeom prst="rect">
            <a:avLst/>
          </a:prstGeom>
          <a:solidFill>
            <a:schemeClr val="bg1"/>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7030A0"/>
                </a:solidFill>
              </a:rPr>
              <a:t>Emerald</a:t>
            </a:r>
            <a:endParaRPr lang="en-IN" sz="1000" b="1">
              <a:solidFill>
                <a:srgbClr val="7030A0"/>
              </a:solidFill>
            </a:endParaRPr>
          </a:p>
        </xdr:txBody>
      </xdr:sp>
    </xdr:grpSp>
    <xdr:clientData/>
  </xdr:twoCellAnchor>
  <xdr:twoCellAnchor editAs="oneCell">
    <xdr:from>
      <xdr:col>8</xdr:col>
      <xdr:colOff>400050</xdr:colOff>
      <xdr:row>15</xdr:row>
      <xdr:rowOff>1400175</xdr:rowOff>
    </xdr:from>
    <xdr:to>
      <xdr:col>18</xdr:col>
      <xdr:colOff>513306</xdr:colOff>
      <xdr:row>16</xdr:row>
      <xdr:rowOff>1446296</xdr:rowOff>
    </xdr:to>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a:stretch>
          <a:fillRect/>
        </a:stretch>
      </xdr:blipFill>
      <xdr:spPr>
        <a:xfrm>
          <a:off x="6715125" y="4781550"/>
          <a:ext cx="8352381" cy="2085714"/>
        </a:xfrm>
        <a:prstGeom prst="rect">
          <a:avLst/>
        </a:prstGeom>
        <a:ln>
          <a:solidFill>
            <a:schemeClr val="tx1"/>
          </a:solidFill>
        </a:ln>
      </xdr:spPr>
    </xdr:pic>
    <xdr:clientData/>
  </xdr:twoCellAnchor>
  <xdr:twoCellAnchor>
    <xdr:from>
      <xdr:col>9</xdr:col>
      <xdr:colOff>273941</xdr:colOff>
      <xdr:row>236</xdr:row>
      <xdr:rowOff>88774</xdr:rowOff>
    </xdr:from>
    <xdr:to>
      <xdr:col>10</xdr:col>
      <xdr:colOff>324984</xdr:colOff>
      <xdr:row>238</xdr:row>
      <xdr:rowOff>68823</xdr:rowOff>
    </xdr:to>
    <xdr:sp macro="" textlink="">
      <xdr:nvSpPr>
        <xdr:cNvPr id="59" name="TextBox 190">
          <a:extLst>
            <a:ext uri="{FF2B5EF4-FFF2-40B4-BE49-F238E27FC236}">
              <a16:creationId xmlns:a16="http://schemas.microsoft.com/office/drawing/2014/main" id="{00000000-0008-0000-0000-00003B000000}"/>
            </a:ext>
          </a:extLst>
        </xdr:cNvPr>
        <xdr:cNvSpPr txBox="1"/>
      </xdr:nvSpPr>
      <xdr:spPr>
        <a:xfrm rot="19143850">
          <a:off x="7753137" y="38751991"/>
          <a:ext cx="8130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Dunlin</a:t>
          </a:r>
          <a:endParaRPr lang="en-IN" b="1">
            <a:solidFill>
              <a:srgbClr val="FF0000"/>
            </a:solidFill>
          </a:endParaRPr>
        </a:p>
      </xdr:txBody>
    </xdr:sp>
    <xdr:clientData/>
  </xdr:twoCellAnchor>
  <xdr:twoCellAnchor>
    <xdr:from>
      <xdr:col>9</xdr:col>
      <xdr:colOff>450241</xdr:colOff>
      <xdr:row>234</xdr:row>
      <xdr:rowOff>95415</xdr:rowOff>
    </xdr:from>
    <xdr:to>
      <xdr:col>16</xdr:col>
      <xdr:colOff>232322</xdr:colOff>
      <xdr:row>274</xdr:row>
      <xdr:rowOff>126786</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131201" y="38142075"/>
          <a:ext cx="5809501" cy="7948551"/>
          <a:chOff x="351181" y="38514130"/>
          <a:chExt cx="5661739" cy="7974393"/>
        </a:xfrm>
      </xdr:grpSpPr>
      <xdr:grpSp>
        <xdr:nvGrpSpPr>
          <xdr:cNvPr id="4" name="Group 3">
            <a:extLst>
              <a:ext uri="{FF2B5EF4-FFF2-40B4-BE49-F238E27FC236}">
                <a16:creationId xmlns:a16="http://schemas.microsoft.com/office/drawing/2014/main" id="{00000000-0008-0000-0000-000004000000}"/>
              </a:ext>
            </a:extLst>
          </xdr:cNvPr>
          <xdr:cNvGrpSpPr/>
        </xdr:nvGrpSpPr>
        <xdr:grpSpPr>
          <a:xfrm>
            <a:off x="351181" y="38555543"/>
            <a:ext cx="5661739" cy="7932980"/>
            <a:chOff x="351181" y="38555543"/>
            <a:chExt cx="5661739" cy="7932980"/>
          </a:xfrm>
        </xdr:grpSpPr>
        <xdr:pic>
          <xdr:nvPicPr>
            <xdr:cNvPr id="53" name="Picture 52" descr="https://vsjcllp.vsjadon.com/upload/insp-226055-152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188801" y="44328523"/>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26055-843.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51181" y="41822201"/>
              <a:ext cx="1831861" cy="2445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26055-845.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4181059" y="41817233"/>
              <a:ext cx="1831861" cy="2445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26055-847.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107634" y="38557201"/>
              <a:ext cx="2387871" cy="31871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26055-861.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495838" y="44325208"/>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26055-871.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646044" y="38555543"/>
              <a:ext cx="2387871" cy="31871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26055-880.jpg">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264465" y="41822201"/>
              <a:ext cx="1831861" cy="244502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2" name="TextBox 190">
            <a:extLst>
              <a:ext uri="{FF2B5EF4-FFF2-40B4-BE49-F238E27FC236}">
                <a16:creationId xmlns:a16="http://schemas.microsoft.com/office/drawing/2014/main" id="{00000000-0008-0000-0000-00003E000000}"/>
              </a:ext>
            </a:extLst>
          </xdr:cNvPr>
          <xdr:cNvSpPr txBox="1"/>
        </xdr:nvSpPr>
        <xdr:spPr>
          <a:xfrm>
            <a:off x="1278833" y="38514130"/>
            <a:ext cx="8130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Dunlin</a:t>
            </a:r>
            <a:endParaRPr lang="en-IN" b="1">
              <a:solidFill>
                <a:srgbClr val="FF0000"/>
              </a:solidFill>
            </a:endParaRPr>
          </a:p>
        </xdr:txBody>
      </xdr:sp>
    </xdr:grpSp>
    <xdr:clientData/>
  </xdr:twoCellAnchor>
  <xdr:twoCellAnchor>
    <xdr:from>
      <xdr:col>0</xdr:col>
      <xdr:colOff>236220</xdr:colOff>
      <xdr:row>236</xdr:row>
      <xdr:rowOff>0</xdr:rowOff>
    </xdr:from>
    <xdr:to>
      <xdr:col>7</xdr:col>
      <xdr:colOff>453068</xdr:colOff>
      <xdr:row>267</xdr:row>
      <xdr:rowOff>30233</xdr:rowOff>
    </xdr:to>
    <xdr:grpSp>
      <xdr:nvGrpSpPr>
        <xdr:cNvPr id="6" name="Group 5">
          <a:extLst>
            <a:ext uri="{FF2B5EF4-FFF2-40B4-BE49-F238E27FC236}">
              <a16:creationId xmlns:a16="http://schemas.microsoft.com/office/drawing/2014/main" id="{2E7F945C-0769-DEFB-50A0-C18360B6B83A}"/>
            </a:ext>
          </a:extLst>
        </xdr:cNvPr>
        <xdr:cNvGrpSpPr/>
      </xdr:nvGrpSpPr>
      <xdr:grpSpPr>
        <a:xfrm>
          <a:off x="236220" y="38442900"/>
          <a:ext cx="5947088" cy="6164333"/>
          <a:chOff x="238705" y="339634"/>
          <a:chExt cx="5947088" cy="6164333"/>
        </a:xfrm>
      </xdr:grpSpPr>
      <xdr:pic>
        <xdr:nvPicPr>
          <xdr:cNvPr id="10" name="Picture 9">
            <a:extLst>
              <a:ext uri="{FF2B5EF4-FFF2-40B4-BE49-F238E27FC236}">
                <a16:creationId xmlns:a16="http://schemas.microsoft.com/office/drawing/2014/main" id="{CE02A156-A363-A51B-8057-334AE33A673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305793" y="339634"/>
            <a:ext cx="2880000" cy="3844005"/>
          </a:xfrm>
          <a:prstGeom prst="rect">
            <a:avLst/>
          </a:prstGeom>
          <a:ln>
            <a:solidFill>
              <a:schemeClr val="tx1"/>
            </a:solidFill>
          </a:ln>
        </xdr:spPr>
      </xdr:pic>
      <xdr:pic>
        <xdr:nvPicPr>
          <xdr:cNvPr id="11" name="Picture 10">
            <a:extLst>
              <a:ext uri="{FF2B5EF4-FFF2-40B4-BE49-F238E27FC236}">
                <a16:creationId xmlns:a16="http://schemas.microsoft.com/office/drawing/2014/main" id="{3C7544D2-4A0C-B694-BF55-2B452233A71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38705" y="339634"/>
            <a:ext cx="2880000" cy="3844005"/>
          </a:xfrm>
          <a:prstGeom prst="rect">
            <a:avLst/>
          </a:prstGeom>
          <a:ln>
            <a:solidFill>
              <a:schemeClr val="tx1"/>
            </a:solidFill>
          </a:ln>
        </xdr:spPr>
      </xdr:pic>
      <xdr:grpSp>
        <xdr:nvGrpSpPr>
          <xdr:cNvPr id="12" name="Group 11">
            <a:extLst>
              <a:ext uri="{FF2B5EF4-FFF2-40B4-BE49-F238E27FC236}">
                <a16:creationId xmlns:a16="http://schemas.microsoft.com/office/drawing/2014/main" id="{D7557520-BF66-FA9D-635B-078CC6765473}"/>
              </a:ext>
            </a:extLst>
          </xdr:cNvPr>
          <xdr:cNvGrpSpPr/>
        </xdr:nvGrpSpPr>
        <xdr:grpSpPr>
          <a:xfrm>
            <a:off x="572930" y="4343967"/>
            <a:ext cx="5345842" cy="2160000"/>
            <a:chOff x="572930" y="4343967"/>
            <a:chExt cx="5345842" cy="2160000"/>
          </a:xfrm>
        </xdr:grpSpPr>
        <xdr:pic>
          <xdr:nvPicPr>
            <xdr:cNvPr id="15" name="Picture 14">
              <a:extLst>
                <a:ext uri="{FF2B5EF4-FFF2-40B4-BE49-F238E27FC236}">
                  <a16:creationId xmlns:a16="http://schemas.microsoft.com/office/drawing/2014/main" id="{FC7FDE4E-8F99-6D12-BE03-CD15BD61433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00460" y="4343967"/>
              <a:ext cx="1618312"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D4B5D56A-031A-6556-16D6-6FD344C9D61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2930" y="4343967"/>
              <a:ext cx="1618312" cy="2160000"/>
            </a:xfrm>
            <a:prstGeom prst="rect">
              <a:avLst/>
            </a:prstGeom>
            <a:ln>
              <a:solidFill>
                <a:schemeClr val="tx1"/>
              </a:solidFill>
            </a:ln>
          </xdr:spPr>
        </xdr:pic>
        <xdr:pic>
          <xdr:nvPicPr>
            <xdr:cNvPr id="17" name="Picture 16">
              <a:extLst>
                <a:ext uri="{FF2B5EF4-FFF2-40B4-BE49-F238E27FC236}">
                  <a16:creationId xmlns:a16="http://schemas.microsoft.com/office/drawing/2014/main" id="{A7FD693F-3822-8D65-CAF8-3C7D68455A0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436695" y="4343967"/>
              <a:ext cx="1618312" cy="2160000"/>
            </a:xfrm>
            <a:prstGeom prst="rect">
              <a:avLst/>
            </a:prstGeom>
            <a:ln>
              <a:solidFill>
                <a:schemeClr val="tx1"/>
              </a:solidFill>
            </a:ln>
          </xdr:spPr>
        </xdr:pic>
      </xdr:grpSp>
      <xdr:sp macro="" textlink="">
        <xdr:nvSpPr>
          <xdr:cNvPr id="13" name="TextBox 19">
            <a:extLst>
              <a:ext uri="{FF2B5EF4-FFF2-40B4-BE49-F238E27FC236}">
                <a16:creationId xmlns:a16="http://schemas.microsoft.com/office/drawing/2014/main" id="{58E86F2C-B691-E3A4-237C-708613A3CE5A}"/>
              </a:ext>
            </a:extLst>
          </xdr:cNvPr>
          <xdr:cNvSpPr txBox="1"/>
        </xdr:nvSpPr>
        <xdr:spPr>
          <a:xfrm>
            <a:off x="1382086" y="3814307"/>
            <a:ext cx="8963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FF00"/>
                </a:solidFill>
              </a:rPr>
              <a:t>D wing </a:t>
            </a:r>
          </a:p>
        </xdr:txBody>
      </xdr:sp>
      <xdr:sp macro="" textlink="">
        <xdr:nvSpPr>
          <xdr:cNvPr id="14" name="TextBox 20">
            <a:extLst>
              <a:ext uri="{FF2B5EF4-FFF2-40B4-BE49-F238E27FC236}">
                <a16:creationId xmlns:a16="http://schemas.microsoft.com/office/drawing/2014/main" id="{55253CA1-F2E3-B474-D1E4-BBD9B67D8A12}"/>
              </a:ext>
            </a:extLst>
          </xdr:cNvPr>
          <xdr:cNvSpPr txBox="1"/>
        </xdr:nvSpPr>
        <xdr:spPr>
          <a:xfrm>
            <a:off x="5109616" y="723594"/>
            <a:ext cx="896399"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D wing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kYAhub6DGJEPmyH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19"/>
  <sheetViews>
    <sheetView tabSelected="1" view="pageBreakPreview" zoomScaleNormal="100" zoomScaleSheetLayoutView="100" zoomScalePageLayoutView="85" workbookViewId="0">
      <selection activeCell="J8" sqref="J8"/>
    </sheetView>
  </sheetViews>
  <sheetFormatPr defaultColWidth="9.109375" defaultRowHeight="15.6" x14ac:dyDescent="0.3"/>
  <cols>
    <col min="1" max="1" width="11.44140625" style="40" customWidth="1"/>
    <col min="2" max="2" width="12" style="40" customWidth="1"/>
    <col min="3" max="3" width="12.6640625" style="40" customWidth="1"/>
    <col min="4" max="4" width="13.6640625" style="40" customWidth="1"/>
    <col min="5" max="5" width="11.6640625" style="40" customWidth="1"/>
    <col min="6" max="6" width="11.109375" style="40" customWidth="1"/>
    <col min="7" max="8" width="11" style="40" customWidth="1"/>
    <col min="9" max="9" width="17.44140625" style="21" customWidth="1"/>
    <col min="10" max="10" width="11.44140625" style="21" customWidth="1"/>
    <col min="11" max="11" width="14.33203125" style="21" bestFit="1" customWidth="1"/>
    <col min="12" max="12" width="13.88671875" style="21" bestFit="1" customWidth="1"/>
    <col min="13" max="13" width="11.88671875" style="21" customWidth="1"/>
    <col min="14" max="14" width="12.5546875" style="21" customWidth="1"/>
    <col min="15" max="15" width="12.109375" style="21" customWidth="1"/>
    <col min="16" max="16" width="11.6640625" style="21" customWidth="1"/>
    <col min="17" max="18" width="9.109375" style="21"/>
    <col min="19" max="19" width="10.88671875" style="21" bestFit="1" customWidth="1"/>
    <col min="20" max="20" width="10.6640625" style="21" customWidth="1"/>
    <col min="21" max="247" width="9.109375" style="21"/>
    <col min="248" max="248" width="8.6640625" style="21" customWidth="1"/>
    <col min="249" max="249" width="9.88671875" style="21" customWidth="1"/>
    <col min="250" max="250" width="14.44140625" style="21" customWidth="1"/>
    <col min="251" max="251" width="7.33203125" style="21" customWidth="1"/>
    <col min="252" max="252" width="5.5546875" style="21" customWidth="1"/>
    <col min="253" max="253" width="9" style="21" customWidth="1"/>
    <col min="254" max="255" width="9.88671875" style="21" customWidth="1"/>
    <col min="256" max="256" width="11.109375" style="21" customWidth="1"/>
    <col min="257" max="257" width="2.88671875" style="21" customWidth="1"/>
    <col min="258" max="258" width="3.5546875" style="21" customWidth="1"/>
    <col min="259" max="503" width="9.109375" style="21"/>
    <col min="504" max="504" width="8.6640625" style="21" customWidth="1"/>
    <col min="505" max="505" width="9.88671875" style="21" customWidth="1"/>
    <col min="506" max="506" width="14.44140625" style="21" customWidth="1"/>
    <col min="507" max="507" width="7.33203125" style="21" customWidth="1"/>
    <col min="508" max="508" width="5.5546875" style="21" customWidth="1"/>
    <col min="509" max="509" width="9" style="21" customWidth="1"/>
    <col min="510" max="511" width="9.88671875" style="21" customWidth="1"/>
    <col min="512" max="512" width="11.109375" style="21" customWidth="1"/>
    <col min="513" max="513" width="2.88671875" style="21" customWidth="1"/>
    <col min="514" max="514" width="3.5546875" style="21" customWidth="1"/>
    <col min="515" max="759" width="9.109375" style="21"/>
    <col min="760" max="760" width="8.6640625" style="21" customWidth="1"/>
    <col min="761" max="761" width="9.88671875" style="21" customWidth="1"/>
    <col min="762" max="762" width="14.44140625" style="21" customWidth="1"/>
    <col min="763" max="763" width="7.33203125" style="21" customWidth="1"/>
    <col min="764" max="764" width="5.5546875" style="21" customWidth="1"/>
    <col min="765" max="765" width="9" style="21" customWidth="1"/>
    <col min="766" max="767" width="9.88671875" style="21" customWidth="1"/>
    <col min="768" max="768" width="11.109375" style="21" customWidth="1"/>
    <col min="769" max="769" width="2.88671875" style="21" customWidth="1"/>
    <col min="770" max="770" width="3.5546875" style="21" customWidth="1"/>
    <col min="771" max="1015" width="9.109375" style="21"/>
    <col min="1016" max="1016" width="8.6640625" style="21" customWidth="1"/>
    <col min="1017" max="1017" width="9.88671875" style="21" customWidth="1"/>
    <col min="1018" max="1018" width="14.44140625" style="21" customWidth="1"/>
    <col min="1019" max="1019" width="7.33203125" style="21" customWidth="1"/>
    <col min="1020" max="1020" width="5.5546875" style="21" customWidth="1"/>
    <col min="1021" max="1021" width="9" style="21" customWidth="1"/>
    <col min="1022" max="1023" width="9.88671875" style="21" customWidth="1"/>
    <col min="1024" max="1024" width="11.109375" style="21" customWidth="1"/>
    <col min="1025" max="1025" width="2.88671875" style="21" customWidth="1"/>
    <col min="1026" max="1026" width="3.5546875" style="21" customWidth="1"/>
    <col min="1027" max="1271" width="9.109375" style="21"/>
    <col min="1272" max="1272" width="8.6640625" style="21" customWidth="1"/>
    <col min="1273" max="1273" width="9.88671875" style="21" customWidth="1"/>
    <col min="1274" max="1274" width="14.44140625" style="21" customWidth="1"/>
    <col min="1275" max="1275" width="7.33203125" style="21" customWidth="1"/>
    <col min="1276" max="1276" width="5.5546875" style="21" customWidth="1"/>
    <col min="1277" max="1277" width="9" style="21" customWidth="1"/>
    <col min="1278" max="1279" width="9.88671875" style="21" customWidth="1"/>
    <col min="1280" max="1280" width="11.109375" style="21" customWidth="1"/>
    <col min="1281" max="1281" width="2.88671875" style="21" customWidth="1"/>
    <col min="1282" max="1282" width="3.5546875" style="21" customWidth="1"/>
    <col min="1283" max="1527" width="9.109375" style="21"/>
    <col min="1528" max="1528" width="8.6640625" style="21" customWidth="1"/>
    <col min="1529" max="1529" width="9.88671875" style="21" customWidth="1"/>
    <col min="1530" max="1530" width="14.44140625" style="21" customWidth="1"/>
    <col min="1531" max="1531" width="7.33203125" style="21" customWidth="1"/>
    <col min="1532" max="1532" width="5.5546875" style="21" customWidth="1"/>
    <col min="1533" max="1533" width="9" style="21" customWidth="1"/>
    <col min="1534" max="1535" width="9.88671875" style="21" customWidth="1"/>
    <col min="1536" max="1536" width="11.109375" style="21" customWidth="1"/>
    <col min="1537" max="1537" width="2.88671875" style="21" customWidth="1"/>
    <col min="1538" max="1538" width="3.5546875" style="21" customWidth="1"/>
    <col min="1539" max="1783" width="9.109375" style="21"/>
    <col min="1784" max="1784" width="8.6640625" style="21" customWidth="1"/>
    <col min="1785" max="1785" width="9.88671875" style="21" customWidth="1"/>
    <col min="1786" max="1786" width="14.44140625" style="21" customWidth="1"/>
    <col min="1787" max="1787" width="7.33203125" style="21" customWidth="1"/>
    <col min="1788" max="1788" width="5.5546875" style="21" customWidth="1"/>
    <col min="1789" max="1789" width="9" style="21" customWidth="1"/>
    <col min="1790" max="1791" width="9.88671875" style="21" customWidth="1"/>
    <col min="1792" max="1792" width="11.109375" style="21" customWidth="1"/>
    <col min="1793" max="1793" width="2.88671875" style="21" customWidth="1"/>
    <col min="1794" max="1794" width="3.5546875" style="21" customWidth="1"/>
    <col min="1795" max="2039" width="9.109375" style="21"/>
    <col min="2040" max="2040" width="8.6640625" style="21" customWidth="1"/>
    <col min="2041" max="2041" width="9.88671875" style="21" customWidth="1"/>
    <col min="2042" max="2042" width="14.44140625" style="21" customWidth="1"/>
    <col min="2043" max="2043" width="7.33203125" style="21" customWidth="1"/>
    <col min="2044" max="2044" width="5.5546875" style="21" customWidth="1"/>
    <col min="2045" max="2045" width="9" style="21" customWidth="1"/>
    <col min="2046" max="2047" width="9.88671875" style="21" customWidth="1"/>
    <col min="2048" max="2048" width="11.109375" style="21" customWidth="1"/>
    <col min="2049" max="2049" width="2.88671875" style="21" customWidth="1"/>
    <col min="2050" max="2050" width="3.5546875" style="21" customWidth="1"/>
    <col min="2051" max="2295" width="9.109375" style="21"/>
    <col min="2296" max="2296" width="8.6640625" style="21" customWidth="1"/>
    <col min="2297" max="2297" width="9.88671875" style="21" customWidth="1"/>
    <col min="2298" max="2298" width="14.44140625" style="21" customWidth="1"/>
    <col min="2299" max="2299" width="7.33203125" style="21" customWidth="1"/>
    <col min="2300" max="2300" width="5.5546875" style="21" customWidth="1"/>
    <col min="2301" max="2301" width="9" style="21" customWidth="1"/>
    <col min="2302" max="2303" width="9.88671875" style="21" customWidth="1"/>
    <col min="2304" max="2304" width="11.109375" style="21" customWidth="1"/>
    <col min="2305" max="2305" width="2.88671875" style="21" customWidth="1"/>
    <col min="2306" max="2306" width="3.5546875" style="21" customWidth="1"/>
    <col min="2307" max="2551" width="9.109375" style="21"/>
    <col min="2552" max="2552" width="8.6640625" style="21" customWidth="1"/>
    <col min="2553" max="2553" width="9.88671875" style="21" customWidth="1"/>
    <col min="2554" max="2554" width="14.44140625" style="21" customWidth="1"/>
    <col min="2555" max="2555" width="7.33203125" style="21" customWidth="1"/>
    <col min="2556" max="2556" width="5.5546875" style="21" customWidth="1"/>
    <col min="2557" max="2557" width="9" style="21" customWidth="1"/>
    <col min="2558" max="2559" width="9.88671875" style="21" customWidth="1"/>
    <col min="2560" max="2560" width="11.109375" style="21" customWidth="1"/>
    <col min="2561" max="2561" width="2.88671875" style="21" customWidth="1"/>
    <col min="2562" max="2562" width="3.5546875" style="21" customWidth="1"/>
    <col min="2563" max="2807" width="9.109375" style="21"/>
    <col min="2808" max="2808" width="8.6640625" style="21" customWidth="1"/>
    <col min="2809" max="2809" width="9.88671875" style="21" customWidth="1"/>
    <col min="2810" max="2810" width="14.44140625" style="21" customWidth="1"/>
    <col min="2811" max="2811" width="7.33203125" style="21" customWidth="1"/>
    <col min="2812" max="2812" width="5.5546875" style="21" customWidth="1"/>
    <col min="2813" max="2813" width="9" style="21" customWidth="1"/>
    <col min="2814" max="2815" width="9.88671875" style="21" customWidth="1"/>
    <col min="2816" max="2816" width="11.109375" style="21" customWidth="1"/>
    <col min="2817" max="2817" width="2.88671875" style="21" customWidth="1"/>
    <col min="2818" max="2818" width="3.5546875" style="21" customWidth="1"/>
    <col min="2819" max="3063" width="9.109375" style="21"/>
    <col min="3064" max="3064" width="8.6640625" style="21" customWidth="1"/>
    <col min="3065" max="3065" width="9.88671875" style="21" customWidth="1"/>
    <col min="3066" max="3066" width="14.44140625" style="21" customWidth="1"/>
    <col min="3067" max="3067" width="7.33203125" style="21" customWidth="1"/>
    <col min="3068" max="3068" width="5.5546875" style="21" customWidth="1"/>
    <col min="3069" max="3069" width="9" style="21" customWidth="1"/>
    <col min="3070" max="3071" width="9.88671875" style="21" customWidth="1"/>
    <col min="3072" max="3072" width="11.109375" style="21" customWidth="1"/>
    <col min="3073" max="3073" width="2.88671875" style="21" customWidth="1"/>
    <col min="3074" max="3074" width="3.5546875" style="21" customWidth="1"/>
    <col min="3075" max="3319" width="9.109375" style="21"/>
    <col min="3320" max="3320" width="8.6640625" style="21" customWidth="1"/>
    <col min="3321" max="3321" width="9.88671875" style="21" customWidth="1"/>
    <col min="3322" max="3322" width="14.44140625" style="21" customWidth="1"/>
    <col min="3323" max="3323" width="7.33203125" style="21" customWidth="1"/>
    <col min="3324" max="3324" width="5.5546875" style="21" customWidth="1"/>
    <col min="3325" max="3325" width="9" style="21" customWidth="1"/>
    <col min="3326" max="3327" width="9.88671875" style="21" customWidth="1"/>
    <col min="3328" max="3328" width="11.109375" style="21" customWidth="1"/>
    <col min="3329" max="3329" width="2.88671875" style="21" customWidth="1"/>
    <col min="3330" max="3330" width="3.5546875" style="21" customWidth="1"/>
    <col min="3331" max="3575" width="9.109375" style="21"/>
    <col min="3576" max="3576" width="8.6640625" style="21" customWidth="1"/>
    <col min="3577" max="3577" width="9.88671875" style="21" customWidth="1"/>
    <col min="3578" max="3578" width="14.44140625" style="21" customWidth="1"/>
    <col min="3579" max="3579" width="7.33203125" style="21" customWidth="1"/>
    <col min="3580" max="3580" width="5.5546875" style="21" customWidth="1"/>
    <col min="3581" max="3581" width="9" style="21" customWidth="1"/>
    <col min="3582" max="3583" width="9.88671875" style="21" customWidth="1"/>
    <col min="3584" max="3584" width="11.109375" style="21" customWidth="1"/>
    <col min="3585" max="3585" width="2.88671875" style="21" customWidth="1"/>
    <col min="3586" max="3586" width="3.5546875" style="21" customWidth="1"/>
    <col min="3587" max="3831" width="9.109375" style="21"/>
    <col min="3832" max="3832" width="8.6640625" style="21" customWidth="1"/>
    <col min="3833" max="3833" width="9.88671875" style="21" customWidth="1"/>
    <col min="3834" max="3834" width="14.44140625" style="21" customWidth="1"/>
    <col min="3835" max="3835" width="7.33203125" style="21" customWidth="1"/>
    <col min="3836" max="3836" width="5.5546875" style="21" customWidth="1"/>
    <col min="3837" max="3837" width="9" style="21" customWidth="1"/>
    <col min="3838" max="3839" width="9.88671875" style="21" customWidth="1"/>
    <col min="3840" max="3840" width="11.109375" style="21" customWidth="1"/>
    <col min="3841" max="3841" width="2.88671875" style="21" customWidth="1"/>
    <col min="3842" max="3842" width="3.5546875" style="21" customWidth="1"/>
    <col min="3843" max="4087" width="9.109375" style="21"/>
    <col min="4088" max="4088" width="8.6640625" style="21" customWidth="1"/>
    <col min="4089" max="4089" width="9.88671875" style="21" customWidth="1"/>
    <col min="4090" max="4090" width="14.44140625" style="21" customWidth="1"/>
    <col min="4091" max="4091" width="7.33203125" style="21" customWidth="1"/>
    <col min="4092" max="4092" width="5.5546875" style="21" customWidth="1"/>
    <col min="4093" max="4093" width="9" style="21" customWidth="1"/>
    <col min="4094" max="4095" width="9.88671875" style="21" customWidth="1"/>
    <col min="4096" max="4096" width="11.109375" style="21" customWidth="1"/>
    <col min="4097" max="4097" width="2.88671875" style="21" customWidth="1"/>
    <col min="4098" max="4098" width="3.5546875" style="21" customWidth="1"/>
    <col min="4099" max="4343" width="9.109375" style="21"/>
    <col min="4344" max="4344" width="8.6640625" style="21" customWidth="1"/>
    <col min="4345" max="4345" width="9.88671875" style="21" customWidth="1"/>
    <col min="4346" max="4346" width="14.44140625" style="21" customWidth="1"/>
    <col min="4347" max="4347" width="7.33203125" style="21" customWidth="1"/>
    <col min="4348" max="4348" width="5.5546875" style="21" customWidth="1"/>
    <col min="4349" max="4349" width="9" style="21" customWidth="1"/>
    <col min="4350" max="4351" width="9.88671875" style="21" customWidth="1"/>
    <col min="4352" max="4352" width="11.109375" style="21" customWidth="1"/>
    <col min="4353" max="4353" width="2.88671875" style="21" customWidth="1"/>
    <col min="4354" max="4354" width="3.5546875" style="21" customWidth="1"/>
    <col min="4355" max="4599" width="9.109375" style="21"/>
    <col min="4600" max="4600" width="8.6640625" style="21" customWidth="1"/>
    <col min="4601" max="4601" width="9.88671875" style="21" customWidth="1"/>
    <col min="4602" max="4602" width="14.44140625" style="21" customWidth="1"/>
    <col min="4603" max="4603" width="7.33203125" style="21" customWidth="1"/>
    <col min="4604" max="4604" width="5.5546875" style="21" customWidth="1"/>
    <col min="4605" max="4605" width="9" style="21" customWidth="1"/>
    <col min="4606" max="4607" width="9.88671875" style="21" customWidth="1"/>
    <col min="4608" max="4608" width="11.109375" style="21" customWidth="1"/>
    <col min="4609" max="4609" width="2.88671875" style="21" customWidth="1"/>
    <col min="4610" max="4610" width="3.5546875" style="21" customWidth="1"/>
    <col min="4611" max="4855" width="9.109375" style="21"/>
    <col min="4856" max="4856" width="8.6640625" style="21" customWidth="1"/>
    <col min="4857" max="4857" width="9.88671875" style="21" customWidth="1"/>
    <col min="4858" max="4858" width="14.44140625" style="21" customWidth="1"/>
    <col min="4859" max="4859" width="7.33203125" style="21" customWidth="1"/>
    <col min="4860" max="4860" width="5.5546875" style="21" customWidth="1"/>
    <col min="4861" max="4861" width="9" style="21" customWidth="1"/>
    <col min="4862" max="4863" width="9.88671875" style="21" customWidth="1"/>
    <col min="4864" max="4864" width="11.109375" style="21" customWidth="1"/>
    <col min="4865" max="4865" width="2.88671875" style="21" customWidth="1"/>
    <col min="4866" max="4866" width="3.5546875" style="21" customWidth="1"/>
    <col min="4867" max="5111" width="9.109375" style="21"/>
    <col min="5112" max="5112" width="8.6640625" style="21" customWidth="1"/>
    <col min="5113" max="5113" width="9.88671875" style="21" customWidth="1"/>
    <col min="5114" max="5114" width="14.44140625" style="21" customWidth="1"/>
    <col min="5115" max="5115" width="7.33203125" style="21" customWidth="1"/>
    <col min="5116" max="5116" width="5.5546875" style="21" customWidth="1"/>
    <col min="5117" max="5117" width="9" style="21" customWidth="1"/>
    <col min="5118" max="5119" width="9.88671875" style="21" customWidth="1"/>
    <col min="5120" max="5120" width="11.109375" style="21" customWidth="1"/>
    <col min="5121" max="5121" width="2.88671875" style="21" customWidth="1"/>
    <col min="5122" max="5122" width="3.5546875" style="21" customWidth="1"/>
    <col min="5123" max="5367" width="9.109375" style="21"/>
    <col min="5368" max="5368" width="8.6640625" style="21" customWidth="1"/>
    <col min="5369" max="5369" width="9.88671875" style="21" customWidth="1"/>
    <col min="5370" max="5370" width="14.44140625" style="21" customWidth="1"/>
    <col min="5371" max="5371" width="7.33203125" style="21" customWidth="1"/>
    <col min="5372" max="5372" width="5.5546875" style="21" customWidth="1"/>
    <col min="5373" max="5373" width="9" style="21" customWidth="1"/>
    <col min="5374" max="5375" width="9.88671875" style="21" customWidth="1"/>
    <col min="5376" max="5376" width="11.109375" style="21" customWidth="1"/>
    <col min="5377" max="5377" width="2.88671875" style="21" customWidth="1"/>
    <col min="5378" max="5378" width="3.5546875" style="21" customWidth="1"/>
    <col min="5379" max="5623" width="9.109375" style="21"/>
    <col min="5624" max="5624" width="8.6640625" style="21" customWidth="1"/>
    <col min="5625" max="5625" width="9.88671875" style="21" customWidth="1"/>
    <col min="5626" max="5626" width="14.44140625" style="21" customWidth="1"/>
    <col min="5627" max="5627" width="7.33203125" style="21" customWidth="1"/>
    <col min="5628" max="5628" width="5.5546875" style="21" customWidth="1"/>
    <col min="5629" max="5629" width="9" style="21" customWidth="1"/>
    <col min="5630" max="5631" width="9.88671875" style="21" customWidth="1"/>
    <col min="5632" max="5632" width="11.109375" style="21" customWidth="1"/>
    <col min="5633" max="5633" width="2.88671875" style="21" customWidth="1"/>
    <col min="5634" max="5634" width="3.5546875" style="21" customWidth="1"/>
    <col min="5635" max="5879" width="9.109375" style="21"/>
    <col min="5880" max="5880" width="8.6640625" style="21" customWidth="1"/>
    <col min="5881" max="5881" width="9.88671875" style="21" customWidth="1"/>
    <col min="5882" max="5882" width="14.44140625" style="21" customWidth="1"/>
    <col min="5883" max="5883" width="7.33203125" style="21" customWidth="1"/>
    <col min="5884" max="5884" width="5.5546875" style="21" customWidth="1"/>
    <col min="5885" max="5885" width="9" style="21" customWidth="1"/>
    <col min="5886" max="5887" width="9.88671875" style="21" customWidth="1"/>
    <col min="5888" max="5888" width="11.109375" style="21" customWidth="1"/>
    <col min="5889" max="5889" width="2.88671875" style="21" customWidth="1"/>
    <col min="5890" max="5890" width="3.5546875" style="21" customWidth="1"/>
    <col min="5891" max="6135" width="9.109375" style="21"/>
    <col min="6136" max="6136" width="8.6640625" style="21" customWidth="1"/>
    <col min="6137" max="6137" width="9.88671875" style="21" customWidth="1"/>
    <col min="6138" max="6138" width="14.44140625" style="21" customWidth="1"/>
    <col min="6139" max="6139" width="7.33203125" style="21" customWidth="1"/>
    <col min="6140" max="6140" width="5.5546875" style="21" customWidth="1"/>
    <col min="6141" max="6141" width="9" style="21" customWidth="1"/>
    <col min="6142" max="6143" width="9.88671875" style="21" customWidth="1"/>
    <col min="6144" max="6144" width="11.109375" style="21" customWidth="1"/>
    <col min="6145" max="6145" width="2.88671875" style="21" customWidth="1"/>
    <col min="6146" max="6146" width="3.5546875" style="21" customWidth="1"/>
    <col min="6147" max="6391" width="9.109375" style="21"/>
    <col min="6392" max="6392" width="8.6640625" style="21" customWidth="1"/>
    <col min="6393" max="6393" width="9.88671875" style="21" customWidth="1"/>
    <col min="6394" max="6394" width="14.44140625" style="21" customWidth="1"/>
    <col min="6395" max="6395" width="7.33203125" style="21" customWidth="1"/>
    <col min="6396" max="6396" width="5.5546875" style="21" customWidth="1"/>
    <col min="6397" max="6397" width="9" style="21" customWidth="1"/>
    <col min="6398" max="6399" width="9.88671875" style="21" customWidth="1"/>
    <col min="6400" max="6400" width="11.109375" style="21" customWidth="1"/>
    <col min="6401" max="6401" width="2.88671875" style="21" customWidth="1"/>
    <col min="6402" max="6402" width="3.5546875" style="21" customWidth="1"/>
    <col min="6403" max="6647" width="9.109375" style="21"/>
    <col min="6648" max="6648" width="8.6640625" style="21" customWidth="1"/>
    <col min="6649" max="6649" width="9.88671875" style="21" customWidth="1"/>
    <col min="6650" max="6650" width="14.44140625" style="21" customWidth="1"/>
    <col min="6651" max="6651" width="7.33203125" style="21" customWidth="1"/>
    <col min="6652" max="6652" width="5.5546875" style="21" customWidth="1"/>
    <col min="6653" max="6653" width="9" style="21" customWidth="1"/>
    <col min="6654" max="6655" width="9.88671875" style="21" customWidth="1"/>
    <col min="6656" max="6656" width="11.109375" style="21" customWidth="1"/>
    <col min="6657" max="6657" width="2.88671875" style="21" customWidth="1"/>
    <col min="6658" max="6658" width="3.5546875" style="21" customWidth="1"/>
    <col min="6659" max="6903" width="9.109375" style="21"/>
    <col min="6904" max="6904" width="8.6640625" style="21" customWidth="1"/>
    <col min="6905" max="6905" width="9.88671875" style="21" customWidth="1"/>
    <col min="6906" max="6906" width="14.44140625" style="21" customWidth="1"/>
    <col min="6907" max="6907" width="7.33203125" style="21" customWidth="1"/>
    <col min="6908" max="6908" width="5.5546875" style="21" customWidth="1"/>
    <col min="6909" max="6909" width="9" style="21" customWidth="1"/>
    <col min="6910" max="6911" width="9.88671875" style="21" customWidth="1"/>
    <col min="6912" max="6912" width="11.109375" style="21" customWidth="1"/>
    <col min="6913" max="6913" width="2.88671875" style="21" customWidth="1"/>
    <col min="6914" max="6914" width="3.5546875" style="21" customWidth="1"/>
    <col min="6915" max="7159" width="9.109375" style="21"/>
    <col min="7160" max="7160" width="8.6640625" style="21" customWidth="1"/>
    <col min="7161" max="7161" width="9.88671875" style="21" customWidth="1"/>
    <col min="7162" max="7162" width="14.44140625" style="21" customWidth="1"/>
    <col min="7163" max="7163" width="7.33203125" style="21" customWidth="1"/>
    <col min="7164" max="7164" width="5.5546875" style="21" customWidth="1"/>
    <col min="7165" max="7165" width="9" style="21" customWidth="1"/>
    <col min="7166" max="7167" width="9.88671875" style="21" customWidth="1"/>
    <col min="7168" max="7168" width="11.109375" style="21" customWidth="1"/>
    <col min="7169" max="7169" width="2.88671875" style="21" customWidth="1"/>
    <col min="7170" max="7170" width="3.5546875" style="21" customWidth="1"/>
    <col min="7171" max="7415" width="9.109375" style="21"/>
    <col min="7416" max="7416" width="8.6640625" style="21" customWidth="1"/>
    <col min="7417" max="7417" width="9.88671875" style="21" customWidth="1"/>
    <col min="7418" max="7418" width="14.44140625" style="21" customWidth="1"/>
    <col min="7419" max="7419" width="7.33203125" style="21" customWidth="1"/>
    <col min="7420" max="7420" width="5.5546875" style="21" customWidth="1"/>
    <col min="7421" max="7421" width="9" style="21" customWidth="1"/>
    <col min="7422" max="7423" width="9.88671875" style="21" customWidth="1"/>
    <col min="7424" max="7424" width="11.109375" style="21" customWidth="1"/>
    <col min="7425" max="7425" width="2.88671875" style="21" customWidth="1"/>
    <col min="7426" max="7426" width="3.5546875" style="21" customWidth="1"/>
    <col min="7427" max="7671" width="9.109375" style="21"/>
    <col min="7672" max="7672" width="8.6640625" style="21" customWidth="1"/>
    <col min="7673" max="7673" width="9.88671875" style="21" customWidth="1"/>
    <col min="7674" max="7674" width="14.44140625" style="21" customWidth="1"/>
    <col min="7675" max="7675" width="7.33203125" style="21" customWidth="1"/>
    <col min="7676" max="7676" width="5.5546875" style="21" customWidth="1"/>
    <col min="7677" max="7677" width="9" style="21" customWidth="1"/>
    <col min="7678" max="7679" width="9.88671875" style="21" customWidth="1"/>
    <col min="7680" max="7680" width="11.109375" style="21" customWidth="1"/>
    <col min="7681" max="7681" width="2.88671875" style="21" customWidth="1"/>
    <col min="7682" max="7682" width="3.5546875" style="21" customWidth="1"/>
    <col min="7683" max="7927" width="9.109375" style="21"/>
    <col min="7928" max="7928" width="8.6640625" style="21" customWidth="1"/>
    <col min="7929" max="7929" width="9.88671875" style="21" customWidth="1"/>
    <col min="7930" max="7930" width="14.44140625" style="21" customWidth="1"/>
    <col min="7931" max="7931" width="7.33203125" style="21" customWidth="1"/>
    <col min="7932" max="7932" width="5.5546875" style="21" customWidth="1"/>
    <col min="7933" max="7933" width="9" style="21" customWidth="1"/>
    <col min="7934" max="7935" width="9.88671875" style="21" customWidth="1"/>
    <col min="7936" max="7936" width="11.109375" style="21" customWidth="1"/>
    <col min="7937" max="7937" width="2.88671875" style="21" customWidth="1"/>
    <col min="7938" max="7938" width="3.5546875" style="21" customWidth="1"/>
    <col min="7939" max="8183" width="9.109375" style="21"/>
    <col min="8184" max="8184" width="8.6640625" style="21" customWidth="1"/>
    <col min="8185" max="8185" width="9.88671875" style="21" customWidth="1"/>
    <col min="8186" max="8186" width="14.44140625" style="21" customWidth="1"/>
    <col min="8187" max="8187" width="7.33203125" style="21" customWidth="1"/>
    <col min="8188" max="8188" width="5.5546875" style="21" customWidth="1"/>
    <col min="8189" max="8189" width="9" style="21" customWidth="1"/>
    <col min="8190" max="8191" width="9.88671875" style="21" customWidth="1"/>
    <col min="8192" max="8192" width="11.109375" style="21" customWidth="1"/>
    <col min="8193" max="8193" width="2.88671875" style="21" customWidth="1"/>
    <col min="8194" max="8194" width="3.5546875" style="21" customWidth="1"/>
    <col min="8195" max="8439" width="9.109375" style="21"/>
    <col min="8440" max="8440" width="8.6640625" style="21" customWidth="1"/>
    <col min="8441" max="8441" width="9.88671875" style="21" customWidth="1"/>
    <col min="8442" max="8442" width="14.44140625" style="21" customWidth="1"/>
    <col min="8443" max="8443" width="7.33203125" style="21" customWidth="1"/>
    <col min="8444" max="8444" width="5.5546875" style="21" customWidth="1"/>
    <col min="8445" max="8445" width="9" style="21" customWidth="1"/>
    <col min="8446" max="8447" width="9.88671875" style="21" customWidth="1"/>
    <col min="8448" max="8448" width="11.109375" style="21" customWidth="1"/>
    <col min="8449" max="8449" width="2.88671875" style="21" customWidth="1"/>
    <col min="8450" max="8450" width="3.5546875" style="21" customWidth="1"/>
    <col min="8451" max="8695" width="9.109375" style="21"/>
    <col min="8696" max="8696" width="8.6640625" style="21" customWidth="1"/>
    <col min="8697" max="8697" width="9.88671875" style="21" customWidth="1"/>
    <col min="8698" max="8698" width="14.44140625" style="21" customWidth="1"/>
    <col min="8699" max="8699" width="7.33203125" style="21" customWidth="1"/>
    <col min="8700" max="8700" width="5.5546875" style="21" customWidth="1"/>
    <col min="8701" max="8701" width="9" style="21" customWidth="1"/>
    <col min="8702" max="8703" width="9.88671875" style="21" customWidth="1"/>
    <col min="8704" max="8704" width="11.109375" style="21" customWidth="1"/>
    <col min="8705" max="8705" width="2.88671875" style="21" customWidth="1"/>
    <col min="8706" max="8706" width="3.5546875" style="21" customWidth="1"/>
    <col min="8707" max="8951" width="9.109375" style="21"/>
    <col min="8952" max="8952" width="8.6640625" style="21" customWidth="1"/>
    <col min="8953" max="8953" width="9.88671875" style="21" customWidth="1"/>
    <col min="8954" max="8954" width="14.44140625" style="21" customWidth="1"/>
    <col min="8955" max="8955" width="7.33203125" style="21" customWidth="1"/>
    <col min="8956" max="8956" width="5.5546875" style="21" customWidth="1"/>
    <col min="8957" max="8957" width="9" style="21" customWidth="1"/>
    <col min="8958" max="8959" width="9.88671875" style="21" customWidth="1"/>
    <col min="8960" max="8960" width="11.109375" style="21" customWidth="1"/>
    <col min="8961" max="8961" width="2.88671875" style="21" customWidth="1"/>
    <col min="8962" max="8962" width="3.5546875" style="21" customWidth="1"/>
    <col min="8963" max="9207" width="9.109375" style="21"/>
    <col min="9208" max="9208" width="8.6640625" style="21" customWidth="1"/>
    <col min="9209" max="9209" width="9.88671875" style="21" customWidth="1"/>
    <col min="9210" max="9210" width="14.44140625" style="21" customWidth="1"/>
    <col min="9211" max="9211" width="7.33203125" style="21" customWidth="1"/>
    <col min="9212" max="9212" width="5.5546875" style="21" customWidth="1"/>
    <col min="9213" max="9213" width="9" style="21" customWidth="1"/>
    <col min="9214" max="9215" width="9.88671875" style="21" customWidth="1"/>
    <col min="9216" max="9216" width="11.109375" style="21" customWidth="1"/>
    <col min="9217" max="9217" width="2.88671875" style="21" customWidth="1"/>
    <col min="9218" max="9218" width="3.5546875" style="21" customWidth="1"/>
    <col min="9219" max="9463" width="9.109375" style="21"/>
    <col min="9464" max="9464" width="8.6640625" style="21" customWidth="1"/>
    <col min="9465" max="9465" width="9.88671875" style="21" customWidth="1"/>
    <col min="9466" max="9466" width="14.44140625" style="21" customWidth="1"/>
    <col min="9467" max="9467" width="7.33203125" style="21" customWidth="1"/>
    <col min="9468" max="9468" width="5.5546875" style="21" customWidth="1"/>
    <col min="9469" max="9469" width="9" style="21" customWidth="1"/>
    <col min="9470" max="9471" width="9.88671875" style="21" customWidth="1"/>
    <col min="9472" max="9472" width="11.109375" style="21" customWidth="1"/>
    <col min="9473" max="9473" width="2.88671875" style="21" customWidth="1"/>
    <col min="9474" max="9474" width="3.5546875" style="21" customWidth="1"/>
    <col min="9475" max="9719" width="9.109375" style="21"/>
    <col min="9720" max="9720" width="8.6640625" style="21" customWidth="1"/>
    <col min="9721" max="9721" width="9.88671875" style="21" customWidth="1"/>
    <col min="9722" max="9722" width="14.44140625" style="21" customWidth="1"/>
    <col min="9723" max="9723" width="7.33203125" style="21" customWidth="1"/>
    <col min="9724" max="9724" width="5.5546875" style="21" customWidth="1"/>
    <col min="9725" max="9725" width="9" style="21" customWidth="1"/>
    <col min="9726" max="9727" width="9.88671875" style="21" customWidth="1"/>
    <col min="9728" max="9728" width="11.109375" style="21" customWidth="1"/>
    <col min="9729" max="9729" width="2.88671875" style="21" customWidth="1"/>
    <col min="9730" max="9730" width="3.5546875" style="21" customWidth="1"/>
    <col min="9731" max="9975" width="9.109375" style="21"/>
    <col min="9976" max="9976" width="8.6640625" style="21" customWidth="1"/>
    <col min="9977" max="9977" width="9.88671875" style="21" customWidth="1"/>
    <col min="9978" max="9978" width="14.44140625" style="21" customWidth="1"/>
    <col min="9979" max="9979" width="7.33203125" style="21" customWidth="1"/>
    <col min="9980" max="9980" width="5.5546875" style="21" customWidth="1"/>
    <col min="9981" max="9981" width="9" style="21" customWidth="1"/>
    <col min="9982" max="9983" width="9.88671875" style="21" customWidth="1"/>
    <col min="9984" max="9984" width="11.109375" style="21" customWidth="1"/>
    <col min="9985" max="9985" width="2.88671875" style="21" customWidth="1"/>
    <col min="9986" max="9986" width="3.5546875" style="21" customWidth="1"/>
    <col min="9987" max="10231" width="9.109375" style="21"/>
    <col min="10232" max="10232" width="8.6640625" style="21" customWidth="1"/>
    <col min="10233" max="10233" width="9.88671875" style="21" customWidth="1"/>
    <col min="10234" max="10234" width="14.44140625" style="21" customWidth="1"/>
    <col min="10235" max="10235" width="7.33203125" style="21" customWidth="1"/>
    <col min="10236" max="10236" width="5.5546875" style="21" customWidth="1"/>
    <col min="10237" max="10237" width="9" style="21" customWidth="1"/>
    <col min="10238" max="10239" width="9.88671875" style="21" customWidth="1"/>
    <col min="10240" max="10240" width="11.109375" style="21" customWidth="1"/>
    <col min="10241" max="10241" width="2.88671875" style="21" customWidth="1"/>
    <col min="10242" max="10242" width="3.5546875" style="21" customWidth="1"/>
    <col min="10243" max="10487" width="9.109375" style="21"/>
    <col min="10488" max="10488" width="8.6640625" style="21" customWidth="1"/>
    <col min="10489" max="10489" width="9.88671875" style="21" customWidth="1"/>
    <col min="10490" max="10490" width="14.44140625" style="21" customWidth="1"/>
    <col min="10491" max="10491" width="7.33203125" style="21" customWidth="1"/>
    <col min="10492" max="10492" width="5.5546875" style="21" customWidth="1"/>
    <col min="10493" max="10493" width="9" style="21" customWidth="1"/>
    <col min="10494" max="10495" width="9.88671875" style="21" customWidth="1"/>
    <col min="10496" max="10496" width="11.109375" style="21" customWidth="1"/>
    <col min="10497" max="10497" width="2.88671875" style="21" customWidth="1"/>
    <col min="10498" max="10498" width="3.5546875" style="21" customWidth="1"/>
    <col min="10499" max="10743" width="9.109375" style="21"/>
    <col min="10744" max="10744" width="8.6640625" style="21" customWidth="1"/>
    <col min="10745" max="10745" width="9.88671875" style="21" customWidth="1"/>
    <col min="10746" max="10746" width="14.44140625" style="21" customWidth="1"/>
    <col min="10747" max="10747" width="7.33203125" style="21" customWidth="1"/>
    <col min="10748" max="10748" width="5.5546875" style="21" customWidth="1"/>
    <col min="10749" max="10749" width="9" style="21" customWidth="1"/>
    <col min="10750" max="10751" width="9.88671875" style="21" customWidth="1"/>
    <col min="10752" max="10752" width="11.109375" style="21" customWidth="1"/>
    <col min="10753" max="10753" width="2.88671875" style="21" customWidth="1"/>
    <col min="10754" max="10754" width="3.5546875" style="21" customWidth="1"/>
    <col min="10755" max="10999" width="9.109375" style="21"/>
    <col min="11000" max="11000" width="8.6640625" style="21" customWidth="1"/>
    <col min="11001" max="11001" width="9.88671875" style="21" customWidth="1"/>
    <col min="11002" max="11002" width="14.44140625" style="21" customWidth="1"/>
    <col min="11003" max="11003" width="7.33203125" style="21" customWidth="1"/>
    <col min="11004" max="11004" width="5.5546875" style="21" customWidth="1"/>
    <col min="11005" max="11005" width="9" style="21" customWidth="1"/>
    <col min="11006" max="11007" width="9.88671875" style="21" customWidth="1"/>
    <col min="11008" max="11008" width="11.109375" style="21" customWidth="1"/>
    <col min="11009" max="11009" width="2.88671875" style="21" customWidth="1"/>
    <col min="11010" max="11010" width="3.5546875" style="21" customWidth="1"/>
    <col min="11011" max="11255" width="9.109375" style="21"/>
    <col min="11256" max="11256" width="8.6640625" style="21" customWidth="1"/>
    <col min="11257" max="11257" width="9.88671875" style="21" customWidth="1"/>
    <col min="11258" max="11258" width="14.44140625" style="21" customWidth="1"/>
    <col min="11259" max="11259" width="7.33203125" style="21" customWidth="1"/>
    <col min="11260" max="11260" width="5.5546875" style="21" customWidth="1"/>
    <col min="11261" max="11261" width="9" style="21" customWidth="1"/>
    <col min="11262" max="11263" width="9.88671875" style="21" customWidth="1"/>
    <col min="11264" max="11264" width="11.109375" style="21" customWidth="1"/>
    <col min="11265" max="11265" width="2.88671875" style="21" customWidth="1"/>
    <col min="11266" max="11266" width="3.5546875" style="21" customWidth="1"/>
    <col min="11267" max="11511" width="9.109375" style="21"/>
    <col min="11512" max="11512" width="8.6640625" style="21" customWidth="1"/>
    <col min="11513" max="11513" width="9.88671875" style="21" customWidth="1"/>
    <col min="11514" max="11514" width="14.44140625" style="21" customWidth="1"/>
    <col min="11515" max="11515" width="7.33203125" style="21" customWidth="1"/>
    <col min="11516" max="11516" width="5.5546875" style="21" customWidth="1"/>
    <col min="11517" max="11517" width="9" style="21" customWidth="1"/>
    <col min="11518" max="11519" width="9.88671875" style="21" customWidth="1"/>
    <col min="11520" max="11520" width="11.109375" style="21" customWidth="1"/>
    <col min="11521" max="11521" width="2.88671875" style="21" customWidth="1"/>
    <col min="11522" max="11522" width="3.5546875" style="21" customWidth="1"/>
    <col min="11523" max="11767" width="9.109375" style="21"/>
    <col min="11768" max="11768" width="8.6640625" style="21" customWidth="1"/>
    <col min="11769" max="11769" width="9.88671875" style="21" customWidth="1"/>
    <col min="11770" max="11770" width="14.44140625" style="21" customWidth="1"/>
    <col min="11771" max="11771" width="7.33203125" style="21" customWidth="1"/>
    <col min="11772" max="11772" width="5.5546875" style="21" customWidth="1"/>
    <col min="11773" max="11773" width="9" style="21" customWidth="1"/>
    <col min="11774" max="11775" width="9.88671875" style="21" customWidth="1"/>
    <col min="11776" max="11776" width="11.109375" style="21" customWidth="1"/>
    <col min="11777" max="11777" width="2.88671875" style="21" customWidth="1"/>
    <col min="11778" max="11778" width="3.5546875" style="21" customWidth="1"/>
    <col min="11779" max="12023" width="9.109375" style="21"/>
    <col min="12024" max="12024" width="8.6640625" style="21" customWidth="1"/>
    <col min="12025" max="12025" width="9.88671875" style="21" customWidth="1"/>
    <col min="12026" max="12026" width="14.44140625" style="21" customWidth="1"/>
    <col min="12027" max="12027" width="7.33203125" style="21" customWidth="1"/>
    <col min="12028" max="12028" width="5.5546875" style="21" customWidth="1"/>
    <col min="12029" max="12029" width="9" style="21" customWidth="1"/>
    <col min="12030" max="12031" width="9.88671875" style="21" customWidth="1"/>
    <col min="12032" max="12032" width="11.109375" style="21" customWidth="1"/>
    <col min="12033" max="12033" width="2.88671875" style="21" customWidth="1"/>
    <col min="12034" max="12034" width="3.5546875" style="21" customWidth="1"/>
    <col min="12035" max="12279" width="9.109375" style="21"/>
    <col min="12280" max="12280" width="8.6640625" style="21" customWidth="1"/>
    <col min="12281" max="12281" width="9.88671875" style="21" customWidth="1"/>
    <col min="12282" max="12282" width="14.44140625" style="21" customWidth="1"/>
    <col min="12283" max="12283" width="7.33203125" style="21" customWidth="1"/>
    <col min="12284" max="12284" width="5.5546875" style="21" customWidth="1"/>
    <col min="12285" max="12285" width="9" style="21" customWidth="1"/>
    <col min="12286" max="12287" width="9.88671875" style="21" customWidth="1"/>
    <col min="12288" max="12288" width="11.109375" style="21" customWidth="1"/>
    <col min="12289" max="12289" width="2.88671875" style="21" customWidth="1"/>
    <col min="12290" max="12290" width="3.5546875" style="21" customWidth="1"/>
    <col min="12291" max="12535" width="9.109375" style="21"/>
    <col min="12536" max="12536" width="8.6640625" style="21" customWidth="1"/>
    <col min="12537" max="12537" width="9.88671875" style="21" customWidth="1"/>
    <col min="12538" max="12538" width="14.44140625" style="21" customWidth="1"/>
    <col min="12539" max="12539" width="7.33203125" style="21" customWidth="1"/>
    <col min="12540" max="12540" width="5.5546875" style="21" customWidth="1"/>
    <col min="12541" max="12541" width="9" style="21" customWidth="1"/>
    <col min="12542" max="12543" width="9.88671875" style="21" customWidth="1"/>
    <col min="12544" max="12544" width="11.109375" style="21" customWidth="1"/>
    <col min="12545" max="12545" width="2.88671875" style="21" customWidth="1"/>
    <col min="12546" max="12546" width="3.5546875" style="21" customWidth="1"/>
    <col min="12547" max="12791" width="9.109375" style="21"/>
    <col min="12792" max="12792" width="8.6640625" style="21" customWidth="1"/>
    <col min="12793" max="12793" width="9.88671875" style="21" customWidth="1"/>
    <col min="12794" max="12794" width="14.44140625" style="21" customWidth="1"/>
    <col min="12795" max="12795" width="7.33203125" style="21" customWidth="1"/>
    <col min="12796" max="12796" width="5.5546875" style="21" customWidth="1"/>
    <col min="12797" max="12797" width="9" style="21" customWidth="1"/>
    <col min="12798" max="12799" width="9.88671875" style="21" customWidth="1"/>
    <col min="12800" max="12800" width="11.109375" style="21" customWidth="1"/>
    <col min="12801" max="12801" width="2.88671875" style="21" customWidth="1"/>
    <col min="12802" max="12802" width="3.5546875" style="21" customWidth="1"/>
    <col min="12803" max="13047" width="9.109375" style="21"/>
    <col min="13048" max="13048" width="8.6640625" style="21" customWidth="1"/>
    <col min="13049" max="13049" width="9.88671875" style="21" customWidth="1"/>
    <col min="13050" max="13050" width="14.44140625" style="21" customWidth="1"/>
    <col min="13051" max="13051" width="7.33203125" style="21" customWidth="1"/>
    <col min="13052" max="13052" width="5.5546875" style="21" customWidth="1"/>
    <col min="13053" max="13053" width="9" style="21" customWidth="1"/>
    <col min="13054" max="13055" width="9.88671875" style="21" customWidth="1"/>
    <col min="13056" max="13056" width="11.109375" style="21" customWidth="1"/>
    <col min="13057" max="13057" width="2.88671875" style="21" customWidth="1"/>
    <col min="13058" max="13058" width="3.5546875" style="21" customWidth="1"/>
    <col min="13059" max="13303" width="9.109375" style="21"/>
    <col min="13304" max="13304" width="8.6640625" style="21" customWidth="1"/>
    <col min="13305" max="13305" width="9.88671875" style="21" customWidth="1"/>
    <col min="13306" max="13306" width="14.44140625" style="21" customWidth="1"/>
    <col min="13307" max="13307" width="7.33203125" style="21" customWidth="1"/>
    <col min="13308" max="13308" width="5.5546875" style="21" customWidth="1"/>
    <col min="13309" max="13309" width="9" style="21" customWidth="1"/>
    <col min="13310" max="13311" width="9.88671875" style="21" customWidth="1"/>
    <col min="13312" max="13312" width="11.109375" style="21" customWidth="1"/>
    <col min="13313" max="13313" width="2.88671875" style="21" customWidth="1"/>
    <col min="13314" max="13314" width="3.5546875" style="21" customWidth="1"/>
    <col min="13315" max="13559" width="9.109375" style="21"/>
    <col min="13560" max="13560" width="8.6640625" style="21" customWidth="1"/>
    <col min="13561" max="13561" width="9.88671875" style="21" customWidth="1"/>
    <col min="13562" max="13562" width="14.44140625" style="21" customWidth="1"/>
    <col min="13563" max="13563" width="7.33203125" style="21" customWidth="1"/>
    <col min="13564" max="13564" width="5.5546875" style="21" customWidth="1"/>
    <col min="13565" max="13565" width="9" style="21" customWidth="1"/>
    <col min="13566" max="13567" width="9.88671875" style="21" customWidth="1"/>
    <col min="13568" max="13568" width="11.109375" style="21" customWidth="1"/>
    <col min="13569" max="13569" width="2.88671875" style="21" customWidth="1"/>
    <col min="13570" max="13570" width="3.5546875" style="21" customWidth="1"/>
    <col min="13571" max="13815" width="9.109375" style="21"/>
    <col min="13816" max="13816" width="8.6640625" style="21" customWidth="1"/>
    <col min="13817" max="13817" width="9.88671875" style="21" customWidth="1"/>
    <col min="13818" max="13818" width="14.44140625" style="21" customWidth="1"/>
    <col min="13819" max="13819" width="7.33203125" style="21" customWidth="1"/>
    <col min="13820" max="13820" width="5.5546875" style="21" customWidth="1"/>
    <col min="13821" max="13821" width="9" style="21" customWidth="1"/>
    <col min="13822" max="13823" width="9.88671875" style="21" customWidth="1"/>
    <col min="13824" max="13824" width="11.109375" style="21" customWidth="1"/>
    <col min="13825" max="13825" width="2.88671875" style="21" customWidth="1"/>
    <col min="13826" max="13826" width="3.5546875" style="21" customWidth="1"/>
    <col min="13827" max="14071" width="9.109375" style="21"/>
    <col min="14072" max="14072" width="8.6640625" style="21" customWidth="1"/>
    <col min="14073" max="14073" width="9.88671875" style="21" customWidth="1"/>
    <col min="14074" max="14074" width="14.44140625" style="21" customWidth="1"/>
    <col min="14075" max="14075" width="7.33203125" style="21" customWidth="1"/>
    <col min="14076" max="14076" width="5.5546875" style="21" customWidth="1"/>
    <col min="14077" max="14077" width="9" style="21" customWidth="1"/>
    <col min="14078" max="14079" width="9.88671875" style="21" customWidth="1"/>
    <col min="14080" max="14080" width="11.109375" style="21" customWidth="1"/>
    <col min="14081" max="14081" width="2.88671875" style="21" customWidth="1"/>
    <col min="14082" max="14082" width="3.5546875" style="21" customWidth="1"/>
    <col min="14083" max="14327" width="9.109375" style="21"/>
    <col min="14328" max="14328" width="8.6640625" style="21" customWidth="1"/>
    <col min="14329" max="14329" width="9.88671875" style="21" customWidth="1"/>
    <col min="14330" max="14330" width="14.44140625" style="21" customWidth="1"/>
    <col min="14331" max="14331" width="7.33203125" style="21" customWidth="1"/>
    <col min="14332" max="14332" width="5.5546875" style="21" customWidth="1"/>
    <col min="14333" max="14333" width="9" style="21" customWidth="1"/>
    <col min="14334" max="14335" width="9.88671875" style="21" customWidth="1"/>
    <col min="14336" max="14336" width="11.109375" style="21" customWidth="1"/>
    <col min="14337" max="14337" width="2.88671875" style="21" customWidth="1"/>
    <col min="14338" max="14338" width="3.5546875" style="21" customWidth="1"/>
    <col min="14339" max="14583" width="9.109375" style="21"/>
    <col min="14584" max="14584" width="8.6640625" style="21" customWidth="1"/>
    <col min="14585" max="14585" width="9.88671875" style="21" customWidth="1"/>
    <col min="14586" max="14586" width="14.44140625" style="21" customWidth="1"/>
    <col min="14587" max="14587" width="7.33203125" style="21" customWidth="1"/>
    <col min="14588" max="14588" width="5.5546875" style="21" customWidth="1"/>
    <col min="14589" max="14589" width="9" style="21" customWidth="1"/>
    <col min="14590" max="14591" width="9.88671875" style="21" customWidth="1"/>
    <col min="14592" max="14592" width="11.109375" style="21" customWidth="1"/>
    <col min="14593" max="14593" width="2.88671875" style="21" customWidth="1"/>
    <col min="14594" max="14594" width="3.5546875" style="21" customWidth="1"/>
    <col min="14595" max="14839" width="9.109375" style="21"/>
    <col min="14840" max="14840" width="8.6640625" style="21" customWidth="1"/>
    <col min="14841" max="14841" width="9.88671875" style="21" customWidth="1"/>
    <col min="14842" max="14842" width="14.44140625" style="21" customWidth="1"/>
    <col min="14843" max="14843" width="7.33203125" style="21" customWidth="1"/>
    <col min="14844" max="14844" width="5.5546875" style="21" customWidth="1"/>
    <col min="14845" max="14845" width="9" style="21" customWidth="1"/>
    <col min="14846" max="14847" width="9.88671875" style="21" customWidth="1"/>
    <col min="14848" max="14848" width="11.109375" style="21" customWidth="1"/>
    <col min="14849" max="14849" width="2.88671875" style="21" customWidth="1"/>
    <col min="14850" max="14850" width="3.5546875" style="21" customWidth="1"/>
    <col min="14851" max="15095" width="9.109375" style="21"/>
    <col min="15096" max="15096" width="8.6640625" style="21" customWidth="1"/>
    <col min="15097" max="15097" width="9.88671875" style="21" customWidth="1"/>
    <col min="15098" max="15098" width="14.44140625" style="21" customWidth="1"/>
    <col min="15099" max="15099" width="7.33203125" style="21" customWidth="1"/>
    <col min="15100" max="15100" width="5.5546875" style="21" customWidth="1"/>
    <col min="15101" max="15101" width="9" style="21" customWidth="1"/>
    <col min="15102" max="15103" width="9.88671875" style="21" customWidth="1"/>
    <col min="15104" max="15104" width="11.109375" style="21" customWidth="1"/>
    <col min="15105" max="15105" width="2.88671875" style="21" customWidth="1"/>
    <col min="15106" max="15106" width="3.5546875" style="21" customWidth="1"/>
    <col min="15107" max="15351" width="9.109375" style="21"/>
    <col min="15352" max="15352" width="8.6640625" style="21" customWidth="1"/>
    <col min="15353" max="15353" width="9.88671875" style="21" customWidth="1"/>
    <col min="15354" max="15354" width="14.44140625" style="21" customWidth="1"/>
    <col min="15355" max="15355" width="7.33203125" style="21" customWidth="1"/>
    <col min="15356" max="15356" width="5.5546875" style="21" customWidth="1"/>
    <col min="15357" max="15357" width="9" style="21" customWidth="1"/>
    <col min="15358" max="15359" width="9.88671875" style="21" customWidth="1"/>
    <col min="15360" max="15360" width="11.109375" style="21" customWidth="1"/>
    <col min="15361" max="15361" width="2.88671875" style="21" customWidth="1"/>
    <col min="15362" max="15362" width="3.5546875" style="21" customWidth="1"/>
    <col min="15363" max="15607" width="9.109375" style="21"/>
    <col min="15608" max="15608" width="8.6640625" style="21" customWidth="1"/>
    <col min="15609" max="15609" width="9.88671875" style="21" customWidth="1"/>
    <col min="15610" max="15610" width="14.44140625" style="21" customWidth="1"/>
    <col min="15611" max="15611" width="7.33203125" style="21" customWidth="1"/>
    <col min="15612" max="15612" width="5.5546875" style="21" customWidth="1"/>
    <col min="15613" max="15613" width="9" style="21" customWidth="1"/>
    <col min="15614" max="15615" width="9.88671875" style="21" customWidth="1"/>
    <col min="15616" max="15616" width="11.109375" style="21" customWidth="1"/>
    <col min="15617" max="15617" width="2.88671875" style="21" customWidth="1"/>
    <col min="15618" max="15618" width="3.5546875" style="21" customWidth="1"/>
    <col min="15619" max="15863" width="9.109375" style="21"/>
    <col min="15864" max="15864" width="8.6640625" style="21" customWidth="1"/>
    <col min="15865" max="15865" width="9.88671875" style="21" customWidth="1"/>
    <col min="15866" max="15866" width="14.44140625" style="21" customWidth="1"/>
    <col min="15867" max="15867" width="7.33203125" style="21" customWidth="1"/>
    <col min="15868" max="15868" width="5.5546875" style="21" customWidth="1"/>
    <col min="15869" max="15869" width="9" style="21" customWidth="1"/>
    <col min="15870" max="15871" width="9.88671875" style="21" customWidth="1"/>
    <col min="15872" max="15872" width="11.109375" style="21" customWidth="1"/>
    <col min="15873" max="15873" width="2.88671875" style="21" customWidth="1"/>
    <col min="15874" max="15874" width="3.5546875" style="21" customWidth="1"/>
    <col min="15875" max="16119" width="9.109375" style="21"/>
    <col min="16120" max="16120" width="8.6640625" style="21" customWidth="1"/>
    <col min="16121" max="16121" width="9.88671875" style="21" customWidth="1"/>
    <col min="16122" max="16122" width="14.44140625" style="21" customWidth="1"/>
    <col min="16123" max="16123" width="7.33203125" style="21" customWidth="1"/>
    <col min="16124" max="16124" width="5.5546875" style="21" customWidth="1"/>
    <col min="16125" max="16125" width="9" style="21" customWidth="1"/>
    <col min="16126" max="16127" width="9.88671875" style="21" customWidth="1"/>
    <col min="16128" max="16128" width="11.109375" style="21" customWidth="1"/>
    <col min="16129" max="16129" width="2.88671875" style="21" customWidth="1"/>
    <col min="16130" max="16130" width="3.5546875" style="21" customWidth="1"/>
    <col min="16131" max="16384" width="9.109375" style="21"/>
  </cols>
  <sheetData>
    <row r="1" spans="1:26" ht="46.5" customHeight="1" x14ac:dyDescent="0.3">
      <c r="A1" s="227" t="s">
        <v>163</v>
      </c>
      <c r="B1" s="227"/>
      <c r="C1" s="227"/>
      <c r="D1" s="227"/>
      <c r="E1" s="227"/>
      <c r="F1" s="227"/>
      <c r="G1" s="227"/>
      <c r="H1" s="227"/>
      <c r="I1" s="253" t="s">
        <v>348</v>
      </c>
      <c r="J1" s="254"/>
      <c r="K1" s="254"/>
      <c r="L1" s="254"/>
      <c r="M1" s="254"/>
    </row>
    <row r="2" spans="1:26" ht="16.5" customHeight="1" x14ac:dyDescent="0.3">
      <c r="A2" s="228" t="s">
        <v>0</v>
      </c>
      <c r="B2" s="228"/>
      <c r="C2" s="228"/>
      <c r="D2" s="228"/>
      <c r="E2" s="228"/>
      <c r="F2" s="228"/>
      <c r="G2" s="228"/>
      <c r="H2" s="228"/>
    </row>
    <row r="3" spans="1:26" x14ac:dyDescent="0.3">
      <c r="A3" s="85" t="s">
        <v>1</v>
      </c>
      <c r="B3" s="85"/>
      <c r="C3" s="85"/>
      <c r="D3" s="85"/>
      <c r="E3" s="85" t="str">
        <f ca="1">TEXT(TODAY(),"DD/MM/YYYY")</f>
        <v>13/07/2025</v>
      </c>
      <c r="F3" s="85"/>
      <c r="G3" s="85"/>
      <c r="H3" s="85"/>
      <c r="K3" s="53" t="s">
        <v>232</v>
      </c>
      <c r="L3" s="52" t="s">
        <v>230</v>
      </c>
      <c r="M3" s="52" t="s">
        <v>235</v>
      </c>
      <c r="N3" s="52" t="s">
        <v>233</v>
      </c>
      <c r="O3" s="52" t="s">
        <v>234</v>
      </c>
      <c r="P3" s="52" t="s">
        <v>236</v>
      </c>
    </row>
    <row r="4" spans="1:26" ht="15" customHeight="1" x14ac:dyDescent="0.3">
      <c r="A4" s="85" t="s">
        <v>229</v>
      </c>
      <c r="B4" s="85"/>
      <c r="C4" s="85"/>
      <c r="D4" s="85"/>
      <c r="E4" s="85" t="s">
        <v>230</v>
      </c>
      <c r="F4" s="85"/>
      <c r="G4" s="85"/>
      <c r="H4" s="85"/>
      <c r="K4" s="51" t="s">
        <v>231</v>
      </c>
      <c r="L4" s="52" t="s">
        <v>170</v>
      </c>
      <c r="M4" s="52" t="s">
        <v>240</v>
      </c>
      <c r="N4" s="52" t="s">
        <v>242</v>
      </c>
      <c r="O4" s="52" t="s">
        <v>244</v>
      </c>
      <c r="P4" s="52"/>
    </row>
    <row r="5" spans="1:26" ht="15" customHeight="1" x14ac:dyDescent="0.3">
      <c r="A5" s="85" t="s">
        <v>2</v>
      </c>
      <c r="B5" s="85"/>
      <c r="C5" s="85"/>
      <c r="D5" s="85"/>
      <c r="E5" s="85" t="s">
        <v>170</v>
      </c>
      <c r="F5" s="85"/>
      <c r="G5" s="85"/>
      <c r="H5" s="85"/>
      <c r="K5" s="51"/>
      <c r="L5" s="52" t="s">
        <v>237</v>
      </c>
      <c r="M5" s="52" t="s">
        <v>241</v>
      </c>
      <c r="N5" s="52" t="s">
        <v>243</v>
      </c>
      <c r="O5" s="52" t="s">
        <v>245</v>
      </c>
      <c r="P5" s="52"/>
    </row>
    <row r="6" spans="1:26" x14ac:dyDescent="0.3">
      <c r="A6" s="85" t="s">
        <v>3</v>
      </c>
      <c r="B6" s="85"/>
      <c r="C6" s="85"/>
      <c r="D6" s="85"/>
      <c r="E6" s="229">
        <v>45847</v>
      </c>
      <c r="F6" s="85"/>
      <c r="G6" s="85"/>
      <c r="H6" s="85"/>
      <c r="K6" s="51"/>
      <c r="L6" s="52" t="s">
        <v>238</v>
      </c>
      <c r="M6" s="52"/>
      <c r="N6" s="52"/>
      <c r="O6" s="52" t="s">
        <v>246</v>
      </c>
      <c r="P6" s="52"/>
    </row>
    <row r="7" spans="1:26" ht="16.5" customHeight="1" x14ac:dyDescent="0.3">
      <c r="A7" s="85" t="s">
        <v>4</v>
      </c>
      <c r="B7" s="85"/>
      <c r="C7" s="85"/>
      <c r="D7" s="85"/>
      <c r="E7" s="85" t="s">
        <v>336</v>
      </c>
      <c r="F7" s="85"/>
      <c r="G7" s="85"/>
      <c r="H7" s="85"/>
      <c r="K7" s="51"/>
      <c r="L7" s="52" t="s">
        <v>239</v>
      </c>
      <c r="M7" s="52"/>
      <c r="N7" s="52"/>
      <c r="O7" s="52" t="s">
        <v>246</v>
      </c>
      <c r="P7" s="52"/>
    </row>
    <row r="8" spans="1:26" ht="15" customHeight="1" x14ac:dyDescent="0.3">
      <c r="A8" s="85" t="s">
        <v>5</v>
      </c>
      <c r="B8" s="85"/>
      <c r="C8" s="85"/>
      <c r="D8" s="85"/>
      <c r="E8" s="85" t="str">
        <f>E7</f>
        <v>Newfield Infraventures</v>
      </c>
      <c r="F8" s="85"/>
      <c r="G8" s="85"/>
      <c r="H8" s="85"/>
      <c r="K8" s="51"/>
      <c r="L8" s="52"/>
      <c r="M8" s="52"/>
      <c r="N8" s="52"/>
      <c r="O8" s="52" t="s">
        <v>247</v>
      </c>
      <c r="P8" s="52"/>
    </row>
    <row r="9" spans="1:26" x14ac:dyDescent="0.3">
      <c r="A9" s="85" t="s">
        <v>6</v>
      </c>
      <c r="B9" s="85"/>
      <c r="C9" s="85"/>
      <c r="D9" s="85"/>
      <c r="E9" s="123" t="s">
        <v>337</v>
      </c>
      <c r="F9" s="123"/>
      <c r="G9" s="123"/>
      <c r="H9" s="123"/>
      <c r="K9" s="51"/>
      <c r="L9" s="52"/>
      <c r="M9" s="52"/>
      <c r="N9" s="52"/>
      <c r="O9" s="52" t="s">
        <v>248</v>
      </c>
      <c r="P9" s="52"/>
    </row>
    <row r="10" spans="1:26" x14ac:dyDescent="0.3">
      <c r="A10" s="85" t="s">
        <v>166</v>
      </c>
      <c r="B10" s="85"/>
      <c r="C10" s="85"/>
      <c r="D10" s="85"/>
      <c r="E10" s="85">
        <v>9158899327</v>
      </c>
      <c r="F10" s="85"/>
      <c r="G10" s="85"/>
      <c r="H10" s="85"/>
      <c r="K10" s="51"/>
      <c r="L10" s="52"/>
      <c r="M10" s="52"/>
      <c r="N10" s="52"/>
      <c r="O10" s="52"/>
      <c r="P10" s="52"/>
    </row>
    <row r="11" spans="1:26" x14ac:dyDescent="0.3">
      <c r="A11" s="85" t="s">
        <v>167</v>
      </c>
      <c r="B11" s="85"/>
      <c r="C11" s="85"/>
      <c r="D11" s="85"/>
      <c r="E11" s="85" t="s">
        <v>398</v>
      </c>
      <c r="F11" s="85"/>
      <c r="G11" s="85"/>
      <c r="H11" s="85"/>
      <c r="I11" s="85" t="s">
        <v>338</v>
      </c>
      <c r="J11" s="85"/>
      <c r="K11" s="85"/>
      <c r="L11" s="85"/>
    </row>
    <row r="12" spans="1:26" x14ac:dyDescent="0.3">
      <c r="A12" s="85" t="s">
        <v>7</v>
      </c>
      <c r="B12" s="85"/>
      <c r="C12" s="85"/>
      <c r="D12" s="85"/>
      <c r="E12" s="225" t="s">
        <v>349</v>
      </c>
      <c r="F12" s="225"/>
      <c r="G12" s="225"/>
      <c r="H12" s="225"/>
    </row>
    <row r="13" spans="1:26" x14ac:dyDescent="0.3">
      <c r="A13" s="85" t="s">
        <v>171</v>
      </c>
      <c r="B13" s="85"/>
      <c r="C13" s="85"/>
      <c r="D13" s="85"/>
      <c r="E13" s="85" t="s">
        <v>28</v>
      </c>
      <c r="F13" s="85"/>
      <c r="G13" s="85"/>
      <c r="H13" s="85"/>
      <c r="S13" s="52" t="s">
        <v>176</v>
      </c>
      <c r="T13" s="52" t="s">
        <v>185</v>
      </c>
      <c r="U13" s="52" t="s">
        <v>172</v>
      </c>
      <c r="V13" s="52" t="s">
        <v>190</v>
      </c>
      <c r="W13" s="52" t="s">
        <v>208</v>
      </c>
      <c r="X13"/>
      <c r="Y13" t="s">
        <v>190</v>
      </c>
      <c r="Z13" t="e">
        <f ca="1">OFFSET($S$13,1,MATCH($G20,$S$13:$W$13,0)-1,15,1)</f>
        <v>#VALUE!</v>
      </c>
    </row>
    <row r="14" spans="1:26" ht="32.25" customHeight="1" x14ac:dyDescent="0.3">
      <c r="A14" s="114" t="s">
        <v>275</v>
      </c>
      <c r="B14" s="114"/>
      <c r="C14" s="114"/>
      <c r="D14" s="114"/>
      <c r="E14" s="118" t="s">
        <v>385</v>
      </c>
      <c r="F14" s="118"/>
      <c r="G14" s="118"/>
      <c r="H14" s="118"/>
      <c r="S14" s="52" t="s">
        <v>176</v>
      </c>
      <c r="T14" s="52" t="s">
        <v>183</v>
      </c>
      <c r="U14" s="52" t="s">
        <v>205</v>
      </c>
      <c r="V14" s="52" t="s">
        <v>191</v>
      </c>
      <c r="W14" s="52" t="s">
        <v>209</v>
      </c>
      <c r="X14"/>
      <c r="Y14"/>
      <c r="Z14"/>
    </row>
    <row r="15" spans="1:26" x14ac:dyDescent="0.3">
      <c r="A15" s="114" t="s">
        <v>8</v>
      </c>
      <c r="B15" s="114"/>
      <c r="C15" s="114"/>
      <c r="D15" s="114"/>
      <c r="E15" s="118" t="s">
        <v>335</v>
      </c>
      <c r="F15" s="85"/>
      <c r="G15" s="85"/>
      <c r="H15" s="85"/>
      <c r="I15" s="255" t="e">
        <f ca="1">OFFSET($D$5,1,MATCH($J13,$D$5:$H$5,0)-1,15,1)</f>
        <v>#N/A</v>
      </c>
      <c r="J15" s="256"/>
      <c r="K15" s="256"/>
      <c r="L15" s="256"/>
      <c r="M15" s="256"/>
      <c r="N15" s="256"/>
      <c r="O15" s="256"/>
      <c r="P15" s="256"/>
      <c r="S15" s="52" t="s">
        <v>177</v>
      </c>
      <c r="T15" s="52" t="s">
        <v>184</v>
      </c>
      <c r="U15" s="52" t="s">
        <v>206</v>
      </c>
      <c r="V15" s="52" t="s">
        <v>192</v>
      </c>
      <c r="W15" s="52" t="s">
        <v>222</v>
      </c>
      <c r="X15"/>
      <c r="Y15"/>
      <c r="Z15"/>
    </row>
    <row r="16" spans="1:26" ht="160.19999999999999" customHeight="1" x14ac:dyDescent="0.3">
      <c r="A16" s="129" t="s">
        <v>9</v>
      </c>
      <c r="B16" s="129"/>
      <c r="C16" s="129" t="str">
        <f>CONCATENATE((IF(OR(E9="",E9="NA"),"",E9)),", ",(IF(OR(A17="",A17="NA"),"",A17)),".",(IF(OR(C17="",C17="NA"),"",C17)),", near ",(IF(OR(C22="",C22="NA"),"",C22)),", ",(IF(OR(C19="",C19="NA"),"",C19)),", ",(IF(OR(C18="",C18="NA"),"",C18)),", ",(IF(OR(G19="",G19="NA"),"",G19)),", ",(IF(OR(C20="",C20="NA"),"",C20)),", ",(IF(OR(C21="",C21="NA"),"",C21)),", ",(IF(OR(G20="",G20="NA"),"",G20))," - ",(IF(OR(G21="",G21="NA"),"",G21)),".")</f>
        <v>Dunlin, Survey No.Old S No.230 H No.1 to 8, S No.231 H No.1 to 9, S No.235 H No.1/2, 2 to 10, 11/1, 11/2, S No.236 H No.1, 2, 3, 7, 8, 11 to 15, 17 to 22, 23Pt, 24, 25A, 25B, 27, 28, 29, New S No.230 H No.1/1, 1/2, 1/3, 2/1, 2/2, 3/1, 3/2, 3/3, 5, 6/1, 6/2, 7/1, 7/2, 8/1, 8/2, S No.231 H No.1/1, 1/2, 1/3, 2 to 9, S No.235, H No.1/2, 2/1, 2/2, 2/3, 3/1, 3/2, 3/3, 4/1, 4/2, 4/3, 4/4, 5/1, 5/2, 5/3, 6/1, 6/2, 7, 8/1, 8/2, 9, 10/1, 10/2, 11/1, 11/2, S No.236, H No.1, 2, 3, 7, 8, 11/1, 11/2, 12/1, 12/2, 13/1, 13/2, 14/1, 14/2, 15, 17, 18/1, 18/2, 19/1, 19/2, 20/1, 20/2, 20/3, 21/1, 21/2, 22/1, 22/2, 23/1, 23/2, 23/3, 24/4, 24, 25A, 25B, 27/1, 27/2, 27/3, 28/1, 28/2, 28/3, 29/1, 29/2, 29/3, near Shreenathji Apartment, Mahatma Gandhi Road, Kharale, Sandor, Vasai West, Vasai, Palghar - 401202.</v>
      </c>
      <c r="D16" s="129"/>
      <c r="E16" s="129"/>
      <c r="F16" s="129"/>
      <c r="G16" s="129"/>
      <c r="H16" s="129"/>
      <c r="S16" s="52" t="s">
        <v>178</v>
      </c>
      <c r="T16" s="52" t="s">
        <v>186</v>
      </c>
      <c r="U16" s="52" t="s">
        <v>207</v>
      </c>
      <c r="V16" s="52" t="s">
        <v>193</v>
      </c>
      <c r="W16" s="52" t="s">
        <v>210</v>
      </c>
      <c r="X16"/>
      <c r="Y16"/>
      <c r="Z16"/>
    </row>
    <row r="17" spans="1:26" ht="144.75" customHeight="1" x14ac:dyDescent="0.3">
      <c r="A17" s="118" t="s">
        <v>339</v>
      </c>
      <c r="B17" s="118"/>
      <c r="C17" s="118" t="s">
        <v>384</v>
      </c>
      <c r="D17" s="118"/>
      <c r="E17" s="118"/>
      <c r="F17" s="118"/>
      <c r="G17" s="118"/>
      <c r="H17" s="118"/>
      <c r="S17" s="52" t="s">
        <v>179</v>
      </c>
      <c r="T17" s="52" t="s">
        <v>187</v>
      </c>
      <c r="U17" s="52" t="s">
        <v>172</v>
      </c>
      <c r="V17" s="52" t="s">
        <v>194</v>
      </c>
      <c r="W17" s="52" t="s">
        <v>211</v>
      </c>
      <c r="X17"/>
      <c r="Y17"/>
      <c r="Z17"/>
    </row>
    <row r="18" spans="1:26" ht="15.75" customHeight="1" x14ac:dyDescent="0.3">
      <c r="A18" s="118" t="s">
        <v>161</v>
      </c>
      <c r="B18" s="118"/>
      <c r="C18" s="118" t="s">
        <v>360</v>
      </c>
      <c r="D18" s="118"/>
      <c r="E18" s="118"/>
      <c r="F18" s="118"/>
      <c r="G18" s="118"/>
      <c r="H18" s="118"/>
      <c r="S18" s="52" t="s">
        <v>180</v>
      </c>
      <c r="T18" s="52" t="s">
        <v>185</v>
      </c>
      <c r="U18" s="52"/>
      <c r="V18" s="52" t="s">
        <v>195</v>
      </c>
      <c r="W18" s="52" t="s">
        <v>212</v>
      </c>
      <c r="X18"/>
      <c r="Y18"/>
      <c r="Z18"/>
    </row>
    <row r="19" spans="1:26" ht="15.75" customHeight="1" x14ac:dyDescent="0.3">
      <c r="A19" s="118" t="s">
        <v>10</v>
      </c>
      <c r="B19" s="118"/>
      <c r="C19" s="85" t="s">
        <v>343</v>
      </c>
      <c r="D19" s="85"/>
      <c r="E19" s="118" t="s">
        <v>70</v>
      </c>
      <c r="F19" s="118"/>
      <c r="G19" s="118" t="s">
        <v>340</v>
      </c>
      <c r="H19" s="118"/>
      <c r="S19" s="52" t="s">
        <v>181</v>
      </c>
      <c r="T19" s="52" t="s">
        <v>188</v>
      </c>
      <c r="U19" s="52"/>
      <c r="V19" s="52" t="s">
        <v>196</v>
      </c>
      <c r="W19" s="52" t="s">
        <v>213</v>
      </c>
      <c r="X19"/>
      <c r="Y19"/>
      <c r="Z19"/>
    </row>
    <row r="20" spans="1:26" x14ac:dyDescent="0.3">
      <c r="A20" s="85" t="s">
        <v>12</v>
      </c>
      <c r="B20" s="85"/>
      <c r="C20" s="118" t="s">
        <v>341</v>
      </c>
      <c r="D20" s="118"/>
      <c r="E20" s="118" t="s">
        <v>11</v>
      </c>
      <c r="F20" s="118"/>
      <c r="G20" s="226" t="s">
        <v>185</v>
      </c>
      <c r="H20" s="226"/>
      <c r="S20" s="52" t="s">
        <v>182</v>
      </c>
      <c r="T20" s="52" t="s">
        <v>189</v>
      </c>
      <c r="U20" s="52"/>
      <c r="V20" s="52" t="s">
        <v>197</v>
      </c>
      <c r="W20" s="52" t="s">
        <v>214</v>
      </c>
      <c r="X20"/>
      <c r="Y20"/>
      <c r="Z20"/>
    </row>
    <row r="21" spans="1:26" x14ac:dyDescent="0.3">
      <c r="A21" s="85" t="s">
        <v>71</v>
      </c>
      <c r="B21" s="85"/>
      <c r="C21" s="118" t="s">
        <v>186</v>
      </c>
      <c r="D21" s="118"/>
      <c r="E21" s="118" t="s">
        <v>13</v>
      </c>
      <c r="F21" s="118"/>
      <c r="G21" s="118">
        <v>401202</v>
      </c>
      <c r="H21" s="118"/>
      <c r="S21" s="52"/>
      <c r="T21" s="52"/>
      <c r="U21" s="52"/>
      <c r="V21" s="52" t="s">
        <v>198</v>
      </c>
      <c r="W21" s="52" t="s">
        <v>215</v>
      </c>
      <c r="X21"/>
      <c r="Y21"/>
      <c r="Z21"/>
    </row>
    <row r="22" spans="1:26" ht="32.25" customHeight="1" x14ac:dyDescent="0.3">
      <c r="A22" s="85" t="s">
        <v>118</v>
      </c>
      <c r="B22" s="85"/>
      <c r="C22" s="118" t="s">
        <v>342</v>
      </c>
      <c r="D22" s="118"/>
      <c r="E22" s="118" t="s">
        <v>14</v>
      </c>
      <c r="F22" s="118"/>
      <c r="G22" s="118" t="s">
        <v>361</v>
      </c>
      <c r="H22" s="118"/>
      <c r="S22" s="52"/>
      <c r="T22" s="52"/>
      <c r="U22" s="52"/>
      <c r="V22" s="52" t="s">
        <v>199</v>
      </c>
      <c r="W22" s="52" t="s">
        <v>216</v>
      </c>
      <c r="X22"/>
      <c r="Y22"/>
      <c r="Z22"/>
    </row>
    <row r="23" spans="1:26" ht="15" customHeight="1" x14ac:dyDescent="0.3">
      <c r="A23" s="129" t="s">
        <v>73</v>
      </c>
      <c r="B23" s="129"/>
      <c r="C23" s="129"/>
      <c r="D23" s="129"/>
      <c r="E23" s="85" t="s">
        <v>15</v>
      </c>
      <c r="F23" s="85"/>
      <c r="G23" s="85"/>
      <c r="H23" s="85"/>
      <c r="S23" s="52"/>
      <c r="T23" s="52"/>
      <c r="U23" s="52"/>
      <c r="V23" s="52" t="s">
        <v>200</v>
      </c>
      <c r="W23" s="52" t="s">
        <v>217</v>
      </c>
      <c r="X23"/>
      <c r="Y23"/>
      <c r="Z23"/>
    </row>
    <row r="24" spans="1:26" ht="18.75" customHeight="1" x14ac:dyDescent="0.3">
      <c r="A24" s="129"/>
      <c r="B24" s="129"/>
      <c r="C24" s="129"/>
      <c r="D24" s="129"/>
      <c r="E24" s="85"/>
      <c r="F24" s="85"/>
      <c r="G24" s="85"/>
      <c r="H24" s="85"/>
      <c r="S24" s="52"/>
      <c r="T24" s="52"/>
      <c r="U24" s="52"/>
      <c r="V24" s="52" t="s">
        <v>201</v>
      </c>
      <c r="W24" s="52" t="s">
        <v>218</v>
      </c>
      <c r="X24"/>
      <c r="Y24"/>
      <c r="Z24"/>
    </row>
    <row r="25" spans="1:26" ht="15" customHeight="1" x14ac:dyDescent="0.3">
      <c r="A25" s="129" t="s">
        <v>16</v>
      </c>
      <c r="B25" s="129"/>
      <c r="C25" s="129"/>
      <c r="D25" s="129"/>
      <c r="E25" s="118" t="s">
        <v>17</v>
      </c>
      <c r="F25" s="118"/>
      <c r="G25" s="118"/>
      <c r="H25" s="118"/>
      <c r="S25" s="52"/>
      <c r="T25" s="52"/>
      <c r="U25" s="52"/>
      <c r="V25" s="52" t="s">
        <v>202</v>
      </c>
      <c r="W25" s="52" t="s">
        <v>219</v>
      </c>
      <c r="X25"/>
      <c r="Y25"/>
      <c r="Z25"/>
    </row>
    <row r="26" spans="1:26" ht="15" customHeight="1" x14ac:dyDescent="0.3">
      <c r="A26" s="114" t="s">
        <v>18</v>
      </c>
      <c r="B26" s="114"/>
      <c r="C26" s="114"/>
      <c r="D26" s="114"/>
      <c r="E26" s="118" t="str">
        <f>IF(AND(G20="Mumbai"),"Upper Class","Middle Class")</f>
        <v>Middle Class</v>
      </c>
      <c r="F26" s="118"/>
      <c r="G26" s="118"/>
      <c r="H26" s="118"/>
      <c r="S26" s="52"/>
      <c r="T26" s="52"/>
      <c r="U26" s="52"/>
      <c r="V26" s="52" t="s">
        <v>203</v>
      </c>
      <c r="W26" s="52" t="s">
        <v>220</v>
      </c>
      <c r="X26"/>
      <c r="Y26"/>
      <c r="Z26"/>
    </row>
    <row r="27" spans="1:26" x14ac:dyDescent="0.3">
      <c r="A27" s="114" t="s">
        <v>19</v>
      </c>
      <c r="B27" s="114"/>
      <c r="C27" s="114"/>
      <c r="D27" s="114"/>
      <c r="E27" s="118" t="s">
        <v>20</v>
      </c>
      <c r="F27" s="118"/>
      <c r="G27" s="118"/>
      <c r="H27" s="118"/>
      <c r="S27" s="52"/>
      <c r="T27" s="52"/>
      <c r="U27" s="52"/>
      <c r="V27" s="52" t="s">
        <v>204</v>
      </c>
      <c r="W27" s="52" t="s">
        <v>221</v>
      </c>
      <c r="X27"/>
      <c r="Y27"/>
      <c r="Z27"/>
    </row>
    <row r="28" spans="1:26" ht="15.75" customHeight="1" x14ac:dyDescent="0.3">
      <c r="A28" s="114" t="s">
        <v>21</v>
      </c>
      <c r="B28" s="114"/>
      <c r="C28" s="114"/>
      <c r="D28" s="114"/>
      <c r="E28" s="118" t="str">
        <f>IF(AND(G20="Mumbai"),"Developed","Developing")</f>
        <v>Developing</v>
      </c>
      <c r="F28" s="118"/>
      <c r="G28" s="118"/>
      <c r="H28" s="118"/>
    </row>
    <row r="29" spans="1:26" x14ac:dyDescent="0.3">
      <c r="A29" s="114" t="s">
        <v>22</v>
      </c>
      <c r="B29" s="114"/>
      <c r="C29" s="114"/>
      <c r="D29" s="114"/>
      <c r="E29" s="118" t="s">
        <v>23</v>
      </c>
      <c r="F29" s="118"/>
      <c r="G29" s="118"/>
      <c r="H29" s="118"/>
    </row>
    <row r="30" spans="1:26" ht="15.75" customHeight="1" x14ac:dyDescent="0.3">
      <c r="A30" s="114" t="s">
        <v>78</v>
      </c>
      <c r="B30" s="114"/>
      <c r="C30" s="114"/>
      <c r="D30" s="114"/>
      <c r="E30" s="118" t="s">
        <v>79</v>
      </c>
      <c r="F30" s="118"/>
      <c r="G30" s="118"/>
      <c r="H30" s="118"/>
    </row>
    <row r="31" spans="1:26" ht="15" customHeight="1" x14ac:dyDescent="0.3">
      <c r="A31" s="114" t="s">
        <v>30</v>
      </c>
      <c r="B31" s="114"/>
      <c r="C31" s="114"/>
      <c r="D31" s="114"/>
      <c r="E31" s="11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18"/>
      <c r="G31" s="118"/>
      <c r="H31" s="118"/>
    </row>
    <row r="32" spans="1:26" ht="15.75" customHeight="1" x14ac:dyDescent="0.3">
      <c r="A32" s="114" t="s">
        <v>90</v>
      </c>
      <c r="B32" s="114"/>
      <c r="C32" s="114"/>
      <c r="D32" s="114"/>
      <c r="E32" s="118" t="s">
        <v>31</v>
      </c>
      <c r="F32" s="118"/>
      <c r="G32" s="118"/>
      <c r="H32" s="118"/>
    </row>
    <row r="33" spans="1:19" s="22" customFormat="1" x14ac:dyDescent="0.3">
      <c r="A33" s="224" t="s">
        <v>91</v>
      </c>
      <c r="B33" s="224"/>
      <c r="C33" s="221" t="s">
        <v>173</v>
      </c>
      <c r="D33" s="222"/>
      <c r="E33" s="223"/>
      <c r="F33" s="221" t="s">
        <v>29</v>
      </c>
      <c r="G33" s="222"/>
      <c r="H33" s="223"/>
      <c r="S33" s="22" t="e">
        <f ca="1">OFFSET($S$13,1,MATCH($G20,$S$13:$W$13,0)-1,15,1)</f>
        <v>#VALUE!</v>
      </c>
    </row>
    <row r="34" spans="1:19" s="22" customFormat="1" x14ac:dyDescent="0.3">
      <c r="A34" s="220" t="s">
        <v>24</v>
      </c>
      <c r="B34" s="220" t="s">
        <v>28</v>
      </c>
      <c r="C34" s="202" t="s">
        <v>367</v>
      </c>
      <c r="D34" s="203"/>
      <c r="E34" s="204"/>
      <c r="F34" s="202" t="s">
        <v>369</v>
      </c>
      <c r="G34" s="203"/>
      <c r="H34" s="204"/>
    </row>
    <row r="35" spans="1:19" x14ac:dyDescent="0.3">
      <c r="A35" s="220" t="s">
        <v>25</v>
      </c>
      <c r="B35" s="220" t="s">
        <v>28</v>
      </c>
      <c r="C35" s="202" t="s">
        <v>366</v>
      </c>
      <c r="D35" s="203"/>
      <c r="E35" s="204"/>
      <c r="F35" s="202" t="s">
        <v>368</v>
      </c>
      <c r="G35" s="203"/>
      <c r="H35" s="204"/>
    </row>
    <row r="36" spans="1:19" s="22" customFormat="1" x14ac:dyDescent="0.3">
      <c r="A36" s="220" t="s">
        <v>27</v>
      </c>
      <c r="B36" s="220" t="s">
        <v>28</v>
      </c>
      <c r="C36" s="202" t="s">
        <v>364</v>
      </c>
      <c r="D36" s="203"/>
      <c r="E36" s="204"/>
      <c r="F36" s="202" t="s">
        <v>363</v>
      </c>
      <c r="G36" s="203"/>
      <c r="H36" s="204"/>
    </row>
    <row r="37" spans="1:19" x14ac:dyDescent="0.3">
      <c r="A37" s="220" t="s">
        <v>26</v>
      </c>
      <c r="B37" s="220" t="s">
        <v>28</v>
      </c>
      <c r="C37" s="202" t="s">
        <v>365</v>
      </c>
      <c r="D37" s="203"/>
      <c r="E37" s="204"/>
      <c r="F37" s="202" t="s">
        <v>362</v>
      </c>
      <c r="G37" s="203"/>
      <c r="H37" s="204"/>
    </row>
    <row r="38" spans="1:19" x14ac:dyDescent="0.3">
      <c r="A38" s="114" t="s">
        <v>276</v>
      </c>
      <c r="B38" s="114"/>
      <c r="C38" s="114"/>
      <c r="D38" s="114"/>
      <c r="E38" s="114"/>
      <c r="F38" s="114"/>
      <c r="G38" s="114"/>
      <c r="H38" s="114"/>
    </row>
    <row r="39" spans="1:19" ht="15.75" customHeight="1" x14ac:dyDescent="0.3">
      <c r="A39" s="114" t="s">
        <v>164</v>
      </c>
      <c r="B39" s="114"/>
      <c r="C39" s="191" t="s">
        <v>358</v>
      </c>
      <c r="D39" s="191"/>
      <c r="E39" s="191"/>
      <c r="F39" s="191"/>
      <c r="G39" s="191"/>
      <c r="H39" s="191"/>
    </row>
    <row r="40" spans="1:19" x14ac:dyDescent="0.3">
      <c r="A40" s="114" t="s">
        <v>160</v>
      </c>
      <c r="B40" s="114"/>
      <c r="C40" s="214" t="s">
        <v>359</v>
      </c>
      <c r="D40" s="118"/>
      <c r="E40" s="118"/>
      <c r="F40" s="118"/>
      <c r="G40" s="118"/>
      <c r="H40" s="118"/>
    </row>
    <row r="41" spans="1:19" x14ac:dyDescent="0.3">
      <c r="A41" s="191" t="s">
        <v>32</v>
      </c>
      <c r="B41" s="191"/>
      <c r="C41" s="191"/>
      <c r="D41" s="191"/>
      <c r="E41" s="191"/>
      <c r="F41" s="191"/>
      <c r="G41" s="191"/>
      <c r="H41" s="191"/>
    </row>
    <row r="42" spans="1:19" x14ac:dyDescent="0.3">
      <c r="A42" s="114" t="s">
        <v>33</v>
      </c>
      <c r="B42" s="114"/>
      <c r="C42" s="114"/>
      <c r="D42" s="114"/>
      <c r="E42" s="190">
        <v>18460.23</v>
      </c>
      <c r="F42" s="190"/>
      <c r="G42" s="190"/>
      <c r="H42" s="190"/>
    </row>
    <row r="43" spans="1:19" x14ac:dyDescent="0.3">
      <c r="A43" s="114" t="s">
        <v>34</v>
      </c>
      <c r="B43" s="114"/>
      <c r="C43" s="114"/>
      <c r="D43" s="114"/>
      <c r="E43" s="115">
        <f>20306.25/E42</f>
        <v>1.0999998374884821</v>
      </c>
      <c r="F43" s="115"/>
      <c r="G43" s="115"/>
      <c r="H43" s="115"/>
    </row>
    <row r="44" spans="1:19" x14ac:dyDescent="0.3">
      <c r="A44" s="114" t="s">
        <v>35</v>
      </c>
      <c r="B44" s="114"/>
      <c r="C44" s="114"/>
      <c r="D44" s="114"/>
      <c r="E44" s="115">
        <f>E46/E42-E43</f>
        <v>2.9760777628447754</v>
      </c>
      <c r="F44" s="115"/>
      <c r="G44" s="115"/>
      <c r="H44" s="115"/>
    </row>
    <row r="45" spans="1:19" x14ac:dyDescent="0.3">
      <c r="A45" s="85" t="s">
        <v>36</v>
      </c>
      <c r="B45" s="85"/>
      <c r="C45" s="85"/>
      <c r="D45" s="85"/>
      <c r="E45" s="116">
        <f>E43+E44</f>
        <v>4.0760776003332575</v>
      </c>
      <c r="F45" s="116"/>
      <c r="G45" s="116"/>
      <c r="H45" s="116"/>
    </row>
    <row r="46" spans="1:19" x14ac:dyDescent="0.3">
      <c r="A46" s="85" t="s">
        <v>89</v>
      </c>
      <c r="B46" s="85"/>
      <c r="C46" s="85"/>
      <c r="D46" s="85"/>
      <c r="E46" s="117">
        <v>75245.33</v>
      </c>
      <c r="F46" s="117"/>
      <c r="G46" s="117"/>
      <c r="H46" s="117"/>
    </row>
    <row r="47" spans="1:19" x14ac:dyDescent="0.3">
      <c r="A47" s="85" t="s">
        <v>37</v>
      </c>
      <c r="B47" s="85"/>
      <c r="C47" s="85"/>
      <c r="D47" s="85"/>
      <c r="E47" s="85" t="s">
        <v>117</v>
      </c>
      <c r="F47" s="85"/>
      <c r="G47" s="85"/>
      <c r="H47" s="85"/>
    </row>
    <row r="48" spans="1:19" x14ac:dyDescent="0.3">
      <c r="A48" s="123" t="s">
        <v>38</v>
      </c>
      <c r="B48" s="123"/>
      <c r="C48" s="123"/>
      <c r="D48" s="123"/>
      <c r="E48" s="123"/>
      <c r="F48" s="123"/>
      <c r="G48" s="123"/>
      <c r="H48" s="123"/>
    </row>
    <row r="49" spans="1:24" ht="33.75" customHeight="1" x14ac:dyDescent="0.3">
      <c r="A49" s="215" t="s">
        <v>150</v>
      </c>
      <c r="B49" s="216"/>
      <c r="C49" s="217" t="s">
        <v>271</v>
      </c>
      <c r="D49" s="218"/>
      <c r="E49" s="218"/>
      <c r="F49" s="218"/>
      <c r="G49" s="218"/>
      <c r="H49" s="219"/>
      <c r="R49" t="s">
        <v>249</v>
      </c>
      <c r="S49" s="54" t="s">
        <v>172</v>
      </c>
      <c r="T49" s="54" t="s">
        <v>176</v>
      </c>
      <c r="U49" s="54" t="s">
        <v>190</v>
      </c>
      <c r="V49" s="54" t="s">
        <v>185</v>
      </c>
    </row>
    <row r="50" spans="1:24" ht="30.75" customHeight="1" x14ac:dyDescent="0.3">
      <c r="A50" s="136" t="s">
        <v>39</v>
      </c>
      <c r="B50" s="138"/>
      <c r="C50" s="136" t="s">
        <v>375</v>
      </c>
      <c r="D50" s="137"/>
      <c r="E50" s="138"/>
      <c r="F50" s="18" t="s">
        <v>40</v>
      </c>
      <c r="G50" s="139">
        <v>44777</v>
      </c>
      <c r="H50" s="138"/>
      <c r="R50"/>
      <c r="S50" s="54" t="s">
        <v>250</v>
      </c>
      <c r="T50" s="54" t="s">
        <v>255</v>
      </c>
      <c r="U50" s="54" t="s">
        <v>266</v>
      </c>
      <c r="V50" s="54" t="s">
        <v>271</v>
      </c>
    </row>
    <row r="51" spans="1:24" ht="30.75" customHeight="1" x14ac:dyDescent="0.3">
      <c r="A51" s="136" t="s">
        <v>41</v>
      </c>
      <c r="B51" s="138"/>
      <c r="C51" s="136" t="str">
        <f>C50</f>
        <v>VVCMC/TP/AMEND/VP/0337/280/2022-23</v>
      </c>
      <c r="D51" s="137"/>
      <c r="E51" s="138"/>
      <c r="F51" s="18" t="s">
        <v>40</v>
      </c>
      <c r="G51" s="139">
        <f>G50</f>
        <v>44777</v>
      </c>
      <c r="H51" s="209"/>
      <c r="R51"/>
      <c r="S51" s="54" t="s">
        <v>251</v>
      </c>
      <c r="T51" s="54" t="s">
        <v>256</v>
      </c>
      <c r="U51" s="54" t="s">
        <v>264</v>
      </c>
      <c r="V51" s="54" t="s">
        <v>272</v>
      </c>
    </row>
    <row r="52" spans="1:24" s="23" customFormat="1" x14ac:dyDescent="0.3">
      <c r="A52" s="210" t="s">
        <v>154</v>
      </c>
      <c r="B52" s="211"/>
      <c r="C52" s="136" t="s">
        <v>373</v>
      </c>
      <c r="D52" s="137"/>
      <c r="E52" s="138"/>
      <c r="F52" s="18" t="s">
        <v>40</v>
      </c>
      <c r="G52" s="139">
        <v>44777</v>
      </c>
      <c r="H52" s="209"/>
      <c r="R52"/>
      <c r="S52" s="54" t="s">
        <v>252</v>
      </c>
      <c r="T52" s="54" t="s">
        <v>257</v>
      </c>
      <c r="U52" s="54" t="s">
        <v>254</v>
      </c>
      <c r="V52" s="54" t="s">
        <v>273</v>
      </c>
    </row>
    <row r="53" spans="1:24" s="23" customFormat="1" x14ac:dyDescent="0.3">
      <c r="A53" s="212"/>
      <c r="B53" s="213"/>
      <c r="C53" s="136" t="s">
        <v>374</v>
      </c>
      <c r="D53" s="137"/>
      <c r="E53" s="137"/>
      <c r="F53" s="137"/>
      <c r="G53" s="137"/>
      <c r="H53" s="138"/>
      <c r="R53"/>
      <c r="S53" s="54" t="s">
        <v>253</v>
      </c>
      <c r="T53" s="54" t="s">
        <v>260</v>
      </c>
      <c r="U53" s="54" t="s">
        <v>267</v>
      </c>
      <c r="V53" s="70"/>
    </row>
    <row r="54" spans="1:24" s="23" customFormat="1" x14ac:dyDescent="0.3">
      <c r="A54" s="132" t="s">
        <v>277</v>
      </c>
      <c r="B54" s="133"/>
      <c r="C54" s="136" t="s">
        <v>371</v>
      </c>
      <c r="D54" s="137"/>
      <c r="E54" s="138"/>
      <c r="F54" s="18" t="s">
        <v>40</v>
      </c>
      <c r="G54" s="139">
        <v>45169</v>
      </c>
      <c r="H54" s="138"/>
      <c r="R54"/>
      <c r="S54" s="54" t="s">
        <v>252</v>
      </c>
      <c r="T54" s="54" t="s">
        <v>257</v>
      </c>
      <c r="U54" s="54" t="s">
        <v>254</v>
      </c>
      <c r="V54" s="54" t="s">
        <v>273</v>
      </c>
    </row>
    <row r="55" spans="1:24" s="23" customFormat="1" ht="19.5" customHeight="1" x14ac:dyDescent="0.3">
      <c r="A55" s="134"/>
      <c r="B55" s="135"/>
      <c r="C55" s="142" t="s">
        <v>372</v>
      </c>
      <c r="D55" s="143"/>
      <c r="E55" s="143"/>
      <c r="F55" s="143"/>
      <c r="G55" s="143"/>
      <c r="H55" s="144"/>
      <c r="R55"/>
      <c r="S55" s="54" t="s">
        <v>254</v>
      </c>
      <c r="T55" s="54" t="s">
        <v>258</v>
      </c>
      <c r="U55" s="54" t="s">
        <v>268</v>
      </c>
      <c r="V55" s="71"/>
      <c r="W55" s="21"/>
      <c r="X55" s="21"/>
    </row>
    <row r="56" spans="1:24" s="23" customFormat="1" ht="34.5" customHeight="1" x14ac:dyDescent="0.3">
      <c r="A56" s="125" t="s">
        <v>278</v>
      </c>
      <c r="B56" s="127"/>
      <c r="C56" s="136" t="s">
        <v>386</v>
      </c>
      <c r="D56" s="137"/>
      <c r="E56" s="138"/>
      <c r="F56" s="18" t="s">
        <v>40</v>
      </c>
      <c r="G56" s="139">
        <v>45496</v>
      </c>
      <c r="H56" s="138"/>
      <c r="R56"/>
      <c r="S56" s="71"/>
      <c r="T56" s="54" t="s">
        <v>259</v>
      </c>
      <c r="U56" s="54" t="s">
        <v>269</v>
      </c>
      <c r="V56" s="71"/>
      <c r="W56" s="21"/>
      <c r="X56" s="21"/>
    </row>
    <row r="57" spans="1:24" s="23" customFormat="1" x14ac:dyDescent="0.3">
      <c r="A57" s="140"/>
      <c r="B57" s="141"/>
      <c r="C57" s="136" t="s">
        <v>387</v>
      </c>
      <c r="D57" s="137"/>
      <c r="E57" s="137"/>
      <c r="F57" s="137"/>
      <c r="G57" s="137"/>
      <c r="H57" s="138"/>
      <c r="R57"/>
      <c r="S57" s="71"/>
      <c r="T57" s="54" t="s">
        <v>261</v>
      </c>
      <c r="U57" s="54" t="s">
        <v>270</v>
      </c>
      <c r="V57" s="71"/>
      <c r="W57" s="21"/>
      <c r="X57" s="21"/>
    </row>
    <row r="58" spans="1:24" s="23" customFormat="1" ht="15.75" hidden="1" customHeight="1" x14ac:dyDescent="0.3">
      <c r="A58" s="205" t="s">
        <v>279</v>
      </c>
      <c r="B58" s="206"/>
      <c r="C58" s="136" t="str">
        <f>C57</f>
        <v>Building No.1 Wing D = Stilt + Podium + 1st to 20th Floor</v>
      </c>
      <c r="D58" s="137"/>
      <c r="E58" s="138"/>
      <c r="F58" s="18" t="s">
        <v>40</v>
      </c>
      <c r="G58" s="136">
        <f>G57</f>
        <v>0</v>
      </c>
      <c r="H58" s="138"/>
      <c r="R58"/>
      <c r="S58" s="71"/>
      <c r="T58" s="54" t="s">
        <v>262</v>
      </c>
      <c r="U58" s="71" t="s">
        <v>293</v>
      </c>
      <c r="V58" s="71"/>
      <c r="W58" s="21"/>
      <c r="X58" s="21"/>
    </row>
    <row r="59" spans="1:24" s="23" customFormat="1" ht="33.75" hidden="1" customHeight="1" x14ac:dyDescent="0.3">
      <c r="A59" s="207"/>
      <c r="B59" s="208"/>
      <c r="C59" s="136"/>
      <c r="D59" s="137"/>
      <c r="E59" s="137"/>
      <c r="F59" s="137"/>
      <c r="G59" s="137"/>
      <c r="H59" s="138"/>
      <c r="R59"/>
      <c r="S59" s="71"/>
      <c r="T59" s="54" t="s">
        <v>263</v>
      </c>
      <c r="U59" s="71"/>
      <c r="V59" s="71"/>
      <c r="W59" s="21"/>
      <c r="X59" s="21"/>
    </row>
    <row r="60" spans="1:24" x14ac:dyDescent="0.3">
      <c r="A60" s="257" t="s">
        <v>42</v>
      </c>
      <c r="B60" s="258"/>
      <c r="C60" s="257" t="s">
        <v>102</v>
      </c>
      <c r="D60" s="259"/>
      <c r="E60" s="258"/>
      <c r="F60" s="43" t="s">
        <v>40</v>
      </c>
      <c r="G60" s="130" t="s">
        <v>28</v>
      </c>
      <c r="H60" s="131"/>
      <c r="R60"/>
      <c r="S60" s="71"/>
      <c r="T60" s="54" t="s">
        <v>265</v>
      </c>
      <c r="U60" s="71"/>
      <c r="V60" s="71"/>
    </row>
    <row r="61" spans="1:24" x14ac:dyDescent="0.3">
      <c r="A61" s="128" t="s">
        <v>44</v>
      </c>
      <c r="B61" s="128"/>
      <c r="C61" s="128"/>
      <c r="D61" s="128"/>
      <c r="E61" s="128"/>
      <c r="F61" s="128"/>
      <c r="G61" s="128"/>
      <c r="H61" s="128"/>
      <c r="S61" s="71"/>
      <c r="T61" s="54" t="s">
        <v>274</v>
      </c>
      <c r="U61" s="71"/>
      <c r="V61" s="71"/>
    </row>
    <row r="62" spans="1:24" x14ac:dyDescent="0.3">
      <c r="A62" s="129" t="s">
        <v>88</v>
      </c>
      <c r="B62" s="129"/>
      <c r="C62" s="129"/>
      <c r="D62" s="114">
        <v>6690.61</v>
      </c>
      <c r="E62" s="114"/>
      <c r="F62" s="114"/>
      <c r="G62" s="114"/>
      <c r="H62" s="114"/>
      <c r="R62"/>
    </row>
    <row r="63" spans="1:24" x14ac:dyDescent="0.3">
      <c r="A63" s="118" t="s">
        <v>45</v>
      </c>
      <c r="B63" s="85"/>
      <c r="C63" s="85"/>
      <c r="D63" s="85" t="s">
        <v>383</v>
      </c>
      <c r="E63" s="85"/>
      <c r="F63" s="85"/>
      <c r="G63" s="85"/>
      <c r="H63" s="85"/>
      <c r="I63" s="24"/>
      <c r="R63"/>
    </row>
    <row r="64" spans="1:24" x14ac:dyDescent="0.3">
      <c r="A64" s="125" t="s">
        <v>46</v>
      </c>
      <c r="B64" s="126"/>
      <c r="C64" s="127"/>
      <c r="D64" s="122" t="s">
        <v>376</v>
      </c>
      <c r="E64" s="124"/>
      <c r="F64" s="124"/>
      <c r="G64" s="124"/>
      <c r="H64" s="124"/>
      <c r="R64"/>
    </row>
    <row r="65" spans="1:19" ht="15.75" customHeight="1" x14ac:dyDescent="0.3">
      <c r="A65" s="125" t="s">
        <v>86</v>
      </c>
      <c r="B65" s="126"/>
      <c r="C65" s="126"/>
      <c r="D65" s="196" t="s">
        <v>376</v>
      </c>
      <c r="E65" s="197"/>
      <c r="F65" s="197"/>
      <c r="G65" s="197"/>
      <c r="H65" s="198"/>
      <c r="R65"/>
    </row>
    <row r="66" spans="1:19" ht="15.75" hidden="1" customHeight="1" x14ac:dyDescent="0.3">
      <c r="A66" s="193"/>
      <c r="B66" s="194"/>
      <c r="C66" s="194"/>
      <c r="D66" s="199" t="s">
        <v>294</v>
      </c>
      <c r="E66" s="200"/>
      <c r="F66" s="200"/>
      <c r="G66" s="200"/>
      <c r="H66" s="201"/>
      <c r="R66"/>
    </row>
    <row r="67" spans="1:19" ht="15.75" hidden="1" customHeight="1" x14ac:dyDescent="0.3">
      <c r="A67" s="140"/>
      <c r="B67" s="195"/>
      <c r="C67" s="195"/>
      <c r="D67" s="261" t="s">
        <v>168</v>
      </c>
      <c r="E67" s="262"/>
      <c r="F67" s="262"/>
      <c r="G67" s="262"/>
      <c r="H67" s="263"/>
      <c r="S67"/>
    </row>
    <row r="68" spans="1:19" ht="15.75" customHeight="1" x14ac:dyDescent="0.3">
      <c r="A68" s="85" t="s">
        <v>43</v>
      </c>
      <c r="B68" s="85"/>
      <c r="C68" s="85"/>
      <c r="D68" s="118" t="s">
        <v>344</v>
      </c>
      <c r="E68" s="118"/>
      <c r="F68" s="118"/>
      <c r="G68" s="118"/>
      <c r="H68" s="118"/>
      <c r="J68" s="25"/>
      <c r="K68" s="24"/>
      <c r="N68" s="24"/>
      <c r="S68"/>
    </row>
    <row r="69" spans="1:19" ht="15.75" customHeight="1" x14ac:dyDescent="0.3">
      <c r="A69" s="85" t="s">
        <v>84</v>
      </c>
      <c r="B69" s="85"/>
      <c r="C69" s="85"/>
      <c r="D69" s="162" t="str">
        <f>(IF(G60="NA","60 Years After Completion",IF(G60&lt;&gt;"NA",""&amp;60-ROUNDDOWN((E3-G60)/360,0)&amp;" Years"," ")))</f>
        <v>60 Years After Completion</v>
      </c>
      <c r="E69" s="162"/>
      <c r="F69" s="162"/>
      <c r="G69" s="162"/>
      <c r="H69" s="162"/>
      <c r="N69" s="24"/>
      <c r="S69"/>
    </row>
    <row r="70" spans="1:19" ht="15.75" customHeight="1" x14ac:dyDescent="0.3">
      <c r="A70" s="85" t="s">
        <v>85</v>
      </c>
      <c r="B70" s="85"/>
      <c r="C70" s="85"/>
      <c r="D70" s="118" t="s">
        <v>23</v>
      </c>
      <c r="E70" s="118"/>
      <c r="F70" s="118"/>
      <c r="G70" s="118"/>
      <c r="H70" s="118"/>
      <c r="J70" s="26"/>
      <c r="K70" s="26"/>
      <c r="S70"/>
    </row>
    <row r="71" spans="1:19" ht="38.4" customHeight="1" x14ac:dyDescent="0.3">
      <c r="A71" s="85" t="s">
        <v>390</v>
      </c>
      <c r="B71" s="85"/>
      <c r="C71" s="85"/>
      <c r="D71" s="118" t="s">
        <v>345</v>
      </c>
      <c r="E71" s="118"/>
      <c r="F71" s="118"/>
      <c r="G71" s="118"/>
      <c r="H71" s="118"/>
      <c r="I71" s="21" t="s">
        <v>370</v>
      </c>
      <c r="S71"/>
    </row>
    <row r="72" spans="1:19" x14ac:dyDescent="0.3">
      <c r="A72" s="129" t="s">
        <v>146</v>
      </c>
      <c r="B72" s="129"/>
      <c r="C72" s="129"/>
      <c r="D72" s="129" t="s">
        <v>28</v>
      </c>
      <c r="E72" s="129"/>
      <c r="F72" s="129"/>
      <c r="G72" s="129"/>
      <c r="H72" s="129"/>
      <c r="I72" s="27"/>
      <c r="J72" s="27"/>
      <c r="K72" s="27"/>
      <c r="L72" s="27"/>
      <c r="M72" s="27"/>
      <c r="N72" s="27"/>
    </row>
    <row r="73" spans="1:19" ht="15.75" customHeight="1" x14ac:dyDescent="0.3">
      <c r="A73" s="260" t="s">
        <v>83</v>
      </c>
      <c r="B73" s="260"/>
      <c r="C73" s="260"/>
      <c r="D73" s="122" t="str">
        <f ca="1">(IF(G79&gt;95%,"Nothing",IF(G79&gt;0%,"Cement, Aggregate, Steel, etc",IF(G79=0%,"Work not yet Started"))))</f>
        <v>Cement, Aggregate, Steel, etc</v>
      </c>
      <c r="E73" s="122"/>
      <c r="F73" s="122"/>
      <c r="G73" s="122"/>
      <c r="H73" s="122"/>
      <c r="J73" s="26"/>
      <c r="S73"/>
    </row>
    <row r="74" spans="1:19" ht="33.75" customHeight="1" thickBot="1" x14ac:dyDescent="0.35">
      <c r="A74" s="121" t="s">
        <v>115</v>
      </c>
      <c r="B74" s="121"/>
      <c r="C74" s="121"/>
      <c r="D74" s="122" t="str">
        <f ca="1">(IF(D73="Nothing","Yes",IF(D73="Cement, Aggregate, Steel, etc","Under Construction",IF(D73="Work not yet Started","Work not yet Started"))))</f>
        <v>Under Construction</v>
      </c>
      <c r="E74" s="122"/>
      <c r="F74" s="122" t="str">
        <f ca="1">(IF(D73="Nothing","Yes",IF(D73="Cement, Aggregate, Steel, etc","Under Construction",IF(D73="Work not yet Started","Work not yet Started"))))</f>
        <v>Under Construction</v>
      </c>
      <c r="G74" s="122"/>
      <c r="H74" s="122"/>
      <c r="S74"/>
    </row>
    <row r="75" spans="1:19" ht="15.75" customHeight="1" x14ac:dyDescent="0.3">
      <c r="A75" s="164" t="s">
        <v>136</v>
      </c>
      <c r="B75" s="165"/>
      <c r="C75" s="166" t="str">
        <f>D65</f>
        <v>Wing D = Stilt + 1P + 1st to 20th Floor</v>
      </c>
      <c r="D75" s="167"/>
      <c r="E75" s="167"/>
      <c r="F75" s="167"/>
      <c r="G75" s="167"/>
      <c r="H75" s="168"/>
      <c r="I75" s="46" t="str">
        <f ca="1">IF(D88=100%,"All work Completed. Possession granted to the Building.",IF(D87=100%,"All work Completed, Waiting for OC",I76&amp;""&amp;I77&amp;""&amp;J76&amp;""&amp;J75&amp;" "&amp;J77))</f>
        <v>Excavation, Plinth Completed, RCC upto 20 Slab, Brickwork upto 18 Floor, Internal Plaster upto 14 Floor, External Plaster upto 14 Floor, Flooring upto 6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20 Slab, Brickwork upto 18 Floor, Internal Plaster upto 14 Floor, External Plaster upto 14 Floor, Flooring upto 6 Floor</v>
      </c>
      <c r="S75"/>
    </row>
    <row r="76" spans="1:19" x14ac:dyDescent="0.3">
      <c r="A76" s="16" t="s">
        <v>138</v>
      </c>
      <c r="B76" s="50">
        <f>IF(AND(ISNUMBER(SEARCH("1B",C75))),1,IF(AND(ISNUMBER(SEARCH("2B",C75))),2,IF(AND(ISNUMBER(SEARCH("3B",C75))),3,IF(AND(ISNUMBER(SEARCH("4B",C75))),4,IF(ISNUMBER(SEARCH("5B",C75)),5,0)))))</f>
        <v>0</v>
      </c>
      <c r="C76" s="50" t="s">
        <v>69</v>
      </c>
      <c r="D76" s="50">
        <v>1</v>
      </c>
      <c r="E76" s="50" t="s">
        <v>68</v>
      </c>
      <c r="F76" s="50">
        <v>1</v>
      </c>
      <c r="G76" s="50" t="s">
        <v>77</v>
      </c>
      <c r="H76" s="17">
        <f ca="1">--TRIM(RIGHT(SUBSTITUTE(LEFT(C75,_xlfn.AGGREGATE(16,6,FIND({0,1,2,3,4,5,6,7,8,9},C75,ROW(INDIRECT("1:"&amp;LEN(C75)))),1))," ",REPT(" ",LEN(C75))),LEN(C75)))</f>
        <v>20</v>
      </c>
      <c r="I76" s="48" t="str">
        <f ca="1">IF(D79=100%,"Excavation","")&amp;IF(D80=100%,", Plinth","")&amp;IF(D81=100%,", RCC Slab","")&amp;IF(D82=100%,", Brickwork","")&amp;IF(D83=100%,", Internal Plaster","")&amp;IF(D84=100%,", External Plaster","")&amp;IF(D85=100%,", Flooring","")&amp;IF(D86=100%,", Painting","")&amp;IF(D87=100%,", Building common Amenities","")</f>
        <v>Excavation, Plinth</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55.8" customHeight="1" x14ac:dyDescent="0.3">
      <c r="A77" s="163" t="s">
        <v>87</v>
      </c>
      <c r="B77" s="123"/>
      <c r="C77" s="119" t="str">
        <f ca="1">I75</f>
        <v>Excavation, Plinth Completed, RCC upto 20 Slab, Brickwork upto 18 Floor, Internal Plaster upto 14 Floor, External Plaster upto 14 Floor, Flooring upto 6 Floor Completed</v>
      </c>
      <c r="D77" s="119"/>
      <c r="E77" s="119"/>
      <c r="F77" s="119"/>
      <c r="G77" s="119"/>
      <c r="H77" s="120"/>
      <c r="I77" s="48" t="str">
        <f ca="1">IF(I76&lt;&gt;""," Completed","")</f>
        <v xml:space="preserve"> Completed</v>
      </c>
      <c r="J77" s="49" t="str">
        <f ca="1">IF(J75&lt;&gt;"","Completed","")</f>
        <v>Completed</v>
      </c>
      <c r="S77"/>
    </row>
    <row r="78" spans="1:19" ht="15.75" customHeight="1" x14ac:dyDescent="0.3">
      <c r="A78" s="145" t="s">
        <v>47</v>
      </c>
      <c r="B78" s="146"/>
      <c r="C78" s="78" t="s">
        <v>135</v>
      </c>
      <c r="D78" s="78" t="s">
        <v>80</v>
      </c>
      <c r="E78" s="146" t="s">
        <v>82</v>
      </c>
      <c r="F78" s="146"/>
      <c r="G78" s="146" t="s">
        <v>81</v>
      </c>
      <c r="H78" s="192"/>
      <c r="I78" s="13" t="s">
        <v>137</v>
      </c>
      <c r="J78" s="28">
        <f ca="1">H76*25%</f>
        <v>5</v>
      </c>
      <c r="S78"/>
    </row>
    <row r="79" spans="1:19" x14ac:dyDescent="0.3">
      <c r="A79" s="145" t="s">
        <v>124</v>
      </c>
      <c r="B79" s="146"/>
      <c r="C79" s="78">
        <f ca="1">J80</f>
        <v>20</v>
      </c>
      <c r="D79" s="79">
        <f ca="1">((100/H76)*C79)/100</f>
        <v>1</v>
      </c>
      <c r="E79" s="147">
        <f ca="1">(((C80/H76*10)+(40/(D76+F76+H76)*C81)+(7.5/(H76)*C82)+(7.5/(H76)*C83)+(10/H76*C84)+(10/H76*C85)+(5/H76*C86)+(5/H76*C87)+(5/H76*C88))/100)</f>
        <v>0.6836363636363636</v>
      </c>
      <c r="F79" s="148"/>
      <c r="G79" s="147">
        <f ca="1">((((C79/H76)*20)+((C80/H76)*25)+(30/(H76+F76+D76)*C81)+(5/H76*C82)+(5/H76*C83)+(5/H76*C84)+(5/H76*C85)+(0/H76*C86)+(0/H76*C87)+(5/H76*C88))/100)</f>
        <v>0.85272727272727267</v>
      </c>
      <c r="H79" s="153"/>
      <c r="I79" s="13" t="s">
        <v>97</v>
      </c>
      <c r="J79" s="29">
        <f ca="1">H76*50%</f>
        <v>10</v>
      </c>
    </row>
    <row r="80" spans="1:19" x14ac:dyDescent="0.3">
      <c r="A80" s="145" t="s">
        <v>48</v>
      </c>
      <c r="B80" s="146"/>
      <c r="C80" s="78">
        <f ca="1">J88</f>
        <v>20</v>
      </c>
      <c r="D80" s="79">
        <f ca="1">((100/H76)*C80)/100</f>
        <v>1</v>
      </c>
      <c r="E80" s="149"/>
      <c r="F80" s="150"/>
      <c r="G80" s="149"/>
      <c r="H80" s="154"/>
      <c r="I80" s="13" t="s">
        <v>98</v>
      </c>
      <c r="J80" s="29">
        <f ca="1">H76</f>
        <v>20</v>
      </c>
      <c r="S80"/>
    </row>
    <row r="81" spans="1:19" ht="15.75" customHeight="1" x14ac:dyDescent="0.3">
      <c r="A81" s="145" t="s">
        <v>125</v>
      </c>
      <c r="B81" s="146"/>
      <c r="C81" s="78">
        <v>20</v>
      </c>
      <c r="D81" s="79">
        <f ca="1">((100/(D76+F76+H76))*C81)/100</f>
        <v>0.90909090909090917</v>
      </c>
      <c r="E81" s="149"/>
      <c r="F81" s="150"/>
      <c r="G81" s="149"/>
      <c r="H81" s="154"/>
      <c r="I81" s="13" t="s">
        <v>99</v>
      </c>
      <c r="J81" s="30">
        <f ca="1">(IF(B76&gt;1,(H76/(B76+2)),H76/4))</f>
        <v>5</v>
      </c>
      <c r="S81"/>
    </row>
    <row r="82" spans="1:19" ht="15.75" customHeight="1" x14ac:dyDescent="0.3">
      <c r="A82" s="145" t="s">
        <v>132</v>
      </c>
      <c r="B82" s="146" t="s">
        <v>126</v>
      </c>
      <c r="C82" s="78">
        <v>18</v>
      </c>
      <c r="D82" s="79">
        <f ca="1">((100/H76)*C82)/100</f>
        <v>0.9</v>
      </c>
      <c r="E82" s="149"/>
      <c r="F82" s="150"/>
      <c r="G82" s="149"/>
      <c r="H82" s="154"/>
      <c r="I82" s="13" t="s">
        <v>100</v>
      </c>
      <c r="J82" s="30">
        <f ca="1">(IF(B76&gt;1,(H76/(B76+2)+J81),H76/4+J81))</f>
        <v>10</v>
      </c>
    </row>
    <row r="83" spans="1:19" ht="15.75" customHeight="1" x14ac:dyDescent="0.3">
      <c r="A83" s="145" t="s">
        <v>133</v>
      </c>
      <c r="B83" s="146" t="s">
        <v>126</v>
      </c>
      <c r="C83" s="78">
        <v>14</v>
      </c>
      <c r="D83" s="79">
        <f ca="1">((100/H76)*C83)/100</f>
        <v>0.7</v>
      </c>
      <c r="E83" s="149"/>
      <c r="F83" s="150"/>
      <c r="G83" s="149"/>
      <c r="H83" s="154"/>
      <c r="I83" s="13" t="s">
        <v>144</v>
      </c>
      <c r="J83" s="30">
        <f>(IF(B76&gt;1,(H76/(B76+2)+J82),0))</f>
        <v>0</v>
      </c>
    </row>
    <row r="84" spans="1:19" ht="15" customHeight="1" x14ac:dyDescent="0.3">
      <c r="A84" s="145" t="s">
        <v>131</v>
      </c>
      <c r="B84" s="146" t="s">
        <v>128</v>
      </c>
      <c r="C84" s="78">
        <v>14</v>
      </c>
      <c r="D84" s="79">
        <f ca="1">((100/(H76))*C84)/100</f>
        <v>0.7</v>
      </c>
      <c r="E84" s="149"/>
      <c r="F84" s="150"/>
      <c r="G84" s="149"/>
      <c r="H84" s="154"/>
      <c r="I84" s="13" t="s">
        <v>139</v>
      </c>
      <c r="J84" s="30">
        <f>(IF(B76&gt;2,(H76/(B76+2)+J83),0))</f>
        <v>0</v>
      </c>
    </row>
    <row r="85" spans="1:19" ht="15.75" customHeight="1" x14ac:dyDescent="0.3">
      <c r="A85" s="145" t="s">
        <v>127</v>
      </c>
      <c r="B85" s="146" t="s">
        <v>127</v>
      </c>
      <c r="C85" s="78">
        <v>6</v>
      </c>
      <c r="D85" s="79">
        <f ca="1">((100/H76)*C85)/100</f>
        <v>0.3</v>
      </c>
      <c r="E85" s="149"/>
      <c r="F85" s="150"/>
      <c r="G85" s="149"/>
      <c r="H85" s="154"/>
      <c r="I85" s="13" t="s">
        <v>140</v>
      </c>
      <c r="J85" s="31">
        <f>(IF(B76&gt;3,(H76/(B76+2)+J84),0))</f>
        <v>0</v>
      </c>
    </row>
    <row r="86" spans="1:19" ht="15.75" customHeight="1" x14ac:dyDescent="0.3">
      <c r="A86" s="145" t="s">
        <v>134</v>
      </c>
      <c r="B86" s="146"/>
      <c r="C86" s="78">
        <v>0</v>
      </c>
      <c r="D86" s="79">
        <f ca="1">((100/H76)*C86)/100</f>
        <v>0</v>
      </c>
      <c r="E86" s="149"/>
      <c r="F86" s="150"/>
      <c r="G86" s="149"/>
      <c r="H86" s="154"/>
      <c r="I86" s="13" t="s">
        <v>141</v>
      </c>
      <c r="J86" s="30">
        <f>(IF(B76&gt;4,(H76/(B76+2)+J85),0))</f>
        <v>0</v>
      </c>
    </row>
    <row r="87" spans="1:19" ht="15.75" customHeight="1" x14ac:dyDescent="0.3">
      <c r="A87" s="145" t="s">
        <v>129</v>
      </c>
      <c r="B87" s="146" t="s">
        <v>129</v>
      </c>
      <c r="C87" s="78">
        <v>0</v>
      </c>
      <c r="D87" s="79">
        <f ca="1">((100/(H76))*C87)/100</f>
        <v>0</v>
      </c>
      <c r="E87" s="149"/>
      <c r="F87" s="150"/>
      <c r="G87" s="149"/>
      <c r="H87" s="154"/>
      <c r="I87" s="13" t="s">
        <v>145</v>
      </c>
      <c r="J87" s="30">
        <f ca="1">(IF(B76=1,(H76/(B76+3)+J82),IF(B76=0,(H76/4+J82),IF(B76&gt;1,0))))</f>
        <v>15</v>
      </c>
    </row>
    <row r="88" spans="1:19" ht="16.2" thickBot="1" x14ac:dyDescent="0.35">
      <c r="A88" s="230" t="s">
        <v>130</v>
      </c>
      <c r="B88" s="231"/>
      <c r="C88" s="80">
        <v>0</v>
      </c>
      <c r="D88" s="81">
        <f ca="1">((100/(H76))*C88)/100</f>
        <v>0</v>
      </c>
      <c r="E88" s="151"/>
      <c r="F88" s="152"/>
      <c r="G88" s="151"/>
      <c r="H88" s="155"/>
      <c r="I88" s="15" t="s">
        <v>101</v>
      </c>
      <c r="J88" s="32">
        <f ca="1">(IF(B76&gt;1.5,(H76/(B76+2)+J82+MAX(0,J83-J82)+MAX(0,J84-J83)+MAX(0,J85-J84)+MAX(0,J86-J85)+MAX(0,J87-J86)),IF(B76=1,(H76/(B76+3)+J87),IF(B76=0,H76/4+J87))))</f>
        <v>20</v>
      </c>
    </row>
    <row r="89" spans="1:19" ht="15.75" hidden="1" customHeight="1" x14ac:dyDescent="0.3">
      <c r="A89" s="187" t="s">
        <v>136</v>
      </c>
      <c r="B89" s="188"/>
      <c r="C89" s="179" t="str">
        <f>D66</f>
        <v>B Wing = 1B + G + 1st to 19th Floor</v>
      </c>
      <c r="D89" s="180"/>
      <c r="E89" s="180"/>
      <c r="F89" s="180"/>
      <c r="G89" s="180"/>
      <c r="H89" s="181"/>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
      <c r="A90" s="16" t="s">
        <v>138</v>
      </c>
      <c r="B90" s="50">
        <f>IF(AND(ISNUMBER(SEARCH("1B",C89))),1,IF(AND(ISNUMBER(SEARCH("2B",C89))),2,IF(AND(ISNUMBER(SEARCH("3B",C89))),3,IF(AND(ISNUMBER(SEARCH("4B",C89))),4,IF(ISNUMBER(SEARCH("5B",C89)),5,0)))))</f>
        <v>1</v>
      </c>
      <c r="C90" s="50" t="s">
        <v>69</v>
      </c>
      <c r="D90" s="50">
        <v>1</v>
      </c>
      <c r="E90" s="50" t="s">
        <v>68</v>
      </c>
      <c r="F90" s="14">
        <v>0</v>
      </c>
      <c r="G90" s="45" t="s">
        <v>77</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
      <c r="A91" s="163" t="s">
        <v>87</v>
      </c>
      <c r="B91" s="123"/>
      <c r="C91" s="119" t="str">
        <f ca="1">I89</f>
        <v xml:space="preserve">Excavation, Plinth Completed </v>
      </c>
      <c r="D91" s="119"/>
      <c r="E91" s="119"/>
      <c r="F91" s="119"/>
      <c r="G91" s="119"/>
      <c r="H91" s="120"/>
      <c r="I91" s="48" t="str">
        <f ca="1">IF(I90&lt;&gt;""," Completed","")</f>
        <v xml:space="preserve"> Completed</v>
      </c>
      <c r="J91" s="49" t="str">
        <f ca="1">IF(J89&lt;&gt;"","Completed","")</f>
        <v/>
      </c>
      <c r="S91"/>
    </row>
    <row r="92" spans="1:19" ht="15.75" hidden="1" customHeight="1" x14ac:dyDescent="0.3">
      <c r="A92" s="107" t="s">
        <v>47</v>
      </c>
      <c r="B92" s="108"/>
      <c r="C92" s="73" t="s">
        <v>135</v>
      </c>
      <c r="D92" s="73" t="s">
        <v>80</v>
      </c>
      <c r="E92" s="108" t="s">
        <v>82</v>
      </c>
      <c r="F92" s="108"/>
      <c r="G92" s="108" t="s">
        <v>81</v>
      </c>
      <c r="H92" s="189"/>
      <c r="I92" s="13" t="s">
        <v>137</v>
      </c>
      <c r="J92" s="28">
        <f ca="1">H90*25%</f>
        <v>4.75</v>
      </c>
      <c r="S92"/>
    </row>
    <row r="93" spans="1:19" hidden="1" x14ac:dyDescent="0.3">
      <c r="A93" s="107" t="s">
        <v>124</v>
      </c>
      <c r="B93" s="108"/>
      <c r="C93" s="57">
        <f ca="1">J94</f>
        <v>19</v>
      </c>
      <c r="D93" s="19">
        <f ca="1">((100/H90)*C93)/100</f>
        <v>1</v>
      </c>
      <c r="E93" s="173">
        <f ca="1">(((C94/H90*10)+(40/(D90+F90+H90)*C95)+(7.5/(H90)*C96)+(7.5/(H90)*C97)+(10/H90*C98)+(10/H90*C99)+(5/H90*C100)+(5/H90*C101)+(5/H90*C102))/100)</f>
        <v>0.1</v>
      </c>
      <c r="F93" s="174"/>
      <c r="G93" s="173">
        <f ca="1">((((C93/H90)*20)+((C94/H90)*25)+(30/(H90+F90+D90)*C95)+(5/H90*C96)+(5/H90*C97)+(5/H90*C98)+(5/H90*C99)+(0/H90*C100)+(0/H90*C101)+(5/H90*C102))/100)</f>
        <v>0.45</v>
      </c>
      <c r="H93" s="182"/>
      <c r="I93" s="13" t="s">
        <v>97</v>
      </c>
      <c r="J93" s="29">
        <f ca="1">H90*50%</f>
        <v>9.5</v>
      </c>
    </row>
    <row r="94" spans="1:19" hidden="1" x14ac:dyDescent="0.3">
      <c r="A94" s="107" t="s">
        <v>48</v>
      </c>
      <c r="B94" s="108"/>
      <c r="C94" s="73">
        <f ca="1">J102</f>
        <v>19</v>
      </c>
      <c r="D94" s="19">
        <f ca="1">((100/H90)*C94)/100</f>
        <v>1</v>
      </c>
      <c r="E94" s="175"/>
      <c r="F94" s="176"/>
      <c r="G94" s="175"/>
      <c r="H94" s="183"/>
      <c r="I94" s="13" t="s">
        <v>98</v>
      </c>
      <c r="J94" s="29">
        <f ca="1">H90</f>
        <v>19</v>
      </c>
      <c r="S94"/>
    </row>
    <row r="95" spans="1:19" ht="15.75" hidden="1" customHeight="1" x14ac:dyDescent="0.3">
      <c r="A95" s="107" t="s">
        <v>125</v>
      </c>
      <c r="B95" s="108"/>
      <c r="C95" s="73">
        <v>0</v>
      </c>
      <c r="D95" s="19">
        <f ca="1">((100/(D90+F90+H90))*C95)/100</f>
        <v>0</v>
      </c>
      <c r="E95" s="175"/>
      <c r="F95" s="176"/>
      <c r="G95" s="175"/>
      <c r="H95" s="183"/>
      <c r="I95" s="13" t="s">
        <v>99</v>
      </c>
      <c r="J95" s="30">
        <f ca="1">(IF(B90&gt;1,(H90/(B90+2)),H90/4))</f>
        <v>4.75</v>
      </c>
      <c r="S95"/>
    </row>
    <row r="96" spans="1:19" ht="15.75" hidden="1" customHeight="1" x14ac:dyDescent="0.3">
      <c r="A96" s="107" t="s">
        <v>132</v>
      </c>
      <c r="B96" s="108" t="s">
        <v>126</v>
      </c>
      <c r="C96" s="73">
        <v>0</v>
      </c>
      <c r="D96" s="19">
        <f ca="1">((100/H90)*C96)/100</f>
        <v>0</v>
      </c>
      <c r="E96" s="175"/>
      <c r="F96" s="176"/>
      <c r="G96" s="175"/>
      <c r="H96" s="183"/>
      <c r="I96" s="13" t="s">
        <v>100</v>
      </c>
      <c r="J96" s="30">
        <f ca="1">(IF(B90&gt;1,(H90/(B90+2)+J95),H90/4+J95))</f>
        <v>9.5</v>
      </c>
    </row>
    <row r="97" spans="1:19" ht="15.75" hidden="1" customHeight="1" x14ac:dyDescent="0.3">
      <c r="A97" s="107" t="s">
        <v>133</v>
      </c>
      <c r="B97" s="108" t="s">
        <v>126</v>
      </c>
      <c r="C97" s="73">
        <v>0</v>
      </c>
      <c r="D97" s="19">
        <f ca="1">((100/H90)*C97)/100</f>
        <v>0</v>
      </c>
      <c r="E97" s="175"/>
      <c r="F97" s="176"/>
      <c r="G97" s="175"/>
      <c r="H97" s="183"/>
      <c r="I97" s="13" t="s">
        <v>144</v>
      </c>
      <c r="J97" s="30">
        <f>(IF(B90&gt;1,(H90/(B90+2)+J96),0))</f>
        <v>0</v>
      </c>
    </row>
    <row r="98" spans="1:19" ht="15" hidden="1" customHeight="1" x14ac:dyDescent="0.3">
      <c r="A98" s="107" t="s">
        <v>131</v>
      </c>
      <c r="B98" s="108" t="s">
        <v>128</v>
      </c>
      <c r="C98" s="73">
        <v>0</v>
      </c>
      <c r="D98" s="19">
        <f ca="1">((100/(H90))*C98)/100</f>
        <v>0</v>
      </c>
      <c r="E98" s="175"/>
      <c r="F98" s="176"/>
      <c r="G98" s="175"/>
      <c r="H98" s="183"/>
      <c r="I98" s="13" t="s">
        <v>139</v>
      </c>
      <c r="J98" s="30">
        <f>(IF(B90&gt;2,(H90/(B90+2)+J97),0))</f>
        <v>0</v>
      </c>
    </row>
    <row r="99" spans="1:19" ht="15.75" hidden="1" customHeight="1" x14ac:dyDescent="0.3">
      <c r="A99" s="107" t="s">
        <v>127</v>
      </c>
      <c r="B99" s="108" t="s">
        <v>127</v>
      </c>
      <c r="C99" s="73">
        <v>0</v>
      </c>
      <c r="D99" s="19">
        <f ca="1">((100/H90)*C99)/100</f>
        <v>0</v>
      </c>
      <c r="E99" s="175"/>
      <c r="F99" s="176"/>
      <c r="G99" s="175"/>
      <c r="H99" s="183"/>
      <c r="I99" s="13" t="s">
        <v>140</v>
      </c>
      <c r="J99" s="31">
        <f>(IF(B90&gt;3,(H90/(B90+2)+J98),0))</f>
        <v>0</v>
      </c>
    </row>
    <row r="100" spans="1:19" ht="15.75" hidden="1" customHeight="1" x14ac:dyDescent="0.3">
      <c r="A100" s="107" t="s">
        <v>134</v>
      </c>
      <c r="B100" s="108"/>
      <c r="C100" s="73">
        <v>0</v>
      </c>
      <c r="D100" s="19">
        <f ca="1">((100/H90)*C100)/100</f>
        <v>0</v>
      </c>
      <c r="E100" s="175"/>
      <c r="F100" s="176"/>
      <c r="G100" s="175"/>
      <c r="H100" s="183"/>
      <c r="I100" s="13" t="s">
        <v>141</v>
      </c>
      <c r="J100" s="30">
        <f>(IF(B90&gt;4,(H90/(B90+2)+J99),0))</f>
        <v>0</v>
      </c>
    </row>
    <row r="101" spans="1:19" ht="15.75" hidden="1" customHeight="1" x14ac:dyDescent="0.3">
      <c r="A101" s="107" t="s">
        <v>129</v>
      </c>
      <c r="B101" s="108" t="s">
        <v>129</v>
      </c>
      <c r="C101" s="73">
        <v>0</v>
      </c>
      <c r="D101" s="19">
        <f ca="1">((100/(H90))*C101)/100</f>
        <v>0</v>
      </c>
      <c r="E101" s="175"/>
      <c r="F101" s="176"/>
      <c r="G101" s="175"/>
      <c r="H101" s="183"/>
      <c r="I101" s="13" t="s">
        <v>145</v>
      </c>
      <c r="J101" s="30">
        <f ca="1">(IF(B90=1,(H90/(B90+3)+J96),IF(B90=0,(H90/4+J96),IF(B90&gt;1,0))))</f>
        <v>14.25</v>
      </c>
    </row>
    <row r="102" spans="1:19" ht="16.2" hidden="1" thickBot="1" x14ac:dyDescent="0.35">
      <c r="A102" s="185" t="s">
        <v>130</v>
      </c>
      <c r="B102" s="186"/>
      <c r="C102" s="72">
        <v>0</v>
      </c>
      <c r="D102" s="20">
        <f ca="1">((100/(H90))*C102)/100</f>
        <v>0</v>
      </c>
      <c r="E102" s="177"/>
      <c r="F102" s="178"/>
      <c r="G102" s="177"/>
      <c r="H102" s="184"/>
      <c r="I102" s="15" t="s">
        <v>101</v>
      </c>
      <c r="J102" s="32">
        <f ca="1">(IF(B90&gt;1.5,(H90/(B90+2)+J96+MAX(0,J97-J96)+MAX(0,J98-J97)+MAX(0,J99-J98)+MAX(0,J100-J99)+MAX(0,J101-J100)),IF(B90=1,(H90/(B90+3)+J101),IF(B90=0,H90/4+J101))))</f>
        <v>19</v>
      </c>
    </row>
    <row r="103" spans="1:19" ht="15.75" hidden="1" customHeight="1" x14ac:dyDescent="0.3">
      <c r="A103" s="187" t="s">
        <v>136</v>
      </c>
      <c r="B103" s="188"/>
      <c r="C103" s="179" t="str">
        <f>D67</f>
        <v>C Wing = 1B + G + 1st to 20th Floor</v>
      </c>
      <c r="D103" s="180"/>
      <c r="E103" s="180"/>
      <c r="F103" s="180"/>
      <c r="G103" s="180"/>
      <c r="H103" s="181"/>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
      <c r="A104" s="16" t="s">
        <v>138</v>
      </c>
      <c r="B104" s="50">
        <f>IF(AND(ISNUMBER(SEARCH("1B",C103))),1,IF(AND(ISNUMBER(SEARCH("2B",C103))),2,IF(AND(ISNUMBER(SEARCH("3B",C103))),3,IF(AND(ISNUMBER(SEARCH("4B",C103))),4,IF(ISNUMBER(SEARCH("5B",C103)),5,0)))))</f>
        <v>1</v>
      </c>
      <c r="C104" s="50" t="s">
        <v>69</v>
      </c>
      <c r="D104" s="50">
        <v>1</v>
      </c>
      <c r="E104" s="50" t="s">
        <v>68</v>
      </c>
      <c r="F104" s="14">
        <v>0</v>
      </c>
      <c r="G104" s="45" t="s">
        <v>77</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
      <c r="A105" s="163" t="s">
        <v>87</v>
      </c>
      <c r="B105" s="123"/>
      <c r="C105" s="119" t="str">
        <f ca="1">I103</f>
        <v xml:space="preserve">Excavation, Plinth Completed </v>
      </c>
      <c r="D105" s="119"/>
      <c r="E105" s="119"/>
      <c r="F105" s="119"/>
      <c r="G105" s="119"/>
      <c r="H105" s="120"/>
      <c r="I105" s="48" t="str">
        <f ca="1">IF(I104&lt;&gt;""," Completed","")</f>
        <v xml:space="preserve"> Completed</v>
      </c>
      <c r="J105" s="49" t="str">
        <f ca="1">IF(J103&lt;&gt;"","Completed","")</f>
        <v/>
      </c>
      <c r="S105"/>
    </row>
    <row r="106" spans="1:19" ht="15.75" hidden="1" customHeight="1" x14ac:dyDescent="0.3">
      <c r="A106" s="107" t="s">
        <v>47</v>
      </c>
      <c r="B106" s="108"/>
      <c r="C106" s="73" t="s">
        <v>135</v>
      </c>
      <c r="D106" s="73" t="s">
        <v>80</v>
      </c>
      <c r="E106" s="108" t="s">
        <v>82</v>
      </c>
      <c r="F106" s="108"/>
      <c r="G106" s="108" t="s">
        <v>81</v>
      </c>
      <c r="H106" s="189"/>
      <c r="I106" s="13" t="s">
        <v>137</v>
      </c>
      <c r="J106" s="28">
        <f ca="1">H104*25%</f>
        <v>5</v>
      </c>
      <c r="S106"/>
    </row>
    <row r="107" spans="1:19" hidden="1" x14ac:dyDescent="0.3">
      <c r="A107" s="107" t="s">
        <v>124</v>
      </c>
      <c r="B107" s="108"/>
      <c r="C107" s="57">
        <f ca="1">J108</f>
        <v>20</v>
      </c>
      <c r="D107" s="19">
        <f ca="1">((100/H104)*C107)/100</f>
        <v>1</v>
      </c>
      <c r="E107" s="173">
        <f ca="1">(((C108/H104*10)+(40/(D104+F104+H104)*C109)+(7.5/(H104)*C110)+(7.5/(H104)*C111)+(10/H104*C112)+(10/H104*C113)+(5/H104*C114)+(5/H104*C115)+(5/H104*C116))/100)</f>
        <v>0.1</v>
      </c>
      <c r="F107" s="174"/>
      <c r="G107" s="173">
        <f ca="1">((((C107/H104)*20)+((C108/H104)*25)+(30/(H104+F104+D104)*C109)+(5/H104*C110)+(5/H104*C111)+(5/H104*C112)+(5/H104*C113)+(0/H104*C114)+(0/H104*C115)+(5/H104*C116))/100)</f>
        <v>0.45</v>
      </c>
      <c r="H107" s="182"/>
      <c r="I107" s="13" t="s">
        <v>97</v>
      </c>
      <c r="J107" s="29">
        <f ca="1">H104*50%</f>
        <v>10</v>
      </c>
    </row>
    <row r="108" spans="1:19" hidden="1" x14ac:dyDescent="0.3">
      <c r="A108" s="107" t="s">
        <v>48</v>
      </c>
      <c r="B108" s="108"/>
      <c r="C108" s="73">
        <f ca="1">J116</f>
        <v>20</v>
      </c>
      <c r="D108" s="19">
        <f ca="1">((100/H104)*C108)/100</f>
        <v>1</v>
      </c>
      <c r="E108" s="175"/>
      <c r="F108" s="176"/>
      <c r="G108" s="175"/>
      <c r="H108" s="183"/>
      <c r="I108" s="13" t="s">
        <v>98</v>
      </c>
      <c r="J108" s="29">
        <f ca="1">H104</f>
        <v>20</v>
      </c>
      <c r="S108"/>
    </row>
    <row r="109" spans="1:19" ht="15.75" hidden="1" customHeight="1" x14ac:dyDescent="0.3">
      <c r="A109" s="107" t="s">
        <v>125</v>
      </c>
      <c r="B109" s="108"/>
      <c r="C109" s="73">
        <v>0</v>
      </c>
      <c r="D109" s="19">
        <f ca="1">((100/(D104+F104+H104))*C109)/100</f>
        <v>0</v>
      </c>
      <c r="E109" s="175"/>
      <c r="F109" s="176"/>
      <c r="G109" s="175"/>
      <c r="H109" s="183"/>
      <c r="I109" s="13" t="s">
        <v>99</v>
      </c>
      <c r="J109" s="30">
        <f ca="1">(IF(B104&gt;1,(H104/(B104+2)),H104/4))</f>
        <v>5</v>
      </c>
      <c r="S109"/>
    </row>
    <row r="110" spans="1:19" ht="15.75" hidden="1" customHeight="1" x14ac:dyDescent="0.3">
      <c r="A110" s="107" t="s">
        <v>132</v>
      </c>
      <c r="B110" s="108" t="s">
        <v>126</v>
      </c>
      <c r="C110" s="73">
        <v>0</v>
      </c>
      <c r="D110" s="19">
        <f ca="1">((100/H104)*C110)/100</f>
        <v>0</v>
      </c>
      <c r="E110" s="175"/>
      <c r="F110" s="176"/>
      <c r="G110" s="175"/>
      <c r="H110" s="183"/>
      <c r="I110" s="13" t="s">
        <v>100</v>
      </c>
      <c r="J110" s="30">
        <f ca="1">(IF(B104&gt;1,(H104/(B104+2)+J109),H104/4+J109))</f>
        <v>10</v>
      </c>
    </row>
    <row r="111" spans="1:19" ht="15.75" hidden="1" customHeight="1" x14ac:dyDescent="0.3">
      <c r="A111" s="107" t="s">
        <v>133</v>
      </c>
      <c r="B111" s="108" t="s">
        <v>126</v>
      </c>
      <c r="C111" s="73">
        <v>0</v>
      </c>
      <c r="D111" s="19">
        <f ca="1">((100/H104)*C111)/100</f>
        <v>0</v>
      </c>
      <c r="E111" s="175"/>
      <c r="F111" s="176"/>
      <c r="G111" s="175"/>
      <c r="H111" s="183"/>
      <c r="I111" s="13" t="s">
        <v>144</v>
      </c>
      <c r="J111" s="30">
        <f>(IF(B104&gt;1,(H104/(B104+2)+J110),0))</f>
        <v>0</v>
      </c>
    </row>
    <row r="112" spans="1:19" ht="15" hidden="1" customHeight="1" x14ac:dyDescent="0.3">
      <c r="A112" s="107" t="s">
        <v>131</v>
      </c>
      <c r="B112" s="108" t="s">
        <v>128</v>
      </c>
      <c r="C112" s="73">
        <v>0</v>
      </c>
      <c r="D112" s="19">
        <f ca="1">((100/(H104))*C112)/100</f>
        <v>0</v>
      </c>
      <c r="E112" s="175"/>
      <c r="F112" s="176"/>
      <c r="G112" s="175"/>
      <c r="H112" s="183"/>
      <c r="I112" s="13" t="s">
        <v>139</v>
      </c>
      <c r="J112" s="30">
        <f>(IF(B104&gt;2,(H104/(B104+2)+J111),0))</f>
        <v>0</v>
      </c>
    </row>
    <row r="113" spans="1:22" ht="15.75" hidden="1" customHeight="1" x14ac:dyDescent="0.3">
      <c r="A113" s="107" t="s">
        <v>127</v>
      </c>
      <c r="B113" s="108" t="s">
        <v>127</v>
      </c>
      <c r="C113" s="73">
        <v>0</v>
      </c>
      <c r="D113" s="19">
        <f ca="1">((100/H104)*C113)/100</f>
        <v>0</v>
      </c>
      <c r="E113" s="175"/>
      <c r="F113" s="176"/>
      <c r="G113" s="175"/>
      <c r="H113" s="183"/>
      <c r="I113" s="13" t="s">
        <v>140</v>
      </c>
      <c r="J113" s="31">
        <f>(IF(B104&gt;3,(H104/(B104+2)+J112),0))</f>
        <v>0</v>
      </c>
    </row>
    <row r="114" spans="1:22" ht="15.75" hidden="1" customHeight="1" x14ac:dyDescent="0.3">
      <c r="A114" s="107" t="s">
        <v>134</v>
      </c>
      <c r="B114" s="108"/>
      <c r="C114" s="73">
        <v>0</v>
      </c>
      <c r="D114" s="19">
        <f ca="1">((100/H104)*C114)/100</f>
        <v>0</v>
      </c>
      <c r="E114" s="175"/>
      <c r="F114" s="176"/>
      <c r="G114" s="175"/>
      <c r="H114" s="183"/>
      <c r="I114" s="13" t="s">
        <v>141</v>
      </c>
      <c r="J114" s="30">
        <f>(IF(B104&gt;4,(H104/(B104+2)+J113),0))</f>
        <v>0</v>
      </c>
    </row>
    <row r="115" spans="1:22" ht="15.75" hidden="1" customHeight="1" x14ac:dyDescent="0.3">
      <c r="A115" s="107" t="s">
        <v>129</v>
      </c>
      <c r="B115" s="108" t="s">
        <v>129</v>
      </c>
      <c r="C115" s="73">
        <v>0</v>
      </c>
      <c r="D115" s="19">
        <f ca="1">((100/(H104))*C115)/100</f>
        <v>0</v>
      </c>
      <c r="E115" s="175"/>
      <c r="F115" s="176"/>
      <c r="G115" s="175"/>
      <c r="H115" s="183"/>
      <c r="I115" s="13" t="s">
        <v>145</v>
      </c>
      <c r="J115" s="30">
        <f ca="1">(IF(B104=1,(H104/(B104+3)+J110),IF(B104=0,(H104/4+J110),IF(B104&gt;1,0))))</f>
        <v>15</v>
      </c>
    </row>
    <row r="116" spans="1:22" ht="16.2" hidden="1" thickBot="1" x14ac:dyDescent="0.35">
      <c r="A116" s="185" t="s">
        <v>130</v>
      </c>
      <c r="B116" s="186"/>
      <c r="C116" s="72">
        <v>0</v>
      </c>
      <c r="D116" s="20">
        <f ca="1">((100/(H104))*C116)/100</f>
        <v>0</v>
      </c>
      <c r="E116" s="177"/>
      <c r="F116" s="178"/>
      <c r="G116" s="177"/>
      <c r="H116" s="184"/>
      <c r="I116" s="15" t="s">
        <v>101</v>
      </c>
      <c r="J116" s="32">
        <f ca="1">(IF(B104&gt;1.5,(H104/(B104+2)+J110+MAX(0,J111-J110)+MAX(0,J112-J111)+MAX(0,J113-J112)+MAX(0,J114-J113)+MAX(0,J115-J114)),IF(B104=1,(H104/(B104+3)+J115),IF(B104=0,H104/4+J115))))</f>
        <v>20</v>
      </c>
    </row>
    <row r="117" spans="1:22" x14ac:dyDescent="0.3">
      <c r="A117" s="169" t="s">
        <v>155</v>
      </c>
      <c r="B117" s="169"/>
      <c r="C117" s="169"/>
      <c r="D117" s="169"/>
      <c r="E117" s="169"/>
      <c r="F117" s="252" t="s">
        <v>159</v>
      </c>
      <c r="G117" s="252"/>
      <c r="H117" s="252"/>
      <c r="R117" t="s">
        <v>249</v>
      </c>
      <c r="S117" t="s">
        <v>172</v>
      </c>
      <c r="T117" t="s">
        <v>175</v>
      </c>
      <c r="U117" t="s">
        <v>190</v>
      </c>
      <c r="V117" t="s">
        <v>185</v>
      </c>
    </row>
    <row r="118" spans="1:22" ht="15.75" customHeight="1" x14ac:dyDescent="0.3">
      <c r="A118" s="114" t="s">
        <v>157</v>
      </c>
      <c r="B118" s="114"/>
      <c r="C118" s="114"/>
      <c r="D118" s="114"/>
      <c r="E118" s="114"/>
      <c r="F118" s="170">
        <v>7200</v>
      </c>
      <c r="G118" s="170"/>
      <c r="H118" s="170"/>
      <c r="I118" s="86" t="s">
        <v>393</v>
      </c>
      <c r="J118" s="87"/>
      <c r="K118" s="87"/>
      <c r="L118" s="87"/>
      <c r="M118" s="87"/>
      <c r="N118" s="87"/>
      <c r="O118" s="25">
        <v>45553</v>
      </c>
      <c r="R118"/>
      <c r="S118">
        <v>800000</v>
      </c>
      <c r="T118">
        <v>150000</v>
      </c>
      <c r="U118">
        <v>100000</v>
      </c>
      <c r="V118">
        <v>100000</v>
      </c>
    </row>
    <row r="119" spans="1:22" ht="15.75" hidden="1" customHeight="1" x14ac:dyDescent="0.3">
      <c r="A119" s="114" t="s">
        <v>156</v>
      </c>
      <c r="B119" s="114"/>
      <c r="C119" s="114"/>
      <c r="D119" s="114"/>
      <c r="E119" s="114"/>
      <c r="F119" s="170"/>
      <c r="G119" s="170"/>
      <c r="H119" s="170"/>
      <c r="I119" s="82"/>
      <c r="J119" s="83"/>
      <c r="K119" s="83"/>
      <c r="L119" s="83"/>
      <c r="M119" s="83"/>
      <c r="N119" s="83"/>
      <c r="R119"/>
      <c r="S119">
        <v>900000</v>
      </c>
      <c r="T119">
        <v>200000</v>
      </c>
      <c r="U119">
        <v>150000</v>
      </c>
      <c r="V119">
        <v>150000</v>
      </c>
    </row>
    <row r="120" spans="1:22" ht="15.75" hidden="1" customHeight="1" x14ac:dyDescent="0.3">
      <c r="A120" s="114" t="s">
        <v>158</v>
      </c>
      <c r="B120" s="114"/>
      <c r="C120" s="114"/>
      <c r="D120" s="114"/>
      <c r="E120" s="114"/>
      <c r="F120" s="170"/>
      <c r="G120" s="170"/>
      <c r="H120" s="170"/>
      <c r="I120" s="82"/>
      <c r="J120" s="83"/>
      <c r="K120" s="83"/>
      <c r="L120" s="83"/>
      <c r="M120" s="83"/>
      <c r="N120" s="83"/>
      <c r="R120"/>
      <c r="S120">
        <v>1000000</v>
      </c>
      <c r="T120">
        <v>250000</v>
      </c>
      <c r="U120">
        <v>200000</v>
      </c>
      <c r="V120">
        <v>200000</v>
      </c>
    </row>
    <row r="121" spans="1:22" s="33" customFormat="1" x14ac:dyDescent="0.3">
      <c r="A121" s="114" t="s">
        <v>392</v>
      </c>
      <c r="B121" s="114"/>
      <c r="C121" s="114"/>
      <c r="D121" s="114"/>
      <c r="E121" s="114"/>
      <c r="F121" s="170">
        <v>100</v>
      </c>
      <c r="G121" s="170"/>
      <c r="H121" s="170"/>
      <c r="I121" s="86" t="s">
        <v>396</v>
      </c>
      <c r="J121" s="87"/>
      <c r="K121" s="87"/>
      <c r="L121" s="87"/>
      <c r="M121" s="87"/>
      <c r="N121" s="87"/>
      <c r="R121"/>
      <c r="S121">
        <v>1100000</v>
      </c>
      <c r="T121">
        <v>300000</v>
      </c>
      <c r="U121">
        <v>250000</v>
      </c>
      <c r="V121" s="23">
        <v>250000</v>
      </c>
    </row>
    <row r="122" spans="1:22" s="33" customFormat="1" ht="15.75" hidden="1" customHeight="1" x14ac:dyDescent="0.3">
      <c r="A122" s="114" t="s">
        <v>92</v>
      </c>
      <c r="B122" s="114"/>
      <c r="C122" s="114"/>
      <c r="D122" s="114"/>
      <c r="E122" s="114"/>
      <c r="F122" s="170"/>
      <c r="G122" s="170"/>
      <c r="H122" s="170"/>
      <c r="I122" s="86"/>
      <c r="J122" s="87"/>
      <c r="K122" s="87"/>
      <c r="L122" s="87"/>
      <c r="M122" s="87"/>
      <c r="N122" s="87"/>
      <c r="R122"/>
      <c r="S122">
        <v>1200000</v>
      </c>
      <c r="T122">
        <v>350000</v>
      </c>
      <c r="U122">
        <v>300000</v>
      </c>
      <c r="V122">
        <v>300000</v>
      </c>
    </row>
    <row r="123" spans="1:22" s="33" customFormat="1" x14ac:dyDescent="0.3">
      <c r="A123" s="114" t="s">
        <v>391</v>
      </c>
      <c r="B123" s="114"/>
      <c r="C123" s="114"/>
      <c r="D123" s="114"/>
      <c r="E123" s="114"/>
      <c r="F123" s="170">
        <v>400000</v>
      </c>
      <c r="G123" s="170"/>
      <c r="H123" s="170"/>
      <c r="I123" s="86"/>
      <c r="J123" s="87"/>
      <c r="K123" s="87"/>
      <c r="L123" s="87"/>
      <c r="M123" s="87"/>
      <c r="N123" s="87"/>
      <c r="R123"/>
      <c r="S123">
        <v>1300000</v>
      </c>
      <c r="T123">
        <v>400000</v>
      </c>
      <c r="U123">
        <v>350000</v>
      </c>
      <c r="V123" s="23">
        <v>400000</v>
      </c>
    </row>
    <row r="124" spans="1:22" s="33" customFormat="1" hidden="1" x14ac:dyDescent="0.3">
      <c r="A124" s="114" t="s">
        <v>93</v>
      </c>
      <c r="B124" s="114"/>
      <c r="C124" s="114"/>
      <c r="D124" s="114"/>
      <c r="E124" s="114"/>
      <c r="F124" s="170"/>
      <c r="G124" s="170"/>
      <c r="H124" s="170"/>
      <c r="R124"/>
      <c r="S124">
        <v>1400000</v>
      </c>
      <c r="T124">
        <v>500000</v>
      </c>
      <c r="U124">
        <v>400000</v>
      </c>
      <c r="V124"/>
    </row>
    <row r="125" spans="1:22" s="33" customFormat="1" hidden="1" x14ac:dyDescent="0.3">
      <c r="A125" s="114" t="s">
        <v>94</v>
      </c>
      <c r="B125" s="114"/>
      <c r="C125" s="114"/>
      <c r="D125" s="114"/>
      <c r="E125" s="114"/>
      <c r="F125" s="170"/>
      <c r="G125" s="170"/>
      <c r="H125" s="170"/>
      <c r="R125"/>
      <c r="S125">
        <v>1500000</v>
      </c>
      <c r="T125">
        <v>600000</v>
      </c>
      <c r="U125">
        <v>500000</v>
      </c>
      <c r="V125" s="23"/>
    </row>
    <row r="126" spans="1:22" s="33" customFormat="1" hidden="1" x14ac:dyDescent="0.3">
      <c r="A126" s="85" t="s">
        <v>95</v>
      </c>
      <c r="B126" s="85"/>
      <c r="C126" s="85"/>
      <c r="D126" s="85"/>
      <c r="E126" s="85"/>
      <c r="F126" s="170"/>
      <c r="G126" s="170"/>
      <c r="H126" s="170"/>
      <c r="R126"/>
      <c r="S126">
        <v>1600000</v>
      </c>
      <c r="T126">
        <v>700000</v>
      </c>
      <c r="U126">
        <v>600000</v>
      </c>
      <c r="V126"/>
    </row>
    <row r="127" spans="1:22" s="33" customFormat="1" x14ac:dyDescent="0.3">
      <c r="A127" s="85" t="s">
        <v>96</v>
      </c>
      <c r="B127" s="85"/>
      <c r="C127" s="85"/>
      <c r="D127" s="85"/>
      <c r="E127" s="85"/>
      <c r="F127" s="170">
        <v>100000</v>
      </c>
      <c r="G127" s="170"/>
      <c r="H127" s="170"/>
      <c r="R127"/>
      <c r="S127">
        <v>1700000</v>
      </c>
      <c r="T127">
        <v>800000</v>
      </c>
      <c r="U127"/>
      <c r="V127" s="23"/>
    </row>
    <row r="128" spans="1:22" x14ac:dyDescent="0.3">
      <c r="A128" s="85" t="s">
        <v>49</v>
      </c>
      <c r="B128" s="85"/>
      <c r="C128" s="85"/>
      <c r="D128" s="85"/>
      <c r="E128" s="85"/>
      <c r="F128" s="170">
        <v>400000</v>
      </c>
      <c r="G128" s="170"/>
      <c r="H128" s="170"/>
      <c r="R128"/>
      <c r="S128">
        <v>1800000</v>
      </c>
      <c r="T128">
        <v>900000</v>
      </c>
      <c r="U128"/>
    </row>
    <row r="129" spans="1:22" s="34" customFormat="1" x14ac:dyDescent="0.3">
      <c r="A129" s="123" t="s">
        <v>50</v>
      </c>
      <c r="B129" s="123"/>
      <c r="C129" s="123"/>
      <c r="D129" s="123"/>
      <c r="E129" s="123"/>
      <c r="F129" s="170">
        <f>F118*0.8</f>
        <v>5760</v>
      </c>
      <c r="G129" s="170"/>
      <c r="H129" s="170"/>
      <c r="R129" s="21"/>
      <c r="S129" s="21"/>
      <c r="T129">
        <v>1000000</v>
      </c>
      <c r="U129"/>
      <c r="V129" s="21"/>
    </row>
    <row r="130" spans="1:22" s="35" customFormat="1" ht="15.75" hidden="1" customHeight="1" x14ac:dyDescent="0.3">
      <c r="A130" s="160" t="s">
        <v>72</v>
      </c>
      <c r="B130" s="160"/>
      <c r="C130" s="160"/>
      <c r="D130" s="160"/>
      <c r="E130" s="160"/>
      <c r="F130" s="160"/>
      <c r="G130" s="160"/>
      <c r="H130" s="160"/>
      <c r="R130"/>
      <c r="S130" s="21"/>
      <c r="T130"/>
      <c r="U130"/>
      <c r="V130" s="21"/>
    </row>
    <row r="131" spans="1:22" s="35" customFormat="1" ht="15.75" hidden="1" customHeight="1" x14ac:dyDescent="0.3">
      <c r="A131" s="172" t="s">
        <v>51</v>
      </c>
      <c r="B131" s="172"/>
      <c r="C131" s="161" t="s">
        <v>75</v>
      </c>
      <c r="D131" s="161"/>
      <c r="E131" s="171" t="s">
        <v>52</v>
      </c>
      <c r="F131" s="171"/>
      <c r="G131" s="172" t="s">
        <v>53</v>
      </c>
      <c r="H131" s="172"/>
      <c r="R131"/>
      <c r="S131" s="21"/>
      <c r="T131"/>
      <c r="U131" s="21"/>
      <c r="V131" s="21"/>
    </row>
    <row r="132" spans="1:22" s="35" customFormat="1" hidden="1" x14ac:dyDescent="0.3">
      <c r="A132" s="237"/>
      <c r="B132" s="237"/>
      <c r="C132" s="110"/>
      <c r="D132" s="110"/>
      <c r="E132" s="113"/>
      <c r="F132" s="113"/>
      <c r="G132" s="159"/>
      <c r="H132" s="159"/>
      <c r="R132"/>
      <c r="S132" s="21"/>
      <c r="T132"/>
      <c r="U132" s="21"/>
      <c r="V132" s="21"/>
    </row>
    <row r="133" spans="1:22" s="35" customFormat="1" hidden="1" x14ac:dyDescent="0.3">
      <c r="A133" s="237"/>
      <c r="B133" s="237"/>
      <c r="C133" s="110"/>
      <c r="D133" s="110"/>
      <c r="E133" s="113"/>
      <c r="F133" s="113"/>
      <c r="G133" s="159"/>
      <c r="H133" s="159"/>
      <c r="R133"/>
      <c r="S133" s="21"/>
      <c r="T133"/>
      <c r="U133" s="21"/>
      <c r="V133" s="21"/>
    </row>
    <row r="134" spans="1:22" s="35" customFormat="1" hidden="1" x14ac:dyDescent="0.3">
      <c r="A134" s="160" t="s">
        <v>149</v>
      </c>
      <c r="B134" s="160"/>
      <c r="C134" s="161"/>
      <c r="D134" s="161"/>
      <c r="E134" s="171"/>
      <c r="F134" s="171"/>
      <c r="G134" s="172"/>
      <c r="H134" s="172"/>
      <c r="R134"/>
      <c r="S134" s="21"/>
      <c r="T134"/>
      <c r="U134" s="21"/>
      <c r="V134" s="21"/>
    </row>
    <row r="135" spans="1:22" s="35" customFormat="1" x14ac:dyDescent="0.3">
      <c r="A135" s="160" t="s">
        <v>67</v>
      </c>
      <c r="B135" s="160"/>
      <c r="C135" s="160"/>
      <c r="D135" s="160"/>
      <c r="E135" s="160"/>
      <c r="F135" s="160"/>
      <c r="G135" s="160"/>
      <c r="H135" s="160"/>
      <c r="T135"/>
    </row>
    <row r="136" spans="1:22" s="35" customFormat="1" ht="15.75" customHeight="1" x14ac:dyDescent="0.3">
      <c r="A136" s="172" t="s">
        <v>51</v>
      </c>
      <c r="B136" s="172"/>
      <c r="C136" s="161" t="s">
        <v>75</v>
      </c>
      <c r="D136" s="161"/>
      <c r="E136" s="171" t="s">
        <v>52</v>
      </c>
      <c r="F136" s="171"/>
      <c r="G136" s="172" t="s">
        <v>53</v>
      </c>
      <c r="H136" s="172"/>
      <c r="T136"/>
    </row>
    <row r="137" spans="1:22" s="35" customFormat="1" ht="16.2" thickBot="1" x14ac:dyDescent="0.35">
      <c r="A137" s="236" t="s">
        <v>381</v>
      </c>
      <c r="B137" s="236"/>
      <c r="C137" s="94">
        <f>COUNT(D148:D151)*9+COUNT(D153,D155:D156)*3+COUNT(D158:D161)*2+COUNT(D168:D171)*4+COUNT(D173:D176)*2</f>
        <v>77</v>
      </c>
      <c r="D137" s="94"/>
      <c r="E137" s="94">
        <f t="shared" ref="E137" si="0">SUM(F148:F151)*9+SUM(F153,F155:F156)*3+SUM(F158:F161)*2+SUM(F168:F171)*4+SUM(F173:F176)*2</f>
        <v>53998.224929999997</v>
      </c>
      <c r="F137" s="94"/>
      <c r="G137" s="94">
        <f t="shared" ref="G137" si="1">SUM(H148:H151)*9+SUM(H153,H155:H156)*3+SUM(H158:H161)*2+SUM(H168:H171)*4+SUM(H173:H176)*2</f>
        <v>80997.337394999995</v>
      </c>
      <c r="H137" s="94"/>
      <c r="T137"/>
    </row>
    <row r="138" spans="1:22" s="35" customFormat="1" ht="16.2" hidden="1" thickBot="1" x14ac:dyDescent="0.35">
      <c r="A138" s="236"/>
      <c r="B138" s="236"/>
      <c r="C138" s="94"/>
      <c r="D138" s="94"/>
      <c r="E138" s="94"/>
      <c r="F138" s="94"/>
      <c r="G138" s="94"/>
      <c r="H138" s="94"/>
      <c r="T138"/>
    </row>
    <row r="139" spans="1:22" s="35" customFormat="1" ht="16.2" hidden="1" thickBot="1" x14ac:dyDescent="0.35">
      <c r="A139" s="156" t="s">
        <v>149</v>
      </c>
      <c r="B139" s="156"/>
      <c r="C139" s="251"/>
      <c r="D139" s="251"/>
      <c r="E139" s="157"/>
      <c r="F139" s="157"/>
      <c r="G139" s="158"/>
      <c r="H139" s="158"/>
      <c r="T139"/>
    </row>
    <row r="140" spans="1:22" s="35" customFormat="1" ht="16.2" thickBot="1" x14ac:dyDescent="0.35">
      <c r="A140" s="111" t="s">
        <v>165</v>
      </c>
      <c r="B140" s="112"/>
      <c r="C140" s="102">
        <f>C138+C137</f>
        <v>77</v>
      </c>
      <c r="D140" s="103"/>
      <c r="E140" s="102">
        <f t="shared" ref="E140" si="2">E138+E137</f>
        <v>53998.224929999997</v>
      </c>
      <c r="F140" s="103"/>
      <c r="G140" s="102">
        <f t="shared" ref="G140" si="3">G138+G137</f>
        <v>80997.337394999995</v>
      </c>
      <c r="H140" s="103"/>
      <c r="T140"/>
    </row>
    <row r="141" spans="1:22" s="34" customFormat="1" x14ac:dyDescent="0.3">
      <c r="A141" s="247" t="s">
        <v>54</v>
      </c>
      <c r="B141" s="247"/>
      <c r="C141" s="247"/>
      <c r="D141" s="247"/>
      <c r="E141" s="247"/>
      <c r="F141" s="247"/>
      <c r="G141" s="247"/>
      <c r="H141" s="247"/>
      <c r="T141" s="35"/>
    </row>
    <row r="142" spans="1:22" ht="47.25" customHeight="1" x14ac:dyDescent="0.3">
      <c r="A142" s="248" t="s">
        <v>389</v>
      </c>
      <c r="B142" s="239" t="s">
        <v>174</v>
      </c>
      <c r="C142" s="239" t="s">
        <v>55</v>
      </c>
      <c r="D142" s="239" t="s">
        <v>228</v>
      </c>
      <c r="E142" s="239" t="s">
        <v>388</v>
      </c>
      <c r="F142" s="239" t="s">
        <v>56</v>
      </c>
      <c r="G142" s="241" t="s">
        <v>57</v>
      </c>
      <c r="H142" s="76" t="s">
        <v>147</v>
      </c>
      <c r="I142" s="36"/>
      <c r="T142" s="37"/>
    </row>
    <row r="143" spans="1:22" s="37" customFormat="1" x14ac:dyDescent="0.3">
      <c r="A143" s="249"/>
      <c r="B143" s="240"/>
      <c r="C143" s="240"/>
      <c r="D143" s="240"/>
      <c r="E143" s="240"/>
      <c r="F143" s="240"/>
      <c r="G143" s="242"/>
      <c r="H143" s="77">
        <v>0.5</v>
      </c>
      <c r="I143" s="36"/>
    </row>
    <row r="144" spans="1:22" s="37" customFormat="1" x14ac:dyDescent="0.3">
      <c r="A144" s="98" t="s">
        <v>349</v>
      </c>
      <c r="B144" s="99"/>
      <c r="C144" s="99"/>
      <c r="D144" s="99"/>
      <c r="E144" s="99"/>
      <c r="F144" s="99"/>
      <c r="G144" s="99"/>
      <c r="H144" s="100"/>
      <c r="J144" s="36"/>
    </row>
    <row r="145" spans="1:20" s="37" customFormat="1" x14ac:dyDescent="0.3">
      <c r="A145" s="98" t="s">
        <v>346</v>
      </c>
      <c r="B145" s="99"/>
      <c r="C145" s="99"/>
      <c r="D145" s="99"/>
      <c r="E145" s="99"/>
      <c r="F145" s="99"/>
      <c r="G145" s="99"/>
      <c r="H145" s="100"/>
      <c r="J145" s="36"/>
    </row>
    <row r="146" spans="1:20" s="37" customFormat="1" x14ac:dyDescent="0.3">
      <c r="A146" s="95" t="s">
        <v>382</v>
      </c>
      <c r="B146" s="96"/>
      <c r="C146" s="96"/>
      <c r="D146" s="96"/>
      <c r="E146" s="96"/>
      <c r="F146" s="96"/>
      <c r="G146" s="96"/>
      <c r="H146" s="97"/>
      <c r="J146" s="36"/>
    </row>
    <row r="147" spans="1:20" s="37" customFormat="1" x14ac:dyDescent="0.3">
      <c r="A147" s="95" t="s">
        <v>394</v>
      </c>
      <c r="B147" s="96"/>
      <c r="C147" s="96"/>
      <c r="D147" s="96"/>
      <c r="E147" s="96"/>
      <c r="F147" s="96"/>
      <c r="G147" s="96"/>
      <c r="H147" s="97"/>
      <c r="I147" s="37">
        <f>9</f>
        <v>9</v>
      </c>
      <c r="J147" s="36"/>
    </row>
    <row r="148" spans="1:20" s="37" customFormat="1" ht="15.75" customHeight="1" x14ac:dyDescent="0.3">
      <c r="A148" s="92">
        <v>1</v>
      </c>
      <c r="B148" s="93"/>
      <c r="C148" s="42" t="s">
        <v>347</v>
      </c>
      <c r="D148" s="42">
        <f>(4.65*2.9+5.25*2.3+2.75*(3.2+4.25)+2*1.35+1.2*1.85+0.9*3.1)*10.764</f>
        <v>578.64572999999996</v>
      </c>
      <c r="E148" s="42">
        <f>(0.75*(2.9+2.3+2.75+2.75))*10.764</f>
        <v>86.381099999999975</v>
      </c>
      <c r="F148" s="42">
        <f>D148+E148</f>
        <v>665.0268299999999</v>
      </c>
      <c r="G148" s="42">
        <v>0</v>
      </c>
      <c r="H148" s="42">
        <f>F148*(($H$143)+1)+(IF(G148&lt;101,G148,IF(G148&lt;201,G148/2,IF(G148&lt;=301,G148/3,G148/4))))</f>
        <v>997.54024499999991</v>
      </c>
      <c r="I148" s="36"/>
      <c r="J148" s="42">
        <v>10.763999999999999</v>
      </c>
      <c r="L148" s="91"/>
      <c r="M148" s="91"/>
      <c r="N148" s="36"/>
    </row>
    <row r="149" spans="1:20" s="37" customFormat="1" ht="15.75" customHeight="1" x14ac:dyDescent="0.3">
      <c r="A149" s="92">
        <f>A148+1</f>
        <v>2</v>
      </c>
      <c r="B149" s="93"/>
      <c r="C149" s="42" t="s">
        <v>347</v>
      </c>
      <c r="D149" s="42">
        <f>(4.8*3.2+5.25*2.3+2.75*(3.2+4.25)+1.2*2.45+2*1.35+0.9*3.1)*10.764</f>
        <v>606.57830999999999</v>
      </c>
      <c r="E149" s="42">
        <f>(0.75*(2.9+2.3+2.75+2.75))*10.764</f>
        <v>86.381099999999975</v>
      </c>
      <c r="F149" s="42">
        <f>D149+E149</f>
        <v>692.95940999999993</v>
      </c>
      <c r="G149" s="42">
        <v>0</v>
      </c>
      <c r="H149" s="42">
        <f>F149*(($H$143)+1)+(IF(G149&lt;101,G149,IF(G149&lt;201,G149/2,IF(G149&lt;=301,G149/3,G149/4))))</f>
        <v>1039.4391149999999</v>
      </c>
      <c r="I149" s="36"/>
      <c r="L149" s="91"/>
      <c r="M149" s="91"/>
      <c r="N149" s="36"/>
    </row>
    <row r="150" spans="1:20" s="37" customFormat="1" ht="15.75" customHeight="1" x14ac:dyDescent="0.3">
      <c r="A150" s="92">
        <f>A149+1</f>
        <v>3</v>
      </c>
      <c r="B150" s="93"/>
      <c r="C150" s="42" t="s">
        <v>347</v>
      </c>
      <c r="D150" s="42">
        <f>(4.8*3.2+5.25*2.3+2.75*(3.2+4.25)+1.2*2.45+2*1.35+0.9*3.1)*10.764</f>
        <v>606.57830999999999</v>
      </c>
      <c r="E150" s="42">
        <f>(0.75*(3.2+2.3+2.75+2.75))*10.764</f>
        <v>88.802999999999997</v>
      </c>
      <c r="F150" s="42">
        <f>D150+E150</f>
        <v>695.38130999999998</v>
      </c>
      <c r="G150" s="42">
        <v>0</v>
      </c>
      <c r="H150" s="42">
        <f>F150*(($H$143)+1)+(IF(G150&lt;101,G150,IF(G150&lt;201,G150/2,IF(G150&lt;=301,G150/3,G150/4))))</f>
        <v>1043.0719650000001</v>
      </c>
      <c r="I150" s="36"/>
      <c r="L150" s="91"/>
      <c r="M150" s="91"/>
      <c r="N150" s="36"/>
    </row>
    <row r="151" spans="1:20" s="37" customFormat="1" ht="15.75" customHeight="1" x14ac:dyDescent="0.3">
      <c r="A151" s="92">
        <f>A150+1</f>
        <v>4</v>
      </c>
      <c r="B151" s="93"/>
      <c r="C151" s="42" t="s">
        <v>347</v>
      </c>
      <c r="D151" s="42">
        <f>(4.65*2.9+5.25*2.3+(3.2+4.1)*2.75+1.2*1.85+2*1.35+0.9*3.1)*10.764</f>
        <v>574.20558000000005</v>
      </c>
      <c r="E151" s="42">
        <f>(0.75*(2.9+2.3+2.75+2.75))*10.764</f>
        <v>86.381099999999975</v>
      </c>
      <c r="F151" s="42">
        <f>D151+E151</f>
        <v>660.58668</v>
      </c>
      <c r="G151" s="42">
        <v>0</v>
      </c>
      <c r="H151" s="42">
        <f>F151*(($H$143)+1)+(IF(G151&lt;101,G151,IF(G151&lt;201,G151/2,IF(G151&lt;=301,G151/3,G151/4))))</f>
        <v>990.88002000000006</v>
      </c>
      <c r="I151" s="36"/>
      <c r="L151" s="91"/>
      <c r="M151" s="91"/>
      <c r="N151" s="36"/>
      <c r="T151" s="21"/>
    </row>
    <row r="152" spans="1:20" s="37" customFormat="1" x14ac:dyDescent="0.3">
      <c r="A152" s="95" t="s">
        <v>378</v>
      </c>
      <c r="B152" s="96"/>
      <c r="C152" s="96"/>
      <c r="D152" s="96"/>
      <c r="E152" s="96"/>
      <c r="F152" s="96"/>
      <c r="G152" s="96"/>
      <c r="H152" s="97"/>
      <c r="I152" s="37">
        <v>3</v>
      </c>
      <c r="J152" s="36"/>
    </row>
    <row r="153" spans="1:20" s="37" customFormat="1" ht="15.75" customHeight="1" x14ac:dyDescent="0.3">
      <c r="A153" s="92">
        <v>1</v>
      </c>
      <c r="B153" s="93"/>
      <c r="C153" s="42" t="s">
        <v>352</v>
      </c>
      <c r="D153" s="42">
        <f>(4.65*2.9+5.25*2.3+3.2*(2.75+4.1)+(4.25+4.25)*2.75+2*1.35+2*1.35+1.2*2.45+1.2*1.85+0.9*3.1+4.15*1.2+0.9*4.2)*10.764</f>
        <v>1000.6752600000001</v>
      </c>
      <c r="E153" s="42">
        <f>(0.75*(2.9+2.3+2.75+2.75+2.75+4.1))*10.764</f>
        <v>141.68114999999997</v>
      </c>
      <c r="F153" s="42">
        <f>D153+E153</f>
        <v>1142.3564100000001</v>
      </c>
      <c r="G153" s="42">
        <v>0</v>
      </c>
      <c r="H153" s="42">
        <f>F153*(($H$143)+1)+(IF(G153&lt;101,G153,IF(G153&lt;201,G153/2,IF(G153&lt;=301,G153/3,G153/4))))</f>
        <v>1713.534615</v>
      </c>
      <c r="I153" s="36"/>
      <c r="L153" s="91"/>
      <c r="M153" s="91"/>
      <c r="N153" s="36"/>
    </row>
    <row r="154" spans="1:20" s="37" customFormat="1" ht="15.75" customHeight="1" x14ac:dyDescent="0.3">
      <c r="A154" s="92" t="s">
        <v>350</v>
      </c>
      <c r="B154" s="93"/>
      <c r="C154" s="92" t="s">
        <v>351</v>
      </c>
      <c r="D154" s="109"/>
      <c r="E154" s="109"/>
      <c r="F154" s="109"/>
      <c r="G154" s="109"/>
      <c r="H154" s="93"/>
      <c r="I154" s="36"/>
      <c r="L154" s="91"/>
      <c r="M154" s="91"/>
      <c r="N154" s="36"/>
    </row>
    <row r="155" spans="1:20" s="37" customFormat="1" ht="15.75" customHeight="1" x14ac:dyDescent="0.3">
      <c r="A155" s="92">
        <v>3</v>
      </c>
      <c r="B155" s="93"/>
      <c r="C155" s="42" t="s">
        <v>347</v>
      </c>
      <c r="D155" s="42">
        <f>(4.8*3.2+5.25*2.3+2.75*(3.2+4.25)+1.2*2.45+2*1.35+0.9*3.1)*10.764</f>
        <v>606.57830999999999</v>
      </c>
      <c r="E155" s="42">
        <f>(0.75*(3.2+2.3+2.75+2.75))*10.764</f>
        <v>88.802999999999997</v>
      </c>
      <c r="F155" s="42">
        <f>D155+E155</f>
        <v>695.38130999999998</v>
      </c>
      <c r="G155" s="42">
        <v>0</v>
      </c>
      <c r="H155" s="42">
        <f>F155*(($H$143)+1)+(IF(G155&lt;101,G155,IF(G155&lt;201,G155/2,IF(G155&lt;=301,G155/3,G155/4))))</f>
        <v>1043.0719650000001</v>
      </c>
      <c r="I155" s="36"/>
      <c r="L155" s="91"/>
      <c r="M155" s="91"/>
      <c r="N155" s="36"/>
    </row>
    <row r="156" spans="1:20" s="37" customFormat="1" ht="15.75" customHeight="1" x14ac:dyDescent="0.3">
      <c r="A156" s="92">
        <f>A155+1</f>
        <v>4</v>
      </c>
      <c r="B156" s="93"/>
      <c r="C156" s="42" t="s">
        <v>347</v>
      </c>
      <c r="D156" s="42">
        <f>(4.65*2.9+5.25*2.3+2.75*(3.2+4.1)+1.2*1.85+2*1.35+0.9*3.1)*10.764</f>
        <v>574.20558000000005</v>
      </c>
      <c r="E156" s="42">
        <f>(0.75*(2.9+2.3+2.75+2.75))*10.764</f>
        <v>86.381099999999975</v>
      </c>
      <c r="F156" s="42">
        <f>D156+E156</f>
        <v>660.58668</v>
      </c>
      <c r="G156" s="42">
        <v>0</v>
      </c>
      <c r="H156" s="42">
        <f>F156*(($H$143)+1)+(IF(G156&lt;101,G156,IF(G156&lt;201,G156/2,IF(G156&lt;=301,G156/3,G156/4))))</f>
        <v>990.88002000000006</v>
      </c>
      <c r="I156" s="36"/>
      <c r="L156" s="91"/>
      <c r="M156" s="91"/>
      <c r="N156" s="36"/>
      <c r="T156" s="21"/>
    </row>
    <row r="157" spans="1:20" s="37" customFormat="1" x14ac:dyDescent="0.3">
      <c r="A157" s="95" t="s">
        <v>377</v>
      </c>
      <c r="B157" s="96"/>
      <c r="C157" s="96"/>
      <c r="D157" s="96"/>
      <c r="E157" s="96"/>
      <c r="F157" s="96"/>
      <c r="G157" s="96"/>
      <c r="H157" s="97"/>
      <c r="I157" s="37">
        <v>2</v>
      </c>
      <c r="J157" s="36"/>
    </row>
    <row r="158" spans="1:20" s="37" customFormat="1" ht="15.75" customHeight="1" x14ac:dyDescent="0.3">
      <c r="A158" s="92">
        <v>1</v>
      </c>
      <c r="B158" s="93"/>
      <c r="C158" s="42" t="s">
        <v>347</v>
      </c>
      <c r="D158" s="42">
        <f>(4.65*2.9+5.25*2.3+2.75*(3.2+4.25)+2*1.35+1.2*1.85+0.9*3.1)*10.764</f>
        <v>578.64572999999996</v>
      </c>
      <c r="E158" s="42">
        <f>(0.75*(2.9+2.3+2.75+2.75))*10.764</f>
        <v>86.381099999999975</v>
      </c>
      <c r="F158" s="42">
        <f>D158+E158</f>
        <v>665.0268299999999</v>
      </c>
      <c r="G158" s="42">
        <v>0</v>
      </c>
      <c r="H158" s="42">
        <f>F158*(($H$143)+1)+(IF(G158&lt;101,G158,IF(G158&lt;201,G158/2,IF(G158&lt;=301,G158/3,G158/4))))</f>
        <v>997.54024499999991</v>
      </c>
      <c r="I158" s="36"/>
      <c r="L158" s="91"/>
      <c r="M158" s="91"/>
      <c r="N158" s="36"/>
    </row>
    <row r="159" spans="1:20" s="37" customFormat="1" ht="15.75" customHeight="1" x14ac:dyDescent="0.3">
      <c r="A159" s="92">
        <f>A158+1</f>
        <v>2</v>
      </c>
      <c r="B159" s="93"/>
      <c r="C159" s="42" t="s">
        <v>347</v>
      </c>
      <c r="D159" s="42">
        <f>(4.8*3.2+5.25*2.3+2.75*(3.2+4.25)+1.2*2.45+2*1.35+0.9*3.1)*10.764</f>
        <v>606.57830999999999</v>
      </c>
      <c r="E159" s="42">
        <f>(0.75*(2.9+2.3+2.75+2.75))*10.764</f>
        <v>86.381099999999975</v>
      </c>
      <c r="F159" s="42">
        <f>D159+E159</f>
        <v>692.95940999999993</v>
      </c>
      <c r="G159" s="42">
        <v>0</v>
      </c>
      <c r="H159" s="42">
        <f>F159*(($H$143)+1)+(IF(G159&lt;101,G159,IF(G159&lt;201,G159/2,IF(G159&lt;=301,G159/3,G159/4))))</f>
        <v>1039.4391149999999</v>
      </c>
      <c r="I159" s="36"/>
      <c r="L159" s="91"/>
      <c r="M159" s="91"/>
      <c r="N159" s="36"/>
    </row>
    <row r="160" spans="1:20" s="37" customFormat="1" ht="15.75" customHeight="1" x14ac:dyDescent="0.3">
      <c r="A160" s="92">
        <f>A159+1</f>
        <v>3</v>
      </c>
      <c r="B160" s="93"/>
      <c r="C160" s="42" t="s">
        <v>347</v>
      </c>
      <c r="D160" s="42">
        <f>(4.8*3.2+5.25*2.3+2.75*(3.2+4.25)+1.2*2.45+2*1.35+0.9*3.1)*10.764</f>
        <v>606.57830999999999</v>
      </c>
      <c r="E160" s="42">
        <f>(0.75*(3.2+2.3+2.75+2.75))*10.764</f>
        <v>88.802999999999997</v>
      </c>
      <c r="F160" s="42">
        <f>D160+E160</f>
        <v>695.38130999999998</v>
      </c>
      <c r="G160" s="42">
        <v>0</v>
      </c>
      <c r="H160" s="42">
        <f>F160*(($H$143)+1)+(IF(G160&lt;101,G160,IF(G160&lt;201,G160/2,IF(G160&lt;=301,G160/3,G160/4))))</f>
        <v>1043.0719650000001</v>
      </c>
      <c r="I160" s="36"/>
      <c r="L160" s="91"/>
      <c r="M160" s="91"/>
      <c r="N160" s="36"/>
    </row>
    <row r="161" spans="1:20" s="37" customFormat="1" ht="15.75" customHeight="1" x14ac:dyDescent="0.3">
      <c r="A161" s="92">
        <f>A160+1</f>
        <v>4</v>
      </c>
      <c r="B161" s="93"/>
      <c r="C161" s="42" t="s">
        <v>347</v>
      </c>
      <c r="D161" s="42">
        <f>(4.65*2.9+5.25*2.3+(3.2+4.1)*2.75+1.2*1.85+2*1.35+0.9*3.1)*10.764</f>
        <v>574.20558000000005</v>
      </c>
      <c r="E161" s="42">
        <f>(0.75*(2.9+2.3+2.75+2.75))*10.764</f>
        <v>86.381099999999975</v>
      </c>
      <c r="F161" s="42">
        <f>D161+E161</f>
        <v>660.58668</v>
      </c>
      <c r="G161" s="42">
        <v>0</v>
      </c>
      <c r="H161" s="42">
        <f>F161*(($H$143)+1)+(IF(G161&lt;101,G161,IF(G161&lt;201,G161/2,IF(G161&lt;=301,G161/3,G161/4))))</f>
        <v>990.88002000000006</v>
      </c>
      <c r="I161" s="36"/>
      <c r="L161" s="91"/>
      <c r="M161" s="91"/>
      <c r="N161" s="36"/>
      <c r="T161" s="21"/>
    </row>
    <row r="162" spans="1:20" s="37" customFormat="1" x14ac:dyDescent="0.3">
      <c r="A162" s="95" t="s">
        <v>395</v>
      </c>
      <c r="B162" s="96"/>
      <c r="C162" s="96"/>
      <c r="D162" s="96"/>
      <c r="E162" s="96"/>
      <c r="F162" s="96"/>
      <c r="G162" s="96"/>
      <c r="H162" s="97"/>
      <c r="I162" s="37">
        <f>9</f>
        <v>9</v>
      </c>
      <c r="J162" s="36"/>
    </row>
    <row r="163" spans="1:20" s="37" customFormat="1" ht="15.75" customHeight="1" x14ac:dyDescent="0.3">
      <c r="A163" s="92">
        <v>1</v>
      </c>
      <c r="B163" s="93"/>
      <c r="C163" s="42" t="s">
        <v>347</v>
      </c>
      <c r="D163" s="42">
        <f>(4.65*2.9+5.25*2.3+2.75*(3.2+4.25)+2*1.35+1.2*1.85+0.9*3.1)*10.764</f>
        <v>578.64572999999996</v>
      </c>
      <c r="E163" s="42">
        <f>(0.75*(2.9+2.3+2.75+2.75))*10.764</f>
        <v>86.381099999999975</v>
      </c>
      <c r="F163" s="42">
        <f>D163+E163</f>
        <v>665.0268299999999</v>
      </c>
      <c r="G163" s="42">
        <v>0</v>
      </c>
      <c r="H163" s="42">
        <f>F163*1.61</f>
        <v>1070.6931963</v>
      </c>
      <c r="I163" s="36">
        <f>(6*100+7200)*H163+F123+F127+F128</f>
        <v>9251406.93114</v>
      </c>
      <c r="J163" s="101" t="s">
        <v>396</v>
      </c>
      <c r="K163" s="101"/>
      <c r="L163" s="101"/>
      <c r="M163" s="101"/>
      <c r="N163" s="101"/>
    </row>
    <row r="164" spans="1:20" s="37" customFormat="1" ht="15.75" customHeight="1" x14ac:dyDescent="0.3">
      <c r="A164" s="92">
        <f>A163+1</f>
        <v>2</v>
      </c>
      <c r="B164" s="93"/>
      <c r="C164" s="42" t="s">
        <v>347</v>
      </c>
      <c r="D164" s="42">
        <f>(4.8*3.2+5.25*2.3+2.75*(3.2+4.25)+1.2*2.45+2*1.35+0.9*3.1)*10.764</f>
        <v>606.57830999999999</v>
      </c>
      <c r="E164" s="42">
        <f>(0.75*(2.9+2.3+2.75+2.75))*10.764</f>
        <v>86.381099999999975</v>
      </c>
      <c r="F164" s="42">
        <f>D164+E164</f>
        <v>692.95940999999993</v>
      </c>
      <c r="G164" s="42">
        <v>0</v>
      </c>
      <c r="H164" s="42">
        <f>F164*(($H$143)+1)+(IF(G164&lt;101,G164,IF(G164&lt;201,G164/2,IF(G164&lt;=301,G164/3,G164/4))))</f>
        <v>1039.4391149999999</v>
      </c>
      <c r="I164" s="36"/>
      <c r="J164" s="101"/>
      <c r="K164" s="101"/>
      <c r="L164" s="101"/>
      <c r="M164" s="101"/>
      <c r="N164" s="101"/>
    </row>
    <row r="165" spans="1:20" s="37" customFormat="1" ht="15.75" customHeight="1" x14ac:dyDescent="0.3">
      <c r="A165" s="92">
        <f>A164+1</f>
        <v>3</v>
      </c>
      <c r="B165" s="93"/>
      <c r="C165" s="42" t="s">
        <v>347</v>
      </c>
      <c r="D165" s="42">
        <f>(4.8*3.2+5.25*2.3+2.75*(3.2+4.25)+1.2*2.45+2*1.35+0.9*3.1)*10.764</f>
        <v>606.57830999999999</v>
      </c>
      <c r="E165" s="42">
        <f>(0.75*(3.2+2.3+2.75+2.75))*10.764</f>
        <v>88.802999999999997</v>
      </c>
      <c r="F165" s="42">
        <f>D165+E165</f>
        <v>695.38130999999998</v>
      </c>
      <c r="G165" s="42">
        <v>0</v>
      </c>
      <c r="H165" s="42">
        <f>F165*(($H$143)+1)+(IF(G165&lt;101,G165,IF(G165&lt;201,G165/2,IF(G165&lt;=301,G165/3,G165/4))))</f>
        <v>1043.0719650000001</v>
      </c>
      <c r="I165" s="36"/>
      <c r="L165" s="91"/>
      <c r="M165" s="91"/>
      <c r="N165" s="36"/>
    </row>
    <row r="166" spans="1:20" s="37" customFormat="1" ht="15.75" customHeight="1" x14ac:dyDescent="0.3">
      <c r="A166" s="92">
        <f>A165+1</f>
        <v>4</v>
      </c>
      <c r="B166" s="93"/>
      <c r="C166" s="42" t="s">
        <v>347</v>
      </c>
      <c r="D166" s="42">
        <f>(4.65*2.9+5.25*2.3+(3.2+4.1)*2.75+1.2*1.85+2*1.35+0.9*3.1)*10.764</f>
        <v>574.20558000000005</v>
      </c>
      <c r="E166" s="42">
        <f>(0.75*(2.9+2.3+2.75+2.75))*10.764</f>
        <v>86.381099999999975</v>
      </c>
      <c r="F166" s="42">
        <f>D166+E166</f>
        <v>660.58668</v>
      </c>
      <c r="G166" s="42">
        <v>0</v>
      </c>
      <c r="H166" s="42">
        <f>F166*(($H$143)+1)+(IF(G166&lt;101,G166,IF(G166&lt;201,G166/2,IF(G166&lt;=301,G166/3,G166/4))))</f>
        <v>990.88002000000006</v>
      </c>
      <c r="I166" s="36"/>
      <c r="L166" s="91"/>
      <c r="M166" s="91"/>
      <c r="N166" s="36"/>
      <c r="T166" s="21"/>
    </row>
    <row r="167" spans="1:20" s="37" customFormat="1" x14ac:dyDescent="0.3">
      <c r="A167" s="95" t="s">
        <v>380</v>
      </c>
      <c r="B167" s="96"/>
      <c r="C167" s="96"/>
      <c r="D167" s="96"/>
      <c r="E167" s="96"/>
      <c r="F167" s="96"/>
      <c r="G167" s="96"/>
      <c r="H167" s="97"/>
      <c r="I167" s="37">
        <v>4</v>
      </c>
      <c r="J167" s="36"/>
    </row>
    <row r="168" spans="1:20" s="37" customFormat="1" ht="15.75" customHeight="1" x14ac:dyDescent="0.3">
      <c r="A168" s="92">
        <v>1</v>
      </c>
      <c r="B168" s="93"/>
      <c r="C168" s="42" t="s">
        <v>347</v>
      </c>
      <c r="D168" s="42">
        <f>(4.65*2.9+5.25*2.3+2.75*(3.2+4.25)+2*1.35+1.2*1.85+0.9*3.1)*10.764</f>
        <v>578.64572999999996</v>
      </c>
      <c r="E168" s="42">
        <f>(0.75*(2.9+2.3+2.75+2.75))*10.764</f>
        <v>86.381099999999975</v>
      </c>
      <c r="F168" s="42">
        <f>D168+E168</f>
        <v>665.0268299999999</v>
      </c>
      <c r="G168" s="42">
        <v>0</v>
      </c>
      <c r="H168" s="42">
        <f>F168*(($H$143)+1)+(IF(G168&lt;101,G168,IF(G168&lt;201,G168/2,IF(G168&lt;=301,G168/3,G168/4))))</f>
        <v>997.54024499999991</v>
      </c>
      <c r="I168" s="36"/>
      <c r="L168" s="91"/>
      <c r="M168" s="91"/>
      <c r="N168" s="36"/>
    </row>
    <row r="169" spans="1:20" s="37" customFormat="1" ht="15.75" customHeight="1" x14ac:dyDescent="0.3">
      <c r="A169" s="92">
        <f>A168+1</f>
        <v>2</v>
      </c>
      <c r="B169" s="93"/>
      <c r="C169" s="42" t="s">
        <v>347</v>
      </c>
      <c r="D169" s="42">
        <f>(4.8*3.2+5.25*2.3+2.75*(3.2+4.25)+2*1.35+1.2*2.45+0.9*3.1+2.15*1.2)*10.764</f>
        <v>634.34942999999998</v>
      </c>
      <c r="E169" s="42">
        <f>(0.75*(2.9+2.3+2.75+2.75))*10.764</f>
        <v>86.381099999999975</v>
      </c>
      <c r="F169" s="42">
        <f>D169+E169</f>
        <v>720.73052999999993</v>
      </c>
      <c r="G169" s="42">
        <v>0</v>
      </c>
      <c r="H169" s="42">
        <f>F169*(($H$143)+1)+(IF(G169&lt;101,G169,IF(G169&lt;201,G169/2,IF(G169&lt;=301,G169/3,G169/4))))</f>
        <v>1081.095795</v>
      </c>
      <c r="I169" s="36"/>
      <c r="L169" s="91"/>
      <c r="M169" s="91"/>
      <c r="N169" s="36"/>
    </row>
    <row r="170" spans="1:20" s="37" customFormat="1" ht="15.75" customHeight="1" x14ac:dyDescent="0.3">
      <c r="A170" s="92">
        <f>A169+1</f>
        <v>3</v>
      </c>
      <c r="B170" s="93"/>
      <c r="C170" s="42" t="s">
        <v>347</v>
      </c>
      <c r="D170" s="42">
        <f>(4.8*3.2+5.25*2.3+2.75*(3.2+4.25)+2*1.35+1.2*2.45+0.9*3.1)*10.764</f>
        <v>606.57830999999999</v>
      </c>
      <c r="E170" s="42">
        <f>(0.75*(2.9+2.3+2.75+2.75))*10.764</f>
        <v>86.381099999999975</v>
      </c>
      <c r="F170" s="42">
        <f>D170+E170</f>
        <v>692.95940999999993</v>
      </c>
      <c r="G170" s="42">
        <v>0</v>
      </c>
      <c r="H170" s="42">
        <f>F170*(($H$143)+1)+(IF(G170&lt;101,G170,IF(G170&lt;201,G170/2,IF(G170&lt;=301,G170/3,G170/4))))</f>
        <v>1039.4391149999999</v>
      </c>
      <c r="I170" s="36"/>
      <c r="L170" s="91"/>
      <c r="M170" s="91"/>
      <c r="N170" s="36"/>
    </row>
    <row r="171" spans="1:20" s="37" customFormat="1" ht="15.75" customHeight="1" x14ac:dyDescent="0.3">
      <c r="A171" s="92">
        <f>A170+1</f>
        <v>4</v>
      </c>
      <c r="B171" s="93"/>
      <c r="C171" s="42" t="s">
        <v>347</v>
      </c>
      <c r="D171" s="42">
        <f>(4.65*2.9+5.25*2.3+(3.2+4.1)*2.75+1.2*1.85+2*1.35+0.9*3.1)*10.764</f>
        <v>574.20558000000005</v>
      </c>
      <c r="E171" s="42">
        <f>(0.75*(2.9+2.3+2.75+2.75))*10.764</f>
        <v>86.381099999999975</v>
      </c>
      <c r="F171" s="42">
        <f>D171+E171</f>
        <v>660.58668</v>
      </c>
      <c r="G171" s="42">
        <v>0</v>
      </c>
      <c r="H171" s="42">
        <f>F171*(($H$143)+1)+(IF(G171&lt;101,G171,IF(G171&lt;201,G171/2,IF(G171&lt;=301,G171/3,G171/4))))</f>
        <v>990.88002000000006</v>
      </c>
      <c r="I171" s="36"/>
      <c r="L171" s="91"/>
      <c r="M171" s="91"/>
      <c r="N171" s="36"/>
      <c r="T171" s="21"/>
    </row>
    <row r="172" spans="1:20" s="37" customFormat="1" x14ac:dyDescent="0.3">
      <c r="A172" s="95" t="s">
        <v>379</v>
      </c>
      <c r="B172" s="96"/>
      <c r="C172" s="96"/>
      <c r="D172" s="96"/>
      <c r="E172" s="96"/>
      <c r="F172" s="96"/>
      <c r="G172" s="96"/>
      <c r="H172" s="97"/>
      <c r="I172" s="37">
        <v>2</v>
      </c>
      <c r="J172" s="36"/>
    </row>
    <row r="173" spans="1:20" s="37" customFormat="1" ht="15.75" customHeight="1" x14ac:dyDescent="0.3">
      <c r="A173" s="92">
        <v>1</v>
      </c>
      <c r="B173" s="93"/>
      <c r="C173" s="42" t="s">
        <v>347</v>
      </c>
      <c r="D173" s="42">
        <f>(4.65*2.9+5.25*2.3+2.75*(3.2+4.1)+2*1.35+1.2*1.85+0.9*3.1)*10.764</f>
        <v>574.20558000000005</v>
      </c>
      <c r="E173" s="42">
        <f>(0.75*(2.9+2.3+2.75+2.75))*10.764</f>
        <v>86.381099999999975</v>
      </c>
      <c r="F173" s="42">
        <f>D173+E173</f>
        <v>660.58668</v>
      </c>
      <c r="G173" s="42">
        <v>0</v>
      </c>
      <c r="H173" s="42">
        <f>F173*(($H$143)+1)+(IF(G173&lt;101,G173,IF(G173&lt;201,G173/2,IF(G173&lt;=301,G173/3,G173/4))))</f>
        <v>990.88002000000006</v>
      </c>
      <c r="I173" s="36"/>
      <c r="L173" s="91"/>
      <c r="M173" s="91"/>
      <c r="N173" s="36"/>
    </row>
    <row r="174" spans="1:20" s="37" customFormat="1" ht="15.75" customHeight="1" x14ac:dyDescent="0.3">
      <c r="A174" s="92">
        <f>A173+1</f>
        <v>2</v>
      </c>
      <c r="B174" s="93"/>
      <c r="C174" s="42" t="s">
        <v>347</v>
      </c>
      <c r="D174" s="42">
        <f>(4.8*3.2+5.25*2.3+2.75*(3.2+4.25)+2*1.35+1.2*2.45+0.9*3.1+2.15*1.2)*10.764</f>
        <v>634.34942999999998</v>
      </c>
      <c r="E174" s="42">
        <f>(0.9*(3.2+2.3+2.75+2.75))*10.764</f>
        <v>106.56359999999999</v>
      </c>
      <c r="F174" s="42">
        <f>D174+E174</f>
        <v>740.91302999999994</v>
      </c>
      <c r="G174" s="42">
        <v>0</v>
      </c>
      <c r="H174" s="42">
        <f>F174*(($H$143)+1)+(IF(G174&lt;101,G174,IF(G174&lt;201,G174/2,IF(G174&lt;=301,G174/3,G174/4))))</f>
        <v>1111.369545</v>
      </c>
      <c r="I174" s="36"/>
      <c r="L174" s="91"/>
      <c r="M174" s="91"/>
      <c r="N174" s="36"/>
    </row>
    <row r="175" spans="1:20" s="37" customFormat="1" ht="15.75" customHeight="1" x14ac:dyDescent="0.3">
      <c r="A175" s="92">
        <f>A174+1</f>
        <v>3</v>
      </c>
      <c r="B175" s="93"/>
      <c r="C175" s="42" t="s">
        <v>347</v>
      </c>
      <c r="D175" s="42">
        <f>(5.4*3.2+5.85*2.3+2.75*(3.8+4.85)+2*1.35+1.2*2.45+0.9*3.1)*10.764</f>
        <v>677.62070999999992</v>
      </c>
      <c r="E175" s="42">
        <f>(0.9*(3.2+2.3+2.75+2.75))*10.764</f>
        <v>106.56359999999999</v>
      </c>
      <c r="F175" s="42">
        <f>D175+E175</f>
        <v>784.18430999999987</v>
      </c>
      <c r="G175" s="42">
        <v>0</v>
      </c>
      <c r="H175" s="42">
        <f>F175*(($H$143)+1)+(IF(G175&lt;101,G175,IF(G175&lt;201,G175/2,IF(G175&lt;=301,G175/3,G175/4))))</f>
        <v>1176.2764649999999</v>
      </c>
      <c r="I175" s="36"/>
      <c r="L175" s="91"/>
      <c r="M175" s="91"/>
      <c r="N175" s="36"/>
    </row>
    <row r="176" spans="1:20" s="37" customFormat="1" ht="15.75" customHeight="1" x14ac:dyDescent="0.3">
      <c r="A176" s="92">
        <f>A175+1</f>
        <v>4</v>
      </c>
      <c r="B176" s="93"/>
      <c r="C176" s="42" t="s">
        <v>347</v>
      </c>
      <c r="D176" s="42">
        <f>(4.65*2.9+5.25*2.3+(3.2+4.1)*2.75+1.2*1.85+2*1.35+0.9*3.1)*10.764</f>
        <v>574.20558000000005</v>
      </c>
      <c r="E176" s="42">
        <f>(0.75*(2.9+2.3+2.75+2.75))*10.764</f>
        <v>86.381099999999975</v>
      </c>
      <c r="F176" s="42">
        <f>D176+E176</f>
        <v>660.58668</v>
      </c>
      <c r="G176" s="42">
        <v>0</v>
      </c>
      <c r="H176" s="42">
        <f>F176*(($H$143)+1)+(IF(G176&lt;101,G176,IF(G176&lt;201,G176/2,IF(G176&lt;=301,G176/3,G176/4))))</f>
        <v>990.88002000000006</v>
      </c>
      <c r="I176" s="36"/>
      <c r="L176" s="91"/>
      <c r="M176" s="91"/>
      <c r="N176" s="36"/>
      <c r="T176" s="21"/>
    </row>
    <row r="177" spans="1:20" s="37" customFormat="1" hidden="1" x14ac:dyDescent="0.3">
      <c r="A177" s="95" t="s">
        <v>355</v>
      </c>
      <c r="B177" s="96"/>
      <c r="C177" s="96"/>
      <c r="D177" s="96"/>
      <c r="E177" s="96"/>
      <c r="F177" s="96"/>
      <c r="G177" s="96"/>
      <c r="H177" s="97"/>
      <c r="J177" s="36"/>
    </row>
    <row r="178" spans="1:20" s="37" customFormat="1" ht="15.75" hidden="1" customHeight="1" x14ac:dyDescent="0.3">
      <c r="A178" s="92">
        <v>1</v>
      </c>
      <c r="B178" s="93"/>
      <c r="C178" s="42" t="s">
        <v>352</v>
      </c>
      <c r="D178" s="42">
        <f>(4.65*2.9+5.25*2.3+3.2*(2.75+4.25)+4.25*2.75+4.25*2.75+2*1.35+2*1.35+1.2*2.45+1.2*1.85+0.9*3.1+4.15*1.2+0.9*4.2)*10.764</f>
        <v>1005.8419800000001</v>
      </c>
      <c r="E178" s="42">
        <f>(0.75*(2.9+2.3+2.75+2.75+2.75+4.1))*10.764</f>
        <v>141.68114999999997</v>
      </c>
      <c r="F178" s="42">
        <f>D178+E178</f>
        <v>1147.52313</v>
      </c>
      <c r="G178" s="42">
        <v>0</v>
      </c>
      <c r="H178" s="42">
        <f>F178*(($H$143)+1)+(IF(G178&lt;101,G178,IF(G178&lt;201,G178/2,IF(G178&lt;=301,G178/3,G178/4))))</f>
        <v>1721.2846950000001</v>
      </c>
      <c r="I178" s="36"/>
      <c r="L178" s="91"/>
      <c r="M178" s="91"/>
      <c r="N178" s="36"/>
    </row>
    <row r="179" spans="1:20" s="37" customFormat="1" ht="15.75" hidden="1" customHeight="1" x14ac:dyDescent="0.3">
      <c r="A179" s="92" t="s">
        <v>350</v>
      </c>
      <c r="B179" s="93"/>
      <c r="C179" s="92" t="s">
        <v>351</v>
      </c>
      <c r="D179" s="109"/>
      <c r="E179" s="109"/>
      <c r="F179" s="109"/>
      <c r="G179" s="109"/>
      <c r="H179" s="93"/>
      <c r="I179" s="36"/>
      <c r="L179" s="91"/>
      <c r="M179" s="91"/>
      <c r="N179" s="36"/>
    </row>
    <row r="180" spans="1:20" s="37" customFormat="1" ht="15.75" hidden="1" customHeight="1" x14ac:dyDescent="0.3">
      <c r="A180" s="92">
        <v>3</v>
      </c>
      <c r="B180" s="93"/>
      <c r="C180" s="42" t="s">
        <v>347</v>
      </c>
      <c r="D180" s="42">
        <f>(4.8*3.2+5.25*2.3+2.75*(3.2+4.25)+1.2*2.45+2*1.35+0.9*3.1)*10.764</f>
        <v>606.57830999999999</v>
      </c>
      <c r="E180" s="42">
        <f>(0.75*(3.2+2.3+2.75+2.75))*10.764</f>
        <v>88.802999999999997</v>
      </c>
      <c r="F180" s="42">
        <f>D180+E180</f>
        <v>695.38130999999998</v>
      </c>
      <c r="G180" s="42">
        <v>0</v>
      </c>
      <c r="H180" s="42">
        <f>F180*(($H$143)+1)+(IF(G180&lt;101,G180,IF(G180&lt;201,G180/2,IF(G180&lt;=301,G180/3,G180/4))))</f>
        <v>1043.0719650000001</v>
      </c>
      <c r="I180" s="36"/>
      <c r="L180" s="91"/>
      <c r="M180" s="91"/>
      <c r="N180" s="36"/>
    </row>
    <row r="181" spans="1:20" s="37" customFormat="1" ht="15.75" hidden="1" customHeight="1" x14ac:dyDescent="0.3">
      <c r="A181" s="92">
        <f>A180+1</f>
        <v>4</v>
      </c>
      <c r="B181" s="93"/>
      <c r="C181" s="42" t="s">
        <v>347</v>
      </c>
      <c r="D181" s="42">
        <f>(4.65*2.9+5.25*2.3+2.75*(3.2+4.1)+1.2*1.85+2*1.35+0.9*3.1)*10.764</f>
        <v>574.20558000000005</v>
      </c>
      <c r="E181" s="42">
        <f>(0.75*(2.9+2.3+2.75+2.75))*10.764</f>
        <v>86.381099999999975</v>
      </c>
      <c r="F181" s="42">
        <f>D181+E181</f>
        <v>660.58668</v>
      </c>
      <c r="G181" s="42">
        <v>0</v>
      </c>
      <c r="H181" s="42">
        <f>F181*(($H$143)+1)+(IF(G181&lt;101,G181,IF(G181&lt;201,G181/2,IF(G181&lt;=301,G181/3,G181/4))))</f>
        <v>990.88002000000006</v>
      </c>
      <c r="I181" s="36"/>
      <c r="L181" s="91"/>
      <c r="M181" s="91"/>
      <c r="N181" s="36"/>
      <c r="T181" s="21"/>
    </row>
    <row r="182" spans="1:20" s="37" customFormat="1" hidden="1" x14ac:dyDescent="0.3">
      <c r="A182" s="95" t="s">
        <v>356</v>
      </c>
      <c r="B182" s="96"/>
      <c r="C182" s="96"/>
      <c r="D182" s="96"/>
      <c r="E182" s="96"/>
      <c r="F182" s="96"/>
      <c r="G182" s="96"/>
      <c r="H182" s="97"/>
      <c r="J182" s="36"/>
    </row>
    <row r="183" spans="1:20" s="37" customFormat="1" ht="15.75" hidden="1" customHeight="1" x14ac:dyDescent="0.3">
      <c r="A183" s="92">
        <v>1</v>
      </c>
      <c r="B183" s="93"/>
      <c r="C183" s="42" t="s">
        <v>347</v>
      </c>
      <c r="D183" s="42">
        <f>(4.65*2.9+5.25*2.3+2.75*(3.2+4.25)+2*1.35+1.2*1.85+0.9*3.1)*10.764</f>
        <v>578.64572999999996</v>
      </c>
      <c r="E183" s="42">
        <f>(0.75*(2.9+2.3+2.75+2.75))*10.764</f>
        <v>86.381099999999975</v>
      </c>
      <c r="F183" s="42">
        <f>D183+E183</f>
        <v>665.0268299999999</v>
      </c>
      <c r="G183" s="42">
        <v>0</v>
      </c>
      <c r="H183" s="42">
        <f>F183*(($H$143)+1)+(IF(G183&lt;101,G183,IF(G183&lt;201,G183/2,IF(G183&lt;=301,G183/3,G183/4))))</f>
        <v>997.54024499999991</v>
      </c>
      <c r="I183" s="36"/>
      <c r="L183" s="91"/>
      <c r="M183" s="91"/>
      <c r="N183" s="36"/>
    </row>
    <row r="184" spans="1:20" s="37" customFormat="1" ht="15.75" hidden="1" customHeight="1" x14ac:dyDescent="0.3">
      <c r="A184" s="92">
        <f>A183+1</f>
        <v>2</v>
      </c>
      <c r="B184" s="93"/>
      <c r="C184" s="42" t="s">
        <v>347</v>
      </c>
      <c r="D184" s="42">
        <f>(4.8*3.2+5.25*2.3+2.75*(3.2+4.25)+2*1.35+1.2*2.45+0.9*3.1)*10.764</f>
        <v>606.57830999999999</v>
      </c>
      <c r="E184" s="42">
        <f>(0.75*(2.9+2.3+2.75+2.75))*10.764</f>
        <v>86.381099999999975</v>
      </c>
      <c r="F184" s="42">
        <f>D184+E184</f>
        <v>692.95940999999993</v>
      </c>
      <c r="G184" s="42">
        <v>0</v>
      </c>
      <c r="H184" s="42">
        <f>F184*(($H$143)+1)+(IF(G184&lt;101,G184,IF(G184&lt;201,G184/2,IF(G184&lt;=301,G184/3,G184/4))))</f>
        <v>1039.4391149999999</v>
      </c>
      <c r="I184" s="36"/>
      <c r="L184" s="91"/>
      <c r="M184" s="91"/>
      <c r="N184" s="36"/>
    </row>
    <row r="185" spans="1:20" s="37" customFormat="1" ht="15.75" hidden="1" customHeight="1" x14ac:dyDescent="0.3">
      <c r="A185" s="92">
        <f>A184+1</f>
        <v>3</v>
      </c>
      <c r="B185" s="93"/>
      <c r="C185" s="42" t="s">
        <v>347</v>
      </c>
      <c r="D185" s="42">
        <f>(4.8*3.2+5.25*2.3+2.75*(3.2+4.25)+2*1.35+1.2*2.45+0.9*3.1)*10.764</f>
        <v>606.57830999999999</v>
      </c>
      <c r="E185" s="42">
        <f>(0.75*(2.9+2.3+2.75+2.75))*10.764</f>
        <v>86.381099999999975</v>
      </c>
      <c r="F185" s="42">
        <f>D185+E185</f>
        <v>692.95940999999993</v>
      </c>
      <c r="G185" s="42">
        <v>0</v>
      </c>
      <c r="H185" s="42">
        <f>F185*(($H$143)+1)+(IF(G185&lt;101,G185,IF(G185&lt;201,G185/2,IF(G185&lt;=301,G185/3,G185/4))))</f>
        <v>1039.4391149999999</v>
      </c>
      <c r="I185" s="36"/>
      <c r="L185" s="91"/>
      <c r="M185" s="91"/>
      <c r="N185" s="36"/>
    </row>
    <row r="186" spans="1:20" s="37" customFormat="1" ht="15.75" hidden="1" customHeight="1" x14ac:dyDescent="0.3">
      <c r="A186" s="92">
        <f>A185+1</f>
        <v>4</v>
      </c>
      <c r="B186" s="93"/>
      <c r="C186" s="42" t="s">
        <v>347</v>
      </c>
      <c r="D186" s="42">
        <f>(4.65*2.9+5.25*2.3+(3.2+4.1)*2.75+1.2*1.85+2*1.35+0.9*3.1)*10.764</f>
        <v>574.20558000000005</v>
      </c>
      <c r="E186" s="42">
        <f>(0.75*(2.9+2.3+2.75+2.75))*10.764</f>
        <v>86.381099999999975</v>
      </c>
      <c r="F186" s="42">
        <f>D186+E186</f>
        <v>660.58668</v>
      </c>
      <c r="G186" s="42">
        <v>0</v>
      </c>
      <c r="H186" s="42">
        <f>F186*(($H$143)+1)+(IF(G186&lt;101,G186,IF(G186&lt;201,G186/2,IF(G186&lt;=301,G186/3,G186/4))))</f>
        <v>990.88002000000006</v>
      </c>
      <c r="I186" s="36"/>
      <c r="L186" s="91"/>
      <c r="M186" s="91"/>
      <c r="N186" s="36"/>
      <c r="T186" s="21"/>
    </row>
    <row r="187" spans="1:20" s="37" customFormat="1" hidden="1" x14ac:dyDescent="0.3">
      <c r="A187" s="235" t="s">
        <v>116</v>
      </c>
      <c r="B187" s="235"/>
      <c r="C187" s="235"/>
      <c r="D187" s="235"/>
      <c r="E187" s="235"/>
      <c r="F187" s="235"/>
      <c r="G187" s="235"/>
      <c r="H187" s="235"/>
      <c r="I187" s="36"/>
      <c r="L187" s="91"/>
      <c r="M187" s="91"/>
    </row>
    <row r="188" spans="1:20" s="37" customFormat="1" hidden="1" x14ac:dyDescent="0.3">
      <c r="A188" s="238">
        <f>LEFT(A187,SUM(LEN(A187)-LEN(SUBSTITUTE(A187,{"0","1","2","3","4","5","6","7","8","9"},""))))*100+1</f>
        <v>201</v>
      </c>
      <c r="B188" s="238"/>
      <c r="C188" s="42"/>
      <c r="D188" s="42"/>
      <c r="E188" s="42">
        <v>0</v>
      </c>
      <c r="F188" s="42">
        <f>D188+E188</f>
        <v>0</v>
      </c>
      <c r="G188" s="42">
        <v>0</v>
      </c>
      <c r="H188" s="42">
        <f>F188*(($H$143)+1)+(IF(G188&lt;101,G188,IF(G188&lt;201,G188/2,IF(G188&lt;=301,G188/3,G188/4))))</f>
        <v>0</v>
      </c>
      <c r="I188" s="36"/>
      <c r="N188" s="36"/>
    </row>
    <row r="189" spans="1:20" s="37" customFormat="1" hidden="1" x14ac:dyDescent="0.3">
      <c r="A189" s="238">
        <f>A188+1</f>
        <v>202</v>
      </c>
      <c r="B189" s="238"/>
      <c r="C189" s="42"/>
      <c r="D189" s="42"/>
      <c r="E189" s="42">
        <v>0</v>
      </c>
      <c r="F189" s="42">
        <f>D189+E189</f>
        <v>0</v>
      </c>
      <c r="G189" s="42">
        <v>0</v>
      </c>
      <c r="H189" s="42">
        <f>F189*(($H$143)+1)+(IF(G189&lt;101,G189,IF(G189&lt;201,G189/2,IF(G189&lt;=301,G189/3,G189/4))))</f>
        <v>0</v>
      </c>
      <c r="I189" s="36"/>
      <c r="N189" s="36"/>
    </row>
    <row r="190" spans="1:20" s="37" customFormat="1" hidden="1" x14ac:dyDescent="0.3">
      <c r="A190" s="238">
        <f>A189+1</f>
        <v>203</v>
      </c>
      <c r="B190" s="238"/>
      <c r="C190" s="42"/>
      <c r="D190" s="42"/>
      <c r="E190" s="42">
        <v>0</v>
      </c>
      <c r="F190" s="42">
        <f>D190+E190</f>
        <v>0</v>
      </c>
      <c r="G190" s="42">
        <v>0</v>
      </c>
      <c r="H190" s="42">
        <f>F190*(($H$143)+1)+(IF(G190&lt;101,G190,IF(G190&lt;201,G190/2,IF(G190&lt;=301,G190/3,G190/4))))</f>
        <v>0</v>
      </c>
      <c r="I190" s="36"/>
      <c r="N190" s="36"/>
    </row>
    <row r="191" spans="1:20" s="37" customFormat="1" hidden="1" x14ac:dyDescent="0.3">
      <c r="A191" s="238">
        <f>A190+1</f>
        <v>204</v>
      </c>
      <c r="B191" s="238"/>
      <c r="C191" s="42"/>
      <c r="D191" s="42"/>
      <c r="E191" s="42">
        <v>0</v>
      </c>
      <c r="F191" s="42">
        <f>D191+E191</f>
        <v>0</v>
      </c>
      <c r="G191" s="42">
        <v>0</v>
      </c>
      <c r="H191" s="42">
        <f>F191*(($H$143)+1)+(IF(G191&lt;101,G191,IF(G191&lt;201,G191/2,IF(G191&lt;=301,G191/3,G191/4))))</f>
        <v>0</v>
      </c>
      <c r="I191" s="36"/>
      <c r="N191" s="36"/>
    </row>
    <row r="192" spans="1:20" s="37" customFormat="1" hidden="1" x14ac:dyDescent="0.3">
      <c r="A192" s="238">
        <f>A191+1</f>
        <v>205</v>
      </c>
      <c r="B192" s="238"/>
      <c r="C192" s="42"/>
      <c r="D192" s="42"/>
      <c r="E192" s="42">
        <v>0</v>
      </c>
      <c r="F192" s="42">
        <f>D192+E192</f>
        <v>0</v>
      </c>
      <c r="G192" s="42">
        <v>0</v>
      </c>
      <c r="H192" s="42">
        <f>F192*(($H$143)+1)+(IF(G192&lt;101,G192,IF(G192&lt;201,G192/2,IF(G192&lt;=301,G192/3,G192/4))))</f>
        <v>0</v>
      </c>
      <c r="I192" s="36"/>
      <c r="N192" s="36"/>
    </row>
    <row r="193" spans="1:9" s="37" customFormat="1" ht="15.75" hidden="1" customHeight="1" x14ac:dyDescent="0.3">
      <c r="A193" s="95" t="s">
        <v>148</v>
      </c>
      <c r="B193" s="96"/>
      <c r="C193" s="96"/>
      <c r="D193" s="96"/>
      <c r="E193" s="96"/>
      <c r="F193" s="96"/>
      <c r="G193" s="96"/>
      <c r="H193" s="97"/>
      <c r="I193" s="36"/>
    </row>
    <row r="194" spans="1:9" s="37" customFormat="1" ht="15.75" hidden="1" customHeight="1" x14ac:dyDescent="0.3">
      <c r="A194" s="92"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10^ROW(INDIRECT("1:"&amp;LEN((LEFT(A193,SUM(LEN(A193)-LEN(SUBSTITUTE(A193,{"0","1","2"},""))))))))/10))*100+1&amp;""&amp;"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",LEN(A193))),LEN(A193)))))))/10))*100+1</f>
        <v>301 ,.., 1501</v>
      </c>
      <c r="B194" s="93"/>
      <c r="C194" s="42"/>
      <c r="D194" s="42"/>
      <c r="E194" s="42">
        <v>0</v>
      </c>
      <c r="F194" s="42">
        <f>D194+E194</f>
        <v>0</v>
      </c>
      <c r="G194" s="42">
        <v>0</v>
      </c>
      <c r="H194" s="42">
        <f>F194*(($H$143)+1)+(IF(G194&lt;101,G194,IF(G194&lt;201,G194/2,IF(G194&lt;=301,G194/3,G194/4))))</f>
        <v>0</v>
      </c>
      <c r="I194" s="36"/>
    </row>
    <row r="195" spans="1:9" s="37" customFormat="1" ht="15.75" hidden="1" customHeight="1" x14ac:dyDescent="0.3">
      <c r="A195" s="92"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302 ,.., 1502</v>
      </c>
      <c r="B195" s="93"/>
      <c r="C195" s="42"/>
      <c r="D195" s="42"/>
      <c r="E195" s="42">
        <v>0</v>
      </c>
      <c r="F195" s="42">
        <f>D195+E195</f>
        <v>0</v>
      </c>
      <c r="G195" s="42">
        <v>0</v>
      </c>
      <c r="H195" s="42">
        <f>F195*(($H$143)+1)+(IF(G195&lt;101,G195,IF(G195&lt;201,G195/2,IF(G195&lt;=301,G195/3,G195/4))))</f>
        <v>0</v>
      </c>
      <c r="I195" s="36"/>
    </row>
    <row r="196" spans="1:9" s="37" customFormat="1" ht="15.75" hidden="1" customHeight="1" x14ac:dyDescent="0.3">
      <c r="A196" s="92"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303 ,.., 1503</v>
      </c>
      <c r="B196" s="93"/>
      <c r="C196" s="42"/>
      <c r="D196" s="42"/>
      <c r="E196" s="42">
        <v>0</v>
      </c>
      <c r="F196" s="42">
        <f>D196+E196</f>
        <v>0</v>
      </c>
      <c r="G196" s="42">
        <v>0</v>
      </c>
      <c r="H196" s="42">
        <f>F196*(($H$143)+1)+(IF(G196&lt;101,G196,IF(G196&lt;201,G196/2,IF(G196&lt;=301,G196/3,G196/4))))</f>
        <v>0</v>
      </c>
      <c r="I196" s="36"/>
    </row>
    <row r="197" spans="1:9" s="37" customFormat="1" ht="15.75" hidden="1" customHeight="1" x14ac:dyDescent="0.3">
      <c r="A197" s="92"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304 ,.., 1504</v>
      </c>
      <c r="B197" s="93"/>
      <c r="C197" s="42"/>
      <c r="D197" s="42"/>
      <c r="E197" s="42">
        <v>0</v>
      </c>
      <c r="F197" s="42">
        <f>D197+E197</f>
        <v>0</v>
      </c>
      <c r="G197" s="42">
        <v>0</v>
      </c>
      <c r="H197" s="42">
        <f>F197*(($H$143)+1)+(IF(G197&lt;101,G197,IF(G197&lt;201,G197/2,IF(G197&lt;=301,G197/3,G197/4))))</f>
        <v>0</v>
      </c>
      <c r="I197" s="36"/>
    </row>
    <row r="198" spans="1:9" s="37" customFormat="1" ht="15.75" hidden="1" customHeight="1" x14ac:dyDescent="0.3">
      <c r="A198" s="92" t="str">
        <f ca="1">(SUMPRODUCT(MID(0&amp;(LEFT(A197,SUM(LEN(A197)-LEN(SUBSTITUTE(A197,{"0","1","2"},""))))), LARGE(INDEX(ISNUMBER(--MID((LEFT(A197,SUM(LEN(A197)-LEN(SUBSTITUTE(A197,{"0","1","2"},""))))), ROW(INDIRECT("1:"&amp;LEN((LEFT(A197,SUM(LEN(A197)-LEN(SUBSTITUTE(A197,{"0","1","2"},"")))))))), 1)) * ROW(INDIRECT("1:"&amp;LEN((LEFT(A197,SUM(LEN(A197)-LEN(SUBSTITUTE(A197,{"0","1","2"},"")))))))), 0), ROW(INDIRECT("1:"&amp;LEN((LEFT(A197,SUM(LEN(A197)-LEN(SUBSTITUTE(A197,{"0","1","2"},"")))))))))+1, 1) * 10^ROW(INDIRECT("1:"&amp;LEN((LEFT(A197,SUM(LEN(A197)-LEN(SUBSTITUTE(A197,{"0","1","2"},""))))))))/10))*1+1&amp;""&amp;" ,.., "&amp;""&amp;(SUMPRODUCT(MID(0&amp;(--TRIM(RIGHT(SUBSTITUTE(LEFT(A197,_xlfn.AGGREGATE(16,6,FIND({0,1,2,3,4,5,6,7,8,9},A197,ROW(INDIRECT("1:"&amp;LEN(A197)))),1))," ",REPT(" ",LEN(A197))),LEN(A197)))), LARGE(INDEX(ISNUMBER(--MID((--TRIM(RIGHT(SUBSTITUTE(LEFT(A197,_xlfn.AGGREGATE(16,6,FIND({0,1,2,3,4,5,6,7,8,9},A197,ROW(INDIRECT("1:"&amp;LEN(A197)))),1))," ",REPT(" ",LEN(A197))),LEN(A197)))), ROW(INDIRECT("1:"&amp;LEN((--TRIM(RIGHT(SUBSTITUTE(LEFT(A197,_xlfn.AGGREGATE(16,6,FIND({0,1,2,3,4,5,6,7,8,9},A197,ROW(INDIRECT("1:"&amp;LEN(A197)))),1))," ",REPT(" ",LEN(A197))),LEN(A197))))))), 1)) * ROW(INDIRECT("1:"&amp;LEN((--TRIM(RIGHT(SUBSTITUTE(LEFT(A197,_xlfn.AGGREGATE(16,6,FIND({0,1,2,3,4,5,6,7,8,9},A197,ROW(INDIRECT("1:"&amp;LEN(A197)))),1))," ",REPT(" ",LEN(A197))),LEN(A197))))))), 0), ROW(INDIRECT("1:"&amp;LEN((--TRIM(RIGHT(SUBSTITUTE(LEFT(A197,_xlfn.AGGREGATE(16,6,FIND({0,1,2,3,4,5,6,7,8,9},A197,ROW(INDIRECT("1:"&amp;LEN(A197)))),1))," ",REPT(" ",LEN(A197))),LEN(A197))))))))+1, 1) * 10^ROW(INDIRECT("1:"&amp;LEN((--TRIM(RIGHT(SUBSTITUTE(LEFT(A197,_xlfn.AGGREGATE(16,6,FIND({0,1,2,3,4,5,6,7,8,9},A197,ROW(INDIRECT("1:"&amp;LEN(A197)))),1))," ",REPT(" ",LEN(A197))),LEN(A197)))))))/10))*1+1</f>
        <v>305 ,.., 1505</v>
      </c>
      <c r="B198" s="93"/>
      <c r="C198" s="42"/>
      <c r="D198" s="42"/>
      <c r="E198" s="42">
        <v>0</v>
      </c>
      <c r="F198" s="42">
        <f>D198+E198</f>
        <v>0</v>
      </c>
      <c r="G198" s="42">
        <v>0</v>
      </c>
      <c r="H198" s="42">
        <f>F198*(($H$143)+1)+(IF(G198&lt;101,G198,IF(G198&lt;201,G198/2,IF(G198&lt;=301,G198/3,G198/4))))</f>
        <v>0</v>
      </c>
      <c r="I198" s="36"/>
    </row>
    <row r="199" spans="1:9" s="37" customFormat="1" hidden="1" x14ac:dyDescent="0.3">
      <c r="A199" s="95" t="s">
        <v>142</v>
      </c>
      <c r="B199" s="96"/>
      <c r="C199" s="96"/>
      <c r="D199" s="96"/>
      <c r="E199" s="96"/>
      <c r="F199" s="96"/>
      <c r="G199" s="96"/>
      <c r="H199" s="97"/>
      <c r="I199" s="36"/>
    </row>
    <row r="200" spans="1:9" s="37" customFormat="1" ht="15.75" hidden="1" customHeight="1" x14ac:dyDescent="0.3">
      <c r="A200" s="92"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10^ROW(INDIRECT("1:"&amp;LEN((LEFT(A199,SUM(LEN(A199)-LEN(SUBSTITUTE(A199,{"0","1","2"},""))))))))/10))*100+1&amp;""&amp;"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",LEN(A199))),LEN(A199)))))))/10))*100+1</f>
        <v>201 to 501</v>
      </c>
      <c r="B200" s="93"/>
      <c r="C200" s="42"/>
      <c r="D200" s="42"/>
      <c r="E200" s="42">
        <v>0</v>
      </c>
      <c r="F200" s="42">
        <f>D200+E200</f>
        <v>0</v>
      </c>
      <c r="G200" s="42">
        <v>0</v>
      </c>
      <c r="H200" s="42">
        <f>F200*(($H$143)+1)+(IF(G200&lt;101,G200,IF(G200&lt;201,G200/2,IF(G200&lt;=301,G200/3,G200/4))))</f>
        <v>0</v>
      </c>
      <c r="I200" s="36"/>
    </row>
    <row r="201" spans="1:9" s="37" customFormat="1" ht="15.75" hidden="1" customHeight="1" x14ac:dyDescent="0.3">
      <c r="A201" s="92"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202 to 502</v>
      </c>
      <c r="B201" s="93"/>
      <c r="C201" s="42"/>
      <c r="D201" s="42"/>
      <c r="E201" s="42">
        <v>0</v>
      </c>
      <c r="F201" s="42">
        <f>D201+E201</f>
        <v>0</v>
      </c>
      <c r="G201" s="42">
        <v>0</v>
      </c>
      <c r="H201" s="42">
        <f>F201*(($H$143)+1)+(IF(G201&lt;101,G201,IF(G201&lt;201,G201/2,IF(G201&lt;=301,G201/3,G201/4))))</f>
        <v>0</v>
      </c>
      <c r="I201" s="36"/>
    </row>
    <row r="202" spans="1:9" s="37" customFormat="1" ht="15.75" hidden="1" customHeight="1" x14ac:dyDescent="0.3">
      <c r="A202" s="92"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203 to 503</v>
      </c>
      <c r="B202" s="93"/>
      <c r="C202" s="42"/>
      <c r="D202" s="42"/>
      <c r="E202" s="42">
        <v>0</v>
      </c>
      <c r="F202" s="42">
        <f>D202+E202</f>
        <v>0</v>
      </c>
      <c r="G202" s="42">
        <v>0</v>
      </c>
      <c r="H202" s="42">
        <f>F202*(($H$143)+1)+(IF(G202&lt;101,G202,IF(G202&lt;201,G202/2,IF(G202&lt;=301,G202/3,G202/4))))</f>
        <v>0</v>
      </c>
      <c r="I202" s="36"/>
    </row>
    <row r="203" spans="1:9" s="37" customFormat="1" ht="15.75" hidden="1" customHeight="1" x14ac:dyDescent="0.3">
      <c r="A203" s="92"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204 to 504</v>
      </c>
      <c r="B203" s="93"/>
      <c r="C203" s="42"/>
      <c r="D203" s="42"/>
      <c r="E203" s="42">
        <v>0</v>
      </c>
      <c r="F203" s="42">
        <f>D203+E203</f>
        <v>0</v>
      </c>
      <c r="G203" s="42">
        <v>0</v>
      </c>
      <c r="H203" s="42">
        <f>F203*(($H$143)+1)+(IF(G203&lt;101,G203,IF(G203&lt;201,G203/2,IF(G203&lt;=301,G203/3,G203/4))))</f>
        <v>0</v>
      </c>
      <c r="I203" s="36"/>
    </row>
    <row r="204" spans="1:9" s="37" customFormat="1" ht="15.75" hidden="1" customHeight="1" x14ac:dyDescent="0.3">
      <c r="A204" s="92" t="str">
        <f ca="1">(SUMPRODUCT(MID(0&amp;(LEFT(A203,SUM(LEN(A203)-LEN(SUBSTITUTE(A203,{"0","1","2"},""))))), LARGE(INDEX(ISNUMBER(--MID((LEFT(A203,SUM(LEN(A203)-LEN(SUBSTITUTE(A203,{"0","1","2"},""))))), ROW(INDIRECT("1:"&amp;LEN((LEFT(A203,SUM(LEN(A203)-LEN(SUBSTITUTE(A203,{"0","1","2"},"")))))))), 1)) * ROW(INDIRECT("1:"&amp;LEN((LEFT(A203,SUM(LEN(A203)-LEN(SUBSTITUTE(A203,{"0","1","2"},"")))))))), 0), ROW(INDIRECT("1:"&amp;LEN((LEFT(A203,SUM(LEN(A203)-LEN(SUBSTITUTE(A203,{"0","1","2"},"")))))))))+1, 1) * 10^ROW(INDIRECT("1:"&amp;LEN((LEFT(A203,SUM(LEN(A203)-LEN(SUBSTITUTE(A203,{"0","1","2"},""))))))))/10))*1+1&amp;""&amp;" to "&amp;""&amp;(SUMPRODUCT(MID(0&amp;(--TRIM(RIGHT(SUBSTITUTE(LEFT(A203,_xlfn.AGGREGATE(16,6,FIND({0,1,2,3,4,5,6,7,8,9},A203,ROW(INDIRECT("1:"&amp;LEN(A203)))),1))," ",REPT(" ",LEN(A203))),LEN(A203)))), LARGE(INDEX(ISNUMBER(--MID((--TRIM(RIGHT(SUBSTITUTE(LEFT(A203,_xlfn.AGGREGATE(16,6,FIND({0,1,2,3,4,5,6,7,8,9},A203,ROW(INDIRECT("1:"&amp;LEN(A203)))),1))," ",REPT(" ",LEN(A203))),LEN(A203)))), ROW(INDIRECT("1:"&amp;LEN((--TRIM(RIGHT(SUBSTITUTE(LEFT(A203,_xlfn.AGGREGATE(16,6,FIND({0,1,2,3,4,5,6,7,8,9},A203,ROW(INDIRECT("1:"&amp;LEN(A203)))),1))," ",REPT(" ",LEN(A203))),LEN(A203))))))), 1)) * ROW(INDIRECT("1:"&amp;LEN((--TRIM(RIGHT(SUBSTITUTE(LEFT(A203,_xlfn.AGGREGATE(16,6,FIND({0,1,2,3,4,5,6,7,8,9},A203,ROW(INDIRECT("1:"&amp;LEN(A203)))),1))," ",REPT(" ",LEN(A203))),LEN(A203))))))), 0), ROW(INDIRECT("1:"&amp;LEN((--TRIM(RIGHT(SUBSTITUTE(LEFT(A203,_xlfn.AGGREGATE(16,6,FIND({0,1,2,3,4,5,6,7,8,9},A203,ROW(INDIRECT("1:"&amp;LEN(A203)))),1))," ",REPT(" ",LEN(A203))),LEN(A203))))))))+1, 1) * 10^ROW(INDIRECT("1:"&amp;LEN((--TRIM(RIGHT(SUBSTITUTE(LEFT(A203,_xlfn.AGGREGATE(16,6,FIND({0,1,2,3,4,5,6,7,8,9},A203,ROW(INDIRECT("1:"&amp;LEN(A203)))),1))," ",REPT(" ",LEN(A203))),LEN(A203)))))))/10))*1+1</f>
        <v>205 to 505</v>
      </c>
      <c r="B204" s="93"/>
      <c r="C204" s="42"/>
      <c r="D204" s="42"/>
      <c r="E204" s="42">
        <v>0</v>
      </c>
      <c r="F204" s="42">
        <f>D204+E204</f>
        <v>0</v>
      </c>
      <c r="G204" s="42">
        <v>0</v>
      </c>
      <c r="H204" s="42">
        <f>F204*(($H$143)+1)+(IF(G204&lt;101,G204,IF(G204&lt;201,G204/2,IF(G204&lt;=301,G204/3,G204/4))))</f>
        <v>0</v>
      </c>
      <c r="I204" s="36"/>
    </row>
    <row r="205" spans="1:9" s="37" customFormat="1" hidden="1" x14ac:dyDescent="0.3">
      <c r="A205" s="95" t="s">
        <v>143</v>
      </c>
      <c r="B205" s="96"/>
      <c r="C205" s="96"/>
      <c r="D205" s="96"/>
      <c r="E205" s="96"/>
      <c r="F205" s="96"/>
      <c r="G205" s="96"/>
      <c r="H205" s="97"/>
      <c r="I205" s="36"/>
    </row>
    <row r="206" spans="1:9" s="37" customFormat="1" ht="15.75" hidden="1" customHeight="1" x14ac:dyDescent="0.3">
      <c r="A206" s="92"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10^ROW(INDIRECT("1:"&amp;LEN((LEFT(A205,SUM(LEN(A205)-LEN(SUBSTITUTE(A205,{"0","1","2"},""))))))))/10))*100+1&amp;""&amp;"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",LEN(A205))),LEN(A205)))))))/10))*100+1</f>
        <v>201 &amp; 501</v>
      </c>
      <c r="B206" s="93"/>
      <c r="C206" s="42"/>
      <c r="D206" s="42"/>
      <c r="E206" s="42">
        <v>0</v>
      </c>
      <c r="F206" s="42">
        <f>D206+E206</f>
        <v>0</v>
      </c>
      <c r="G206" s="42">
        <v>0</v>
      </c>
      <c r="H206" s="42">
        <f>F206*(($H$143)+1)+(IF(G206&lt;101,G206,IF(G206&lt;201,G206/2,IF(G206&lt;=301,G206/3,G206/4))))</f>
        <v>0</v>
      </c>
      <c r="I206" s="36"/>
    </row>
    <row r="207" spans="1:9" s="37" customFormat="1" ht="15.75" hidden="1" customHeight="1" x14ac:dyDescent="0.3">
      <c r="A207" s="92"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202 &amp; 502</v>
      </c>
      <c r="B207" s="93"/>
      <c r="C207" s="42"/>
      <c r="D207" s="42"/>
      <c r="E207" s="42">
        <v>0</v>
      </c>
      <c r="F207" s="42">
        <f>D207+E207</f>
        <v>0</v>
      </c>
      <c r="G207" s="42">
        <v>0</v>
      </c>
      <c r="H207" s="42">
        <f>F207*(($H$143)+1)+(IF(G207&lt;101,G207,IF(G207&lt;201,G207/2,IF(G207&lt;=301,G207/3,G207/4))))</f>
        <v>0</v>
      </c>
      <c r="I207" s="36"/>
    </row>
    <row r="208" spans="1:9" s="37" customFormat="1" ht="15.75" hidden="1" customHeight="1" x14ac:dyDescent="0.3">
      <c r="A208" s="92"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&amp;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203 &amp; 503</v>
      </c>
      <c r="B208" s="93"/>
      <c r="C208" s="42"/>
      <c r="D208" s="42"/>
      <c r="E208" s="42">
        <v>0</v>
      </c>
      <c r="F208" s="42">
        <f>D208+E208</f>
        <v>0</v>
      </c>
      <c r="G208" s="42">
        <v>0</v>
      </c>
      <c r="H208" s="42">
        <f>F208*(($H$143)+1)+(IF(G208&lt;101,G208,IF(G208&lt;201,G208/2,IF(G208&lt;=301,G208/3,G208/4))))</f>
        <v>0</v>
      </c>
      <c r="I208" s="36"/>
    </row>
    <row r="209" spans="1:20" s="37" customFormat="1" ht="15.75" hidden="1" customHeight="1" x14ac:dyDescent="0.3">
      <c r="A209" s="92"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204 &amp; 504</v>
      </c>
      <c r="B209" s="93"/>
      <c r="C209" s="42"/>
      <c r="D209" s="42"/>
      <c r="E209" s="42">
        <v>0</v>
      </c>
      <c r="F209" s="42">
        <f>D209+E209</f>
        <v>0</v>
      </c>
      <c r="G209" s="42">
        <v>0</v>
      </c>
      <c r="H209" s="42">
        <f>F209*(($H$143)+1)+(IF(G209&lt;101,G209,IF(G209&lt;201,G209/2,IF(G209&lt;=301,G209/3,G209/4))))</f>
        <v>0</v>
      </c>
      <c r="I209" s="36"/>
    </row>
    <row r="210" spans="1:20" s="37" customFormat="1" ht="15.75" hidden="1" customHeight="1" x14ac:dyDescent="0.3">
      <c r="A210" s="92" t="str">
        <f ca="1">(SUMPRODUCT(MID(0&amp;(LEFT(A209,SUM(LEN(A209)-LEN(SUBSTITUTE(A209,{"0","1","2"},""))))), LARGE(INDEX(ISNUMBER(--MID((LEFT(A209,SUM(LEN(A209)-LEN(SUBSTITUTE(A209,{"0","1","2"},""))))), ROW(INDIRECT("1:"&amp;LEN((LEFT(A209,SUM(LEN(A209)-LEN(SUBSTITUTE(A209,{"0","1","2"},"")))))))), 1)) * ROW(INDIRECT("1:"&amp;LEN((LEFT(A209,SUM(LEN(A209)-LEN(SUBSTITUTE(A209,{"0","1","2"},"")))))))), 0), ROW(INDIRECT("1:"&amp;LEN((LEFT(A209,SUM(LEN(A209)-LEN(SUBSTITUTE(A209,{"0","1","2"},"")))))))))+1, 1) * 10^ROW(INDIRECT("1:"&amp;LEN((LEFT(A209,SUM(LEN(A209)-LEN(SUBSTITUTE(A209,{"0","1","2"},""))))))))/10))*1+1&amp;""&amp;" &amp; "&amp;""&amp;(SUMPRODUCT(MID(0&amp;(--TRIM(RIGHT(SUBSTITUTE(LEFT(A209,_xlfn.AGGREGATE(16,6,FIND({0,1,2,3,4,5,6,7,8,9},A209,ROW(INDIRECT("1:"&amp;LEN(A209)))),1))," ",REPT(" ",LEN(A209))),LEN(A209)))), LARGE(INDEX(ISNUMBER(--MID((--TRIM(RIGHT(SUBSTITUTE(LEFT(A209,_xlfn.AGGREGATE(16,6,FIND({0,1,2,3,4,5,6,7,8,9},A209,ROW(INDIRECT("1:"&amp;LEN(A209)))),1))," ",REPT(" ",LEN(A209))),LEN(A209)))), ROW(INDIRECT("1:"&amp;LEN((--TRIM(RIGHT(SUBSTITUTE(LEFT(A209,_xlfn.AGGREGATE(16,6,FIND({0,1,2,3,4,5,6,7,8,9},A209,ROW(INDIRECT("1:"&amp;LEN(A209)))),1))," ",REPT(" ",LEN(A209))),LEN(A209))))))), 1)) * ROW(INDIRECT("1:"&amp;LEN((--TRIM(RIGHT(SUBSTITUTE(LEFT(A209,_xlfn.AGGREGATE(16,6,FIND({0,1,2,3,4,5,6,7,8,9},A209,ROW(INDIRECT("1:"&amp;LEN(A209)))),1))," ",REPT(" ",LEN(A209))),LEN(A209))))))), 0), ROW(INDIRECT("1:"&amp;LEN((--TRIM(RIGHT(SUBSTITUTE(LEFT(A209,_xlfn.AGGREGATE(16,6,FIND({0,1,2,3,4,5,6,7,8,9},A209,ROW(INDIRECT("1:"&amp;LEN(A209)))),1))," ",REPT(" ",LEN(A209))),LEN(A209))))))))+1, 1) * 10^ROW(INDIRECT("1:"&amp;LEN((--TRIM(RIGHT(SUBSTITUTE(LEFT(A209,_xlfn.AGGREGATE(16,6,FIND({0,1,2,3,4,5,6,7,8,9},A209,ROW(INDIRECT("1:"&amp;LEN(A209)))),1))," ",REPT(" ",LEN(A209))),LEN(A209)))))))/10))*1+1</f>
        <v>205 &amp; 505</v>
      </c>
      <c r="B210" s="93"/>
      <c r="C210" s="42"/>
      <c r="D210" s="42"/>
      <c r="E210" s="42">
        <v>0</v>
      </c>
      <c r="F210" s="42">
        <f>D210+E210</f>
        <v>0</v>
      </c>
      <c r="G210" s="42">
        <v>0</v>
      </c>
      <c r="H210" s="42">
        <f>F210*(($H$143)+1)+(IF(G210&lt;101,G210,IF(G210&lt;201,G210/2,IF(G210&lt;=301,G210/3,G210/4))))</f>
        <v>0</v>
      </c>
      <c r="I210" s="36"/>
    </row>
    <row r="211" spans="1:20" s="35" customFormat="1" x14ac:dyDescent="0.3">
      <c r="A211" s="243" t="s">
        <v>65</v>
      </c>
      <c r="B211" s="243"/>
      <c r="C211" s="243"/>
      <c r="D211" s="243"/>
      <c r="E211" s="243"/>
      <c r="F211" s="243"/>
      <c r="G211" s="243"/>
      <c r="H211" s="243"/>
      <c r="T211" s="37"/>
    </row>
    <row r="212" spans="1:20" s="35" customFormat="1" ht="32.25" customHeight="1" x14ac:dyDescent="0.3">
      <c r="A212" s="44" t="s">
        <v>152</v>
      </c>
      <c r="B212" s="264" t="s">
        <v>399</v>
      </c>
      <c r="C212" s="265"/>
      <c r="D212" s="265"/>
      <c r="E212" s="265"/>
      <c r="F212" s="265"/>
      <c r="G212" s="265"/>
      <c r="H212" s="266"/>
      <c r="T212" s="37"/>
    </row>
    <row r="213" spans="1:20" s="35" customFormat="1" x14ac:dyDescent="0.3">
      <c r="A213" s="44" t="s">
        <v>152</v>
      </c>
      <c r="B213" s="244" t="str">
        <f>(IF(H142="Saleable area Loading :","We have considered Saleable area of Flats as per our Calculation.","We considered Saleable area of Flat as per Builder area Sheet."))</f>
        <v>We have considered Saleable area of Flats as per our Calculation.</v>
      </c>
      <c r="C213" s="245"/>
      <c r="D213" s="245"/>
      <c r="E213" s="245"/>
      <c r="F213" s="245"/>
      <c r="G213" s="245"/>
      <c r="H213" s="246"/>
      <c r="T213" s="37"/>
    </row>
    <row r="214" spans="1:20" s="35" customFormat="1" hidden="1" x14ac:dyDescent="0.3">
      <c r="A214" s="44" t="s">
        <v>152</v>
      </c>
      <c r="B214" s="244" t="e">
        <f>(IF(#REF!="Saleable area Loading :","We have considered Saleable area of Commercial as per our Calculation.","We considered Saleable area of Commercial as per Builder area Sheet."))</f>
        <v>#REF!</v>
      </c>
      <c r="C214" s="245"/>
      <c r="D214" s="245"/>
      <c r="E214" s="245"/>
      <c r="F214" s="245"/>
      <c r="G214" s="245"/>
      <c r="H214" s="246"/>
      <c r="T214" s="37"/>
    </row>
    <row r="215" spans="1:20" s="35" customFormat="1" x14ac:dyDescent="0.3">
      <c r="A215" s="44" t="s">
        <v>152</v>
      </c>
      <c r="B215" s="104" t="s">
        <v>119</v>
      </c>
      <c r="C215" s="105"/>
      <c r="D215" s="105"/>
      <c r="E215" s="105"/>
      <c r="F215" s="105"/>
      <c r="G215" s="105"/>
      <c r="H215" s="106"/>
      <c r="T215" s="37"/>
    </row>
    <row r="216" spans="1:20" s="35" customFormat="1" x14ac:dyDescent="0.3">
      <c r="A216" s="44" t="s">
        <v>152</v>
      </c>
      <c r="B216" s="104" t="s">
        <v>353</v>
      </c>
      <c r="C216" s="105"/>
      <c r="D216" s="105"/>
      <c r="E216" s="105"/>
      <c r="F216" s="105"/>
      <c r="G216" s="105"/>
      <c r="H216" s="106"/>
      <c r="T216" s="37"/>
    </row>
    <row r="217" spans="1:20" s="35" customFormat="1" x14ac:dyDescent="0.3">
      <c r="A217" s="44" t="s">
        <v>152</v>
      </c>
      <c r="B217" s="104" t="s">
        <v>151</v>
      </c>
      <c r="C217" s="105"/>
      <c r="D217" s="105"/>
      <c r="E217" s="105"/>
      <c r="F217" s="105"/>
      <c r="G217" s="105"/>
      <c r="H217" s="106"/>
    </row>
    <row r="218" spans="1:20" s="35" customFormat="1" x14ac:dyDescent="0.3">
      <c r="A218" s="44" t="s">
        <v>152</v>
      </c>
      <c r="B218" s="104" t="s">
        <v>120</v>
      </c>
      <c r="C218" s="105"/>
      <c r="D218" s="105"/>
      <c r="E218" s="105"/>
      <c r="F218" s="105"/>
      <c r="G218" s="105"/>
      <c r="H218" s="106"/>
    </row>
    <row r="219" spans="1:20" s="35" customFormat="1" ht="34.5" customHeight="1" x14ac:dyDescent="0.3">
      <c r="A219" s="44" t="s">
        <v>152</v>
      </c>
      <c r="B219" s="104" t="s">
        <v>153</v>
      </c>
      <c r="C219" s="105"/>
      <c r="D219" s="105"/>
      <c r="E219" s="105"/>
      <c r="F219" s="105"/>
      <c r="G219" s="105"/>
      <c r="H219" s="106"/>
    </row>
    <row r="220" spans="1:20" s="35" customFormat="1" x14ac:dyDescent="0.3">
      <c r="A220" s="44" t="s">
        <v>152</v>
      </c>
      <c r="B220" s="104" t="s">
        <v>121</v>
      </c>
      <c r="C220" s="105"/>
      <c r="D220" s="105"/>
      <c r="E220" s="105"/>
      <c r="F220" s="105"/>
      <c r="G220" s="105"/>
      <c r="H220" s="106"/>
    </row>
    <row r="221" spans="1:20" s="35" customFormat="1" ht="36" customHeight="1" x14ac:dyDescent="0.3">
      <c r="A221" s="44" t="s">
        <v>152</v>
      </c>
      <c r="B221" s="264" t="s">
        <v>357</v>
      </c>
      <c r="C221" s="265"/>
      <c r="D221" s="265"/>
      <c r="E221" s="265"/>
      <c r="F221" s="265"/>
      <c r="G221" s="265"/>
      <c r="H221" s="266"/>
    </row>
    <row r="222" spans="1:20" s="35" customFormat="1" x14ac:dyDescent="0.3">
      <c r="A222" s="84" t="s">
        <v>152</v>
      </c>
      <c r="B222" s="88" t="s">
        <v>397</v>
      </c>
      <c r="C222" s="89"/>
      <c r="D222" s="89"/>
      <c r="E222" s="89"/>
      <c r="F222" s="89"/>
      <c r="G222" s="89"/>
      <c r="H222" s="90"/>
    </row>
    <row r="223" spans="1:20" x14ac:dyDescent="0.3">
      <c r="A223" s="128" t="s">
        <v>58</v>
      </c>
      <c r="B223" s="128"/>
      <c r="C223" s="128"/>
      <c r="D223" s="128"/>
      <c r="E223" s="128"/>
      <c r="F223" s="128"/>
      <c r="G223" s="128"/>
      <c r="H223" s="128"/>
      <c r="T223" s="35"/>
    </row>
    <row r="224" spans="1:20" x14ac:dyDescent="0.3">
      <c r="A224" s="114" t="s">
        <v>59</v>
      </c>
      <c r="B224" s="114"/>
      <c r="C224" s="114"/>
      <c r="D224" s="114"/>
      <c r="E224" s="114"/>
      <c r="F224" s="114"/>
      <c r="G224" s="114"/>
      <c r="H224" s="114"/>
      <c r="T224" s="35"/>
    </row>
    <row r="225" spans="1:20" ht="15.75" customHeight="1" x14ac:dyDescent="0.3">
      <c r="A225" s="250" t="s">
        <v>60</v>
      </c>
      <c r="B225" s="250"/>
      <c r="C225" s="250"/>
      <c r="D225" s="250"/>
      <c r="E225" s="250"/>
      <c r="F225" s="250"/>
      <c r="G225" s="250"/>
      <c r="H225" s="250"/>
      <c r="T225" s="35"/>
    </row>
    <row r="226" spans="1:20" x14ac:dyDescent="0.3">
      <c r="A226" s="114" t="s">
        <v>61</v>
      </c>
      <c r="B226" s="114"/>
      <c r="C226" s="114"/>
      <c r="D226" s="114"/>
      <c r="E226" s="114"/>
      <c r="F226" s="114"/>
      <c r="G226" s="114"/>
      <c r="H226" s="114"/>
      <c r="T226" s="35"/>
    </row>
    <row r="227" spans="1:20" x14ac:dyDescent="0.3">
      <c r="A227" s="114" t="s">
        <v>62</v>
      </c>
      <c r="B227" s="114"/>
      <c r="C227" s="114"/>
      <c r="D227" s="114"/>
      <c r="E227" s="114"/>
      <c r="F227" s="114"/>
      <c r="G227" s="114"/>
      <c r="H227" s="114"/>
      <c r="T227" s="35"/>
    </row>
    <row r="228" spans="1:20" x14ac:dyDescent="0.3">
      <c r="A228" s="114" t="s">
        <v>122</v>
      </c>
      <c r="B228" s="114"/>
      <c r="C228" s="114"/>
      <c r="D228" s="114"/>
      <c r="E228" s="114"/>
      <c r="F228" s="114"/>
      <c r="G228" s="114"/>
      <c r="H228" s="114"/>
      <c r="T228" s="35"/>
    </row>
    <row r="229" spans="1:20" ht="33.9" customHeight="1" x14ac:dyDescent="0.3">
      <c r="A229" s="129" t="s">
        <v>123</v>
      </c>
      <c r="B229" s="129"/>
      <c r="C229" s="129"/>
      <c r="D229" s="129"/>
      <c r="E229" s="129"/>
      <c r="F229" s="129"/>
      <c r="G229" s="129"/>
      <c r="H229" s="129"/>
    </row>
    <row r="230" spans="1:20" x14ac:dyDescent="0.3">
      <c r="A230" s="233" t="s">
        <v>74</v>
      </c>
      <c r="B230" s="233"/>
      <c r="C230" s="233" t="s">
        <v>354</v>
      </c>
      <c r="D230" s="233"/>
      <c r="E230" s="233" t="s">
        <v>103</v>
      </c>
      <c r="F230" s="233"/>
      <c r="G230" s="234" t="s">
        <v>400</v>
      </c>
      <c r="H230" s="234"/>
    </row>
    <row r="231" spans="1:20" x14ac:dyDescent="0.3">
      <c r="A231" s="232" t="s">
        <v>76</v>
      </c>
      <c r="B231" s="232"/>
      <c r="C231" s="232"/>
      <c r="D231" s="232"/>
      <c r="E231" s="232"/>
      <c r="F231" s="232"/>
      <c r="G231" s="232"/>
      <c r="H231" s="232"/>
    </row>
    <row r="232" spans="1:20" x14ac:dyDescent="0.3">
      <c r="A232" s="232"/>
      <c r="B232" s="232"/>
      <c r="C232" s="232"/>
      <c r="D232" s="232"/>
      <c r="E232" s="232"/>
      <c r="F232" s="232"/>
      <c r="G232" s="232"/>
      <c r="H232" s="232"/>
    </row>
    <row r="233" spans="1:20" x14ac:dyDescent="0.3">
      <c r="A233" s="232"/>
      <c r="B233" s="232"/>
      <c r="C233" s="232"/>
      <c r="D233" s="232"/>
      <c r="E233" s="232"/>
      <c r="F233" s="232"/>
      <c r="G233" s="232"/>
      <c r="H233" s="232"/>
    </row>
    <row r="234" spans="1:20" x14ac:dyDescent="0.3">
      <c r="A234" s="232"/>
      <c r="B234" s="232"/>
      <c r="C234" s="232"/>
      <c r="D234" s="232"/>
      <c r="E234" s="232"/>
      <c r="F234" s="232"/>
      <c r="G234" s="232"/>
      <c r="H234" s="232"/>
    </row>
    <row r="235" spans="1:20" x14ac:dyDescent="0.3">
      <c r="A235" s="38" t="s">
        <v>63</v>
      </c>
      <c r="B235" s="39"/>
      <c r="C235" s="39"/>
      <c r="D235" s="38" t="str">
        <f>E9</f>
        <v>Dunlin</v>
      </c>
      <c r="F235" s="39"/>
      <c r="G235" s="39"/>
      <c r="H235" s="39"/>
    </row>
    <row r="236" spans="1:20" x14ac:dyDescent="0.3">
      <c r="A236" s="39"/>
      <c r="B236" s="39"/>
      <c r="C236" s="39"/>
      <c r="D236" s="39"/>
      <c r="E236" s="39"/>
      <c r="F236" s="39"/>
      <c r="G236" s="39"/>
      <c r="H236" s="39"/>
    </row>
    <row r="237" spans="1:20" x14ac:dyDescent="0.3">
      <c r="A237" s="39"/>
      <c r="B237" s="39"/>
      <c r="C237" s="39"/>
      <c r="D237" s="39"/>
      <c r="E237" s="39"/>
      <c r="F237" s="39"/>
      <c r="G237" s="39"/>
      <c r="H237" s="39"/>
    </row>
    <row r="238" spans="1:20" ht="15" customHeight="1" x14ac:dyDescent="0.3"/>
    <row r="277" spans="1:1" x14ac:dyDescent="0.3">
      <c r="A277" s="41" t="s">
        <v>162</v>
      </c>
    </row>
    <row r="319" spans="1:1" x14ac:dyDescent="0.3">
      <c r="A319" s="41" t="s">
        <v>64</v>
      </c>
    </row>
  </sheetData>
  <mergeCells count="413">
    <mergeCell ref="B221:H221"/>
    <mergeCell ref="L183:M183"/>
    <mergeCell ref="A184:B184"/>
    <mergeCell ref="L184:M184"/>
    <mergeCell ref="A185:B185"/>
    <mergeCell ref="L185:M185"/>
    <mergeCell ref="A186:B186"/>
    <mergeCell ref="L186:M186"/>
    <mergeCell ref="C179:H179"/>
    <mergeCell ref="A203:B203"/>
    <mergeCell ref="A204:B204"/>
    <mergeCell ref="A199:H199"/>
    <mergeCell ref="A193:H193"/>
    <mergeCell ref="A208:B208"/>
    <mergeCell ref="A205:H205"/>
    <mergeCell ref="A206:B206"/>
    <mergeCell ref="A207:B207"/>
    <mergeCell ref="A209:B209"/>
    <mergeCell ref="B212:H212"/>
    <mergeCell ref="B213:H213"/>
    <mergeCell ref="B215:H215"/>
    <mergeCell ref="L187:M187"/>
    <mergeCell ref="B219:H219"/>
    <mergeCell ref="A192:B192"/>
    <mergeCell ref="L178:M178"/>
    <mergeCell ref="A179:B179"/>
    <mergeCell ref="L179:M179"/>
    <mergeCell ref="A180:B180"/>
    <mergeCell ref="L180:M180"/>
    <mergeCell ref="A181:B181"/>
    <mergeCell ref="L181:M181"/>
    <mergeCell ref="A146:H146"/>
    <mergeCell ref="L158:M158"/>
    <mergeCell ref="A159:B159"/>
    <mergeCell ref="L159:M159"/>
    <mergeCell ref="A160:B160"/>
    <mergeCell ref="L160:M160"/>
    <mergeCell ref="A161:B161"/>
    <mergeCell ref="L161:M161"/>
    <mergeCell ref="L151:M151"/>
    <mergeCell ref="L148:M148"/>
    <mergeCell ref="L149:M149"/>
    <mergeCell ref="L150:M150"/>
    <mergeCell ref="A156:B156"/>
    <mergeCell ref="L156:M156"/>
    <mergeCell ref="A152:H152"/>
    <mergeCell ref="I1:M1"/>
    <mergeCell ref="I15:P15"/>
    <mergeCell ref="F127:H127"/>
    <mergeCell ref="F125:H125"/>
    <mergeCell ref="A195:B195"/>
    <mergeCell ref="G131:H131"/>
    <mergeCell ref="A126:E126"/>
    <mergeCell ref="A60:B60"/>
    <mergeCell ref="C60:E60"/>
    <mergeCell ref="D62:H62"/>
    <mergeCell ref="F126:H126"/>
    <mergeCell ref="E131:F131"/>
    <mergeCell ref="A131:B131"/>
    <mergeCell ref="A133:B133"/>
    <mergeCell ref="C136:D136"/>
    <mergeCell ref="D72:H72"/>
    <mergeCell ref="A73:C73"/>
    <mergeCell ref="E43:H43"/>
    <mergeCell ref="A43:D43"/>
    <mergeCell ref="A84:B84"/>
    <mergeCell ref="A50:B50"/>
    <mergeCell ref="C53:H53"/>
    <mergeCell ref="L153:M153"/>
    <mergeCell ref="D67:H67"/>
    <mergeCell ref="A228:H228"/>
    <mergeCell ref="A225:H225"/>
    <mergeCell ref="A188:B188"/>
    <mergeCell ref="A136:B136"/>
    <mergeCell ref="D142:D143"/>
    <mergeCell ref="E142:E143"/>
    <mergeCell ref="A97:B97"/>
    <mergeCell ref="A99:B99"/>
    <mergeCell ref="F118:H118"/>
    <mergeCell ref="G132:H132"/>
    <mergeCell ref="A102:B102"/>
    <mergeCell ref="F124:H124"/>
    <mergeCell ref="C131:D131"/>
    <mergeCell ref="C139:D139"/>
    <mergeCell ref="A147:H147"/>
    <mergeCell ref="A197:B197"/>
    <mergeCell ref="A177:H177"/>
    <mergeCell ref="A178:B178"/>
    <mergeCell ref="A182:H182"/>
    <mergeCell ref="A183:B183"/>
    <mergeCell ref="A158:B158"/>
    <mergeCell ref="B216:H216"/>
    <mergeCell ref="A224:H224"/>
    <mergeCell ref="F117:H117"/>
    <mergeCell ref="A121:E121"/>
    <mergeCell ref="A153:B153"/>
    <mergeCell ref="B217:H217"/>
    <mergeCell ref="C138:D138"/>
    <mergeCell ref="E138:F138"/>
    <mergeCell ref="G138:H138"/>
    <mergeCell ref="A211:H211"/>
    <mergeCell ref="F119:H119"/>
    <mergeCell ref="A119:E119"/>
    <mergeCell ref="A198:B198"/>
    <mergeCell ref="B214:H214"/>
    <mergeCell ref="A168:B168"/>
    <mergeCell ref="F122:H122"/>
    <mergeCell ref="A148:B148"/>
    <mergeCell ref="A123:E123"/>
    <mergeCell ref="F123:H123"/>
    <mergeCell ref="A125:E125"/>
    <mergeCell ref="F120:H120"/>
    <mergeCell ref="A124:E124"/>
    <mergeCell ref="E136:F136"/>
    <mergeCell ref="A141:H141"/>
    <mergeCell ref="A142:A143"/>
    <mergeCell ref="F142:F143"/>
    <mergeCell ref="A210:B210"/>
    <mergeCell ref="A189:B189"/>
    <mergeCell ref="A190:B190"/>
    <mergeCell ref="A200:B200"/>
    <mergeCell ref="A149:B149"/>
    <mergeCell ref="A150:B150"/>
    <mergeCell ref="A151:B151"/>
    <mergeCell ref="A138:B138"/>
    <mergeCell ref="A202:B202"/>
    <mergeCell ref="A191:B191"/>
    <mergeCell ref="A157:H157"/>
    <mergeCell ref="A201:B201"/>
    <mergeCell ref="B142:B143"/>
    <mergeCell ref="C142:C143"/>
    <mergeCell ref="G142:G143"/>
    <mergeCell ref="G140:H140"/>
    <mergeCell ref="A167:H167"/>
    <mergeCell ref="A11:D11"/>
    <mergeCell ref="E11:H11"/>
    <mergeCell ref="A23:D24"/>
    <mergeCell ref="A88:B88"/>
    <mergeCell ref="A231:H234"/>
    <mergeCell ref="A230:B230"/>
    <mergeCell ref="E230:F230"/>
    <mergeCell ref="C230:D230"/>
    <mergeCell ref="G230:H230"/>
    <mergeCell ref="A130:H130"/>
    <mergeCell ref="A128:E128"/>
    <mergeCell ref="F128:H128"/>
    <mergeCell ref="A129:E129"/>
    <mergeCell ref="F129:H129"/>
    <mergeCell ref="A187:H187"/>
    <mergeCell ref="A137:B137"/>
    <mergeCell ref="A196:B196"/>
    <mergeCell ref="A132:B132"/>
    <mergeCell ref="A226:H226"/>
    <mergeCell ref="A135:H135"/>
    <mergeCell ref="A229:H229"/>
    <mergeCell ref="A227:H227"/>
    <mergeCell ref="A223:H223"/>
    <mergeCell ref="G136:H13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A40:B40"/>
    <mergeCell ref="C40:H40"/>
    <mergeCell ref="A49:B49"/>
    <mergeCell ref="C49:H49"/>
    <mergeCell ref="A38:H38"/>
    <mergeCell ref="A37:B37"/>
    <mergeCell ref="C37:E37"/>
    <mergeCell ref="A42:D42"/>
    <mergeCell ref="G52:H52"/>
    <mergeCell ref="A41:H41"/>
    <mergeCell ref="A68:C68"/>
    <mergeCell ref="A69:C69"/>
    <mergeCell ref="D68:H68"/>
    <mergeCell ref="A100:B100"/>
    <mergeCell ref="A101:B101"/>
    <mergeCell ref="A72:C72"/>
    <mergeCell ref="D73:H73"/>
    <mergeCell ref="A79:B79"/>
    <mergeCell ref="G78:H78"/>
    <mergeCell ref="A83:B83"/>
    <mergeCell ref="A80:B80"/>
    <mergeCell ref="A82:B82"/>
    <mergeCell ref="E78:F78"/>
    <mergeCell ref="A85:B85"/>
    <mergeCell ref="A86:B86"/>
    <mergeCell ref="A65:C67"/>
    <mergeCell ref="D65:H65"/>
    <mergeCell ref="D66:H66"/>
    <mergeCell ref="A89:B89"/>
    <mergeCell ref="A81:B81"/>
    <mergeCell ref="A87:B87"/>
    <mergeCell ref="G92:H92"/>
    <mergeCell ref="C52:E52"/>
    <mergeCell ref="E107:F116"/>
    <mergeCell ref="G107:H116"/>
    <mergeCell ref="A108:B108"/>
    <mergeCell ref="A109:B109"/>
    <mergeCell ref="A110:B110"/>
    <mergeCell ref="A111:B111"/>
    <mergeCell ref="A115:B115"/>
    <mergeCell ref="A114:B114"/>
    <mergeCell ref="E42:H42"/>
    <mergeCell ref="C56:E56"/>
    <mergeCell ref="A117:E117"/>
    <mergeCell ref="F121:H121"/>
    <mergeCell ref="E134:F134"/>
    <mergeCell ref="G134:H134"/>
    <mergeCell ref="A118:E118"/>
    <mergeCell ref="E93:F102"/>
    <mergeCell ref="C89:H89"/>
    <mergeCell ref="A93:B93"/>
    <mergeCell ref="C91:H91"/>
    <mergeCell ref="A94:B94"/>
    <mergeCell ref="A95:B95"/>
    <mergeCell ref="G93:H102"/>
    <mergeCell ref="A96:B96"/>
    <mergeCell ref="A116:B116"/>
    <mergeCell ref="A98:B98"/>
    <mergeCell ref="A91:B91"/>
    <mergeCell ref="A103:B103"/>
    <mergeCell ref="C103:H103"/>
    <mergeCell ref="A105:B105"/>
    <mergeCell ref="C105:H105"/>
    <mergeCell ref="A106:B106"/>
    <mergeCell ref="E106:F106"/>
    <mergeCell ref="G106:H106"/>
    <mergeCell ref="A107:B107"/>
    <mergeCell ref="C55:H55"/>
    <mergeCell ref="A78:B78"/>
    <mergeCell ref="E79:F88"/>
    <mergeCell ref="G79:H88"/>
    <mergeCell ref="A122:E122"/>
    <mergeCell ref="A139:B139"/>
    <mergeCell ref="E139:F139"/>
    <mergeCell ref="A127:E127"/>
    <mergeCell ref="G139:H139"/>
    <mergeCell ref="C133:D133"/>
    <mergeCell ref="E133:F133"/>
    <mergeCell ref="G133:H133"/>
    <mergeCell ref="A134:B134"/>
    <mergeCell ref="C134:D134"/>
    <mergeCell ref="D69:H69"/>
    <mergeCell ref="C57:H57"/>
    <mergeCell ref="C59:H59"/>
    <mergeCell ref="A77:B77"/>
    <mergeCell ref="A75:B75"/>
    <mergeCell ref="C75:H75"/>
    <mergeCell ref="A70:C70"/>
    <mergeCell ref="A92:B92"/>
    <mergeCell ref="E92:F92"/>
    <mergeCell ref="A120:E120"/>
    <mergeCell ref="A44:D44"/>
    <mergeCell ref="E44:H44"/>
    <mergeCell ref="E45:H45"/>
    <mergeCell ref="E46:H46"/>
    <mergeCell ref="E47:H47"/>
    <mergeCell ref="D70:H70"/>
    <mergeCell ref="C77:H77"/>
    <mergeCell ref="A71:C71"/>
    <mergeCell ref="D71:H71"/>
    <mergeCell ref="A74:C74"/>
    <mergeCell ref="D74:H74"/>
    <mergeCell ref="A48:H48"/>
    <mergeCell ref="D64:H64"/>
    <mergeCell ref="A64:C64"/>
    <mergeCell ref="A45:D45"/>
    <mergeCell ref="A61:H61"/>
    <mergeCell ref="A62:C62"/>
    <mergeCell ref="A63:C63"/>
    <mergeCell ref="D63:H63"/>
    <mergeCell ref="G60:H60"/>
    <mergeCell ref="A54:B55"/>
    <mergeCell ref="C54:E54"/>
    <mergeCell ref="G54:H54"/>
    <mergeCell ref="A56:B57"/>
    <mergeCell ref="G137:H137"/>
    <mergeCell ref="A112:B112"/>
    <mergeCell ref="A113:B113"/>
    <mergeCell ref="A154:B154"/>
    <mergeCell ref="C154:H154"/>
    <mergeCell ref="C132:D132"/>
    <mergeCell ref="A175:B175"/>
    <mergeCell ref="L175:M175"/>
    <mergeCell ref="A176:B176"/>
    <mergeCell ref="L176:M176"/>
    <mergeCell ref="A170:B170"/>
    <mergeCell ref="L170:M170"/>
    <mergeCell ref="A171:B171"/>
    <mergeCell ref="L171:M171"/>
    <mergeCell ref="A172:H172"/>
    <mergeCell ref="A173:B173"/>
    <mergeCell ref="L173:M173"/>
    <mergeCell ref="A174:B174"/>
    <mergeCell ref="L174:M174"/>
    <mergeCell ref="A140:B140"/>
    <mergeCell ref="E132:F132"/>
    <mergeCell ref="L154:M154"/>
    <mergeCell ref="A155:B155"/>
    <mergeCell ref="L155:M155"/>
    <mergeCell ref="I11:L11"/>
    <mergeCell ref="I118:N118"/>
    <mergeCell ref="I121:N123"/>
    <mergeCell ref="B222:H222"/>
    <mergeCell ref="L168:M168"/>
    <mergeCell ref="A169:B169"/>
    <mergeCell ref="L169:M169"/>
    <mergeCell ref="C137:D137"/>
    <mergeCell ref="A162:H162"/>
    <mergeCell ref="A163:B163"/>
    <mergeCell ref="A164:B164"/>
    <mergeCell ref="A165:B165"/>
    <mergeCell ref="L165:M165"/>
    <mergeCell ref="A166:B166"/>
    <mergeCell ref="L166:M166"/>
    <mergeCell ref="A144:H144"/>
    <mergeCell ref="J163:N164"/>
    <mergeCell ref="A194:B194"/>
    <mergeCell ref="A145:H145"/>
    <mergeCell ref="C140:D140"/>
    <mergeCell ref="E140:F140"/>
    <mergeCell ref="B220:H220"/>
    <mergeCell ref="B218:H218"/>
    <mergeCell ref="E137:F137"/>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G230:H230" xr:uid="{00000000-0002-0000-0000-000003000000}">
      <formula1>"Kunal Kadam,Pranita Mhatre,Shruti Fule,Pooja Kawale,Gaurav Panchal,Shruti Tathare, Hitakshi Mhatre, Sachin Sawant"</formula1>
    </dataValidation>
    <dataValidation type="list" allowBlank="1" showInputMessage="1" showErrorMessage="1" sqref="F117:H117" xr:uid="{00000000-0002-0000-0000-000004000000}">
      <formula1>"On Saleable Area,On Builtup Area,On Carpet Area,On Plot Area"</formula1>
    </dataValidation>
    <dataValidation type="list" allowBlank="1" showInputMessage="1" showErrorMessage="1" sqref="F128:H128" xr:uid="{00000000-0002-0000-0000-000005000000}">
      <formula1>OFFSET($S$117,1,MATCH($G20,$S$117:$W$117,0)-1,15,1)</formula1>
    </dataValidation>
    <dataValidation type="list" allowBlank="1" showInputMessage="1" showErrorMessage="1" sqref="B142:B143" xr:uid="{00000000-0002-0000-0000-000006000000}">
      <formula1>"Flat No. (Sale Plan),Sale / Rehab,Sale / Mhada"</formula1>
    </dataValidation>
    <dataValidation type="list" allowBlank="1" showInputMessage="1" showErrorMessage="1" sqref="C21:D21" xr:uid="{00000000-0002-0000-0000-000007000000}">
      <formula1>OFFSET($S$13,1,MATCH($G20,$S$13:$W$13,0)-1,15,1)</formula1>
    </dataValidation>
    <dataValidation type="list" allowBlank="1" showInputMessage="1" showErrorMessage="1" sqref="Y13" xr:uid="{00000000-0002-0000-0000-000008000000}">
      <formula1>$D$5:$H$5</formula1>
    </dataValidation>
    <dataValidation type="list" allowBlank="1" showInputMessage="1" showErrorMessage="1" sqref="E142:E143" xr:uid="{00000000-0002-0000-0000-000009000000}">
      <formula1>"Fungible area,Balcony Area,DB + FB Area,Chajja Area,Cornice Area,AP Area,WS Area"</formula1>
    </dataValidation>
    <dataValidation type="list" allowBlank="1" showInputMessage="1" showErrorMessage="1" sqref="H143" xr:uid="{00000000-0002-0000-0000-00000A000000}">
      <formula1>".45,.50,.55,.60"</formula1>
    </dataValidation>
    <dataValidation type="list" allowBlank="1" showInputMessage="1" showErrorMessage="1" sqref="E4:H4" xr:uid="{00000000-0002-0000-0000-00000B000000}">
      <formula1>$L$3:$P$3</formula1>
    </dataValidation>
    <dataValidation type="list" allowBlank="1" showInputMessage="1" showErrorMessage="1" sqref="C49:H49" xr:uid="{00000000-0002-0000-0000-00000C000000}">
      <formula1>OFFSET($S$49,1,MATCH($G20,$S$49:$W$49,0)-1,15,1)</formula1>
    </dataValidation>
    <dataValidation type="whole" allowBlank="1" showInputMessage="1" showErrorMessage="1" sqref="C84 C98 C112" xr:uid="{00000000-0002-0000-0000-00000D000000}">
      <formula1>0</formula1>
      <formula2>H76</formula2>
    </dataValidation>
    <dataValidation type="list" allowBlank="1" showInputMessage="1" showErrorMessage="1" sqref="H142" xr:uid="{00000000-0002-0000-0000-00000E000000}">
      <formula1>"Saleable area Loading :,Builder Saleable Area"</formula1>
    </dataValidation>
    <dataValidation type="list" allowBlank="1" showInputMessage="1" showErrorMessage="1" sqref="D142:D143" xr:uid="{00000000-0002-0000-0000-00000F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34" max="16383" man="1"/>
    <brk id="276" max="16383" man="1"/>
    <brk id="318"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67" t="s">
        <v>104</v>
      </c>
      <c r="C3" s="267"/>
      <c r="D3" s="267"/>
      <c r="E3" s="267"/>
      <c r="F3" s="267"/>
      <c r="G3" s="267"/>
      <c r="H3" s="267"/>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1"/>
      <c r="C4" s="51" t="s">
        <v>11</v>
      </c>
      <c r="D4" s="52" t="s">
        <v>175</v>
      </c>
      <c r="E4" s="52" t="s">
        <v>185</v>
      </c>
      <c r="F4" s="52" t="s">
        <v>172</v>
      </c>
      <c r="G4" s="52" t="s">
        <v>190</v>
      </c>
      <c r="H4" s="52" t="s">
        <v>208</v>
      </c>
      <c r="J4" t="s">
        <v>190</v>
      </c>
      <c r="K4" t="s">
        <v>206</v>
      </c>
    </row>
    <row r="5" spans="2:11" x14ac:dyDescent="0.3">
      <c r="B5" s="51"/>
      <c r="C5" s="51"/>
      <c r="D5" s="52" t="s">
        <v>176</v>
      </c>
      <c r="E5" s="52" t="s">
        <v>183</v>
      </c>
      <c r="F5" s="52" t="s">
        <v>205</v>
      </c>
      <c r="G5" s="52" t="s">
        <v>191</v>
      </c>
      <c r="H5" s="52" t="s">
        <v>209</v>
      </c>
    </row>
    <row r="6" spans="2:11" x14ac:dyDescent="0.3">
      <c r="B6" s="51"/>
      <c r="C6" s="51"/>
      <c r="D6" s="52" t="s">
        <v>177</v>
      </c>
      <c r="E6" s="52" t="s">
        <v>184</v>
      </c>
      <c r="F6" s="52" t="s">
        <v>206</v>
      </c>
      <c r="G6" s="52" t="s">
        <v>192</v>
      </c>
      <c r="H6" s="52" t="s">
        <v>222</v>
      </c>
    </row>
    <row r="7" spans="2:11" x14ac:dyDescent="0.3">
      <c r="B7" s="51"/>
      <c r="C7" s="51"/>
      <c r="D7" s="52" t="s">
        <v>178</v>
      </c>
      <c r="E7" s="52" t="s">
        <v>186</v>
      </c>
      <c r="F7" s="52" t="s">
        <v>207</v>
      </c>
      <c r="G7" s="52" t="s">
        <v>193</v>
      </c>
      <c r="H7" s="52" t="s">
        <v>210</v>
      </c>
    </row>
    <row r="8" spans="2:11" x14ac:dyDescent="0.3">
      <c r="B8" s="51"/>
      <c r="C8" s="51"/>
      <c r="D8" s="52" t="s">
        <v>179</v>
      </c>
      <c r="E8" s="52" t="s">
        <v>187</v>
      </c>
      <c r="F8" s="52"/>
      <c r="G8" s="52" t="s">
        <v>194</v>
      </c>
      <c r="H8" s="52" t="s">
        <v>211</v>
      </c>
    </row>
    <row r="9" spans="2:11" x14ac:dyDescent="0.3">
      <c r="B9" s="51"/>
      <c r="C9" s="51"/>
      <c r="D9" s="52" t="s">
        <v>180</v>
      </c>
      <c r="E9" s="52" t="s">
        <v>185</v>
      </c>
      <c r="F9" s="52"/>
      <c r="G9" s="52" t="s">
        <v>195</v>
      </c>
      <c r="H9" s="52" t="s">
        <v>212</v>
      </c>
    </row>
    <row r="10" spans="2:11" x14ac:dyDescent="0.3">
      <c r="B10" s="51"/>
      <c r="C10" s="51"/>
      <c r="D10" s="52" t="s">
        <v>181</v>
      </c>
      <c r="E10" s="52" t="s">
        <v>188</v>
      </c>
      <c r="F10" s="52"/>
      <c r="G10" s="52" t="s">
        <v>196</v>
      </c>
      <c r="H10" s="52" t="s">
        <v>213</v>
      </c>
    </row>
    <row r="11" spans="2:11" x14ac:dyDescent="0.3">
      <c r="B11" s="51"/>
      <c r="C11" s="51"/>
      <c r="D11" s="52" t="s">
        <v>182</v>
      </c>
      <c r="E11" s="52" t="s">
        <v>189</v>
      </c>
      <c r="F11" s="52"/>
      <c r="G11" s="52" t="s">
        <v>197</v>
      </c>
      <c r="H11" s="52" t="s">
        <v>214</v>
      </c>
    </row>
    <row r="12" spans="2:11" x14ac:dyDescent="0.3">
      <c r="B12" s="51"/>
      <c r="C12" s="51"/>
      <c r="D12" s="52"/>
      <c r="E12" s="52"/>
      <c r="F12" s="52"/>
      <c r="G12" s="52" t="s">
        <v>198</v>
      </c>
      <c r="H12" s="52" t="s">
        <v>215</v>
      </c>
    </row>
    <row r="13" spans="2:11" x14ac:dyDescent="0.3">
      <c r="B13" s="51"/>
      <c r="C13" s="51"/>
      <c r="D13" s="52"/>
      <c r="E13" s="52"/>
      <c r="F13" s="52"/>
      <c r="G13" s="52" t="s">
        <v>199</v>
      </c>
      <c r="H13" s="52" t="s">
        <v>216</v>
      </c>
    </row>
    <row r="14" spans="2:11" x14ac:dyDescent="0.3">
      <c r="B14" s="51"/>
      <c r="C14" s="51"/>
      <c r="D14" s="52"/>
      <c r="E14" s="52"/>
      <c r="F14" s="52"/>
      <c r="G14" s="52" t="s">
        <v>200</v>
      </c>
      <c r="H14" s="52" t="s">
        <v>217</v>
      </c>
    </row>
    <row r="15" spans="2:11" x14ac:dyDescent="0.3">
      <c r="B15" s="51"/>
      <c r="C15" s="51"/>
      <c r="D15" s="52"/>
      <c r="E15" s="52"/>
      <c r="F15" s="52"/>
      <c r="G15" s="52" t="s">
        <v>201</v>
      </c>
      <c r="H15" s="52" t="s">
        <v>218</v>
      </c>
    </row>
    <row r="16" spans="2:11" x14ac:dyDescent="0.3">
      <c r="B16" s="51"/>
      <c r="C16" s="51"/>
      <c r="D16" s="52"/>
      <c r="E16" s="52"/>
      <c r="F16" s="52"/>
      <c r="G16" s="52" t="s">
        <v>202</v>
      </c>
      <c r="H16" s="52" t="s">
        <v>219</v>
      </c>
    </row>
    <row r="17" spans="2:8" x14ac:dyDescent="0.3">
      <c r="B17" s="51"/>
      <c r="C17" s="51"/>
      <c r="D17" s="52"/>
      <c r="E17" s="52"/>
      <c r="F17" s="52"/>
      <c r="G17" s="52" t="s">
        <v>203</v>
      </c>
      <c r="H17" s="52" t="s">
        <v>220</v>
      </c>
    </row>
    <row r="18" spans="2:8" x14ac:dyDescent="0.3">
      <c r="B18" s="51"/>
      <c r="C18" s="51"/>
      <c r="D18" s="52"/>
      <c r="E18" s="52"/>
      <c r="F18" s="52"/>
      <c r="G18" s="52" t="s">
        <v>204</v>
      </c>
      <c r="H18" s="52" t="s">
        <v>221</v>
      </c>
    </row>
    <row r="24" spans="2:8" x14ac:dyDescent="0.3">
      <c r="C24" t="s">
        <v>169</v>
      </c>
    </row>
    <row r="25" spans="2:8" x14ac:dyDescent="0.3">
      <c r="C25" t="s">
        <v>223</v>
      </c>
    </row>
    <row r="26" spans="2:8" x14ac:dyDescent="0.3">
      <c r="C26" t="s">
        <v>224</v>
      </c>
    </row>
    <row r="27" spans="2:8" x14ac:dyDescent="0.3">
      <c r="C27" t="s">
        <v>225</v>
      </c>
    </row>
    <row r="28" spans="2:8" x14ac:dyDescent="0.3">
      <c r="C28" t="s">
        <v>226</v>
      </c>
    </row>
    <row r="29" spans="2:8" x14ac:dyDescent="0.3">
      <c r="C29" t="s">
        <v>227</v>
      </c>
    </row>
    <row r="30" spans="2:8" x14ac:dyDescent="0.3">
      <c r="C30" t="s">
        <v>169</v>
      </c>
    </row>
    <row r="33" spans="3:11" x14ac:dyDescent="0.3">
      <c r="J33">
        <v>1</v>
      </c>
      <c r="K33">
        <v>2</v>
      </c>
    </row>
    <row r="34" spans="3:11" x14ac:dyDescent="0.3">
      <c r="C34" s="53" t="s">
        <v>232</v>
      </c>
      <c r="D34" s="52" t="s">
        <v>230</v>
      </c>
      <c r="E34" s="52" t="s">
        <v>235</v>
      </c>
      <c r="F34" s="52" t="s">
        <v>233</v>
      </c>
      <c r="G34" s="52" t="s">
        <v>234</v>
      </c>
      <c r="H34" s="52" t="s">
        <v>236</v>
      </c>
      <c r="J34" t="s">
        <v>190</v>
      </c>
      <c r="K34" t="s">
        <v>206</v>
      </c>
    </row>
    <row r="35" spans="3:11" x14ac:dyDescent="0.3">
      <c r="C35" s="51" t="s">
        <v>231</v>
      </c>
      <c r="D35" s="52" t="s">
        <v>170</v>
      </c>
      <c r="E35" s="52" t="s">
        <v>240</v>
      </c>
      <c r="F35" s="52" t="s">
        <v>242</v>
      </c>
      <c r="G35" s="52" t="s">
        <v>244</v>
      </c>
      <c r="H35" s="52"/>
    </row>
    <row r="36" spans="3:11" x14ac:dyDescent="0.3">
      <c r="C36" s="51"/>
      <c r="D36" s="52" t="s">
        <v>237</v>
      </c>
      <c r="E36" s="52" t="s">
        <v>241</v>
      </c>
      <c r="F36" s="52" t="s">
        <v>243</v>
      </c>
      <c r="G36" s="52" t="s">
        <v>245</v>
      </c>
      <c r="H36" s="52"/>
    </row>
    <row r="37" spans="3:11" x14ac:dyDescent="0.3">
      <c r="C37" s="51"/>
      <c r="D37" s="52" t="s">
        <v>238</v>
      </c>
      <c r="E37" s="52"/>
      <c r="F37" s="52"/>
      <c r="G37" s="52" t="s">
        <v>246</v>
      </c>
      <c r="H37" s="52"/>
    </row>
    <row r="38" spans="3:11" x14ac:dyDescent="0.3">
      <c r="C38" s="51"/>
      <c r="D38" s="52" t="s">
        <v>239</v>
      </c>
      <c r="E38" s="52"/>
      <c r="F38" s="52"/>
      <c r="G38" s="52" t="s">
        <v>246</v>
      </c>
      <c r="H38" s="52"/>
    </row>
    <row r="39" spans="3:11" x14ac:dyDescent="0.3">
      <c r="C39" s="51"/>
      <c r="D39" s="52"/>
      <c r="E39" s="52"/>
      <c r="F39" s="52"/>
      <c r="G39" s="52" t="s">
        <v>247</v>
      </c>
      <c r="H39" s="52"/>
    </row>
    <row r="40" spans="3:11" x14ac:dyDescent="0.3">
      <c r="C40" s="51"/>
      <c r="D40" s="52"/>
      <c r="E40" s="52"/>
      <c r="F40" s="52"/>
      <c r="G40" s="52" t="s">
        <v>248</v>
      </c>
      <c r="H40" s="52"/>
    </row>
    <row r="41" spans="3:11" x14ac:dyDescent="0.3">
      <c r="C41" s="51"/>
      <c r="D41" s="52"/>
      <c r="E41" s="52"/>
      <c r="F41" s="52"/>
      <c r="G41" s="52"/>
      <c r="H41" s="52"/>
    </row>
    <row r="43" spans="3:11" x14ac:dyDescent="0.3">
      <c r="C43" t="s">
        <v>249</v>
      </c>
    </row>
    <row r="44" spans="3:11" x14ac:dyDescent="0.3">
      <c r="C44" t="s">
        <v>172</v>
      </c>
      <c r="D44" t="s">
        <v>250</v>
      </c>
    </row>
    <row r="45" spans="3:11" x14ac:dyDescent="0.3">
      <c r="D45" t="s">
        <v>251</v>
      </c>
    </row>
    <row r="46" spans="3:11" x14ac:dyDescent="0.3">
      <c r="D46" t="s">
        <v>252</v>
      </c>
    </row>
    <row r="47" spans="3:11" x14ac:dyDescent="0.3">
      <c r="D47" t="s">
        <v>253</v>
      </c>
    </row>
    <row r="48" spans="3:11" x14ac:dyDescent="0.3">
      <c r="D48" t="s">
        <v>254</v>
      </c>
    </row>
    <row r="49" spans="3:4" x14ac:dyDescent="0.3">
      <c r="C49" t="s">
        <v>175</v>
      </c>
      <c r="D49" t="s">
        <v>255</v>
      </c>
    </row>
    <row r="50" spans="3:4" x14ac:dyDescent="0.3">
      <c r="D50" t="s">
        <v>256</v>
      </c>
    </row>
    <row r="51" spans="3:4" x14ac:dyDescent="0.3">
      <c r="D51" t="s">
        <v>257</v>
      </c>
    </row>
    <row r="52" spans="3:4" x14ac:dyDescent="0.3">
      <c r="D52" t="s">
        <v>260</v>
      </c>
    </row>
    <row r="53" spans="3:4" x14ac:dyDescent="0.3">
      <c r="D53" t="s">
        <v>258</v>
      </c>
    </row>
    <row r="54" spans="3:4" x14ac:dyDescent="0.3">
      <c r="D54" t="s">
        <v>259</v>
      </c>
    </row>
    <row r="55" spans="3:4" x14ac:dyDescent="0.3">
      <c r="D55" t="s">
        <v>261</v>
      </c>
    </row>
    <row r="56" spans="3:4" x14ac:dyDescent="0.3">
      <c r="D56" t="s">
        <v>262</v>
      </c>
    </row>
    <row r="57" spans="3:4" x14ac:dyDescent="0.3">
      <c r="D57" t="s">
        <v>263</v>
      </c>
    </row>
    <row r="58" spans="3:4" x14ac:dyDescent="0.3">
      <c r="D58" t="s">
        <v>265</v>
      </c>
    </row>
    <row r="59" spans="3:4" x14ac:dyDescent="0.3">
      <c r="D59" t="s">
        <v>274</v>
      </c>
    </row>
    <row r="60" spans="3:4" x14ac:dyDescent="0.3">
      <c r="C60" t="s">
        <v>190</v>
      </c>
      <c r="D60" t="s">
        <v>266</v>
      </c>
    </row>
    <row r="61" spans="3:4" x14ac:dyDescent="0.3">
      <c r="D61" t="s">
        <v>264</v>
      </c>
    </row>
    <row r="62" spans="3:4" x14ac:dyDescent="0.3">
      <c r="D62" t="s">
        <v>254</v>
      </c>
    </row>
    <row r="63" spans="3:4" x14ac:dyDescent="0.3">
      <c r="D63" t="s">
        <v>267</v>
      </c>
    </row>
    <row r="64" spans="3:4" x14ac:dyDescent="0.3">
      <c r="D64" t="s">
        <v>268</v>
      </c>
    </row>
    <row r="65" spans="3:4" x14ac:dyDescent="0.3">
      <c r="D65" t="s">
        <v>269</v>
      </c>
    </row>
    <row r="66" spans="3:4" x14ac:dyDescent="0.3">
      <c r="D66" t="s">
        <v>270</v>
      </c>
    </row>
    <row r="67" spans="3:4" x14ac:dyDescent="0.3">
      <c r="C67" t="s">
        <v>185</v>
      </c>
      <c r="D67" t="s">
        <v>271</v>
      </c>
    </row>
    <row r="68" spans="3:4" x14ac:dyDescent="0.3">
      <c r="D68" t="s">
        <v>272</v>
      </c>
    </row>
    <row r="69" spans="3:4" x14ac:dyDescent="0.3">
      <c r="D69" t="s">
        <v>273</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9" workbookViewId="0">
      <selection sqref="A1:XFD1048576"/>
    </sheetView>
  </sheetViews>
  <sheetFormatPr defaultRowHeight="14.4" x14ac:dyDescent="0.3"/>
  <cols>
    <col min="2" max="2" width="3" bestFit="1" customWidth="1"/>
    <col min="3" max="3" width="155.33203125" customWidth="1"/>
  </cols>
  <sheetData>
    <row r="2" spans="2:3" ht="15" customHeight="1" x14ac:dyDescent="0.3">
      <c r="B2" s="54">
        <v>1</v>
      </c>
      <c r="C2" s="56" t="s">
        <v>280</v>
      </c>
    </row>
    <row r="3" spans="2:3" x14ac:dyDescent="0.3">
      <c r="B3" s="54">
        <v>2</v>
      </c>
      <c r="C3" s="55" t="s">
        <v>281</v>
      </c>
    </row>
    <row r="4" spans="2:3" x14ac:dyDescent="0.3">
      <c r="B4" s="54">
        <v>3</v>
      </c>
      <c r="C4" s="54" t="s">
        <v>282</v>
      </c>
    </row>
    <row r="5" spans="2:3" x14ac:dyDescent="0.3">
      <c r="B5" s="54">
        <v>4</v>
      </c>
      <c r="C5" s="55" t="s">
        <v>283</v>
      </c>
    </row>
    <row r="6" spans="2:3" x14ac:dyDescent="0.3">
      <c r="B6" s="54">
        <v>5</v>
      </c>
      <c r="C6" s="54" t="s">
        <v>284</v>
      </c>
    </row>
    <row r="7" spans="2:3" x14ac:dyDescent="0.3">
      <c r="B7" s="54">
        <v>6</v>
      </c>
      <c r="C7" s="55" t="s">
        <v>285</v>
      </c>
    </row>
    <row r="8" spans="2:3" ht="72" x14ac:dyDescent="0.3">
      <c r="B8" s="54">
        <v>7</v>
      </c>
      <c r="C8" s="55" t="s">
        <v>286</v>
      </c>
    </row>
    <row r="9" spans="2:3" x14ac:dyDescent="0.3">
      <c r="B9" s="54">
        <v>8</v>
      </c>
      <c r="C9" s="54" t="s">
        <v>287</v>
      </c>
    </row>
    <row r="10" spans="2:3" x14ac:dyDescent="0.3">
      <c r="B10" s="54">
        <v>9</v>
      </c>
      <c r="C10" s="54" t="s">
        <v>288</v>
      </c>
    </row>
    <row r="11" spans="2:3" x14ac:dyDescent="0.3">
      <c r="B11" s="54">
        <v>10</v>
      </c>
      <c r="C11" s="54" t="s">
        <v>289</v>
      </c>
    </row>
    <row r="12" spans="2:3" x14ac:dyDescent="0.3">
      <c r="B12" s="54">
        <v>11</v>
      </c>
      <c r="C12" s="54" t="s">
        <v>290</v>
      </c>
    </row>
    <row r="13" spans="2:3" x14ac:dyDescent="0.3">
      <c r="B13" s="54">
        <v>12</v>
      </c>
      <c r="C13" s="54" t="s">
        <v>291</v>
      </c>
    </row>
    <row r="14" spans="2:3" x14ac:dyDescent="0.3">
      <c r="B14" s="54">
        <v>13</v>
      </c>
      <c r="C14" s="54" t="s">
        <v>292</v>
      </c>
    </row>
    <row r="15" spans="2:3" x14ac:dyDescent="0.3">
      <c r="B15" s="54">
        <v>14</v>
      </c>
      <c r="C15" s="54" t="s">
        <v>282</v>
      </c>
    </row>
    <row r="16" spans="2:3" x14ac:dyDescent="0.3">
      <c r="B16" s="54">
        <v>15</v>
      </c>
      <c r="C16" s="54" t="s">
        <v>295</v>
      </c>
    </row>
    <row r="17" spans="2:3" ht="31.5" customHeight="1" x14ac:dyDescent="0.3">
      <c r="B17" s="75">
        <v>16</v>
      </c>
      <c r="C17" s="60" t="s">
        <v>296</v>
      </c>
    </row>
    <row r="18" spans="2:3" x14ac:dyDescent="0.3">
      <c r="B18" s="59">
        <v>17</v>
      </c>
      <c r="C18" s="60" t="s">
        <v>297</v>
      </c>
    </row>
    <row r="19" spans="2:3" x14ac:dyDescent="0.3">
      <c r="B19" s="58">
        <v>18</v>
      </c>
      <c r="C19" s="54" t="s">
        <v>298</v>
      </c>
    </row>
    <row r="20" spans="2:3" x14ac:dyDescent="0.3">
      <c r="B20" s="59">
        <v>19</v>
      </c>
      <c r="C20" s="54" t="s">
        <v>334</v>
      </c>
    </row>
    <row r="21" spans="2:3" x14ac:dyDescent="0.3">
      <c r="B21" s="54">
        <v>20</v>
      </c>
      <c r="C21" s="54" t="s">
        <v>299</v>
      </c>
    </row>
    <row r="22" spans="2:3" x14ac:dyDescent="0.3">
      <c r="B22" s="59">
        <v>21</v>
      </c>
      <c r="C22" s="54" t="s">
        <v>298</v>
      </c>
    </row>
    <row r="23" spans="2:3" s="68" customFormat="1" ht="29.25" customHeight="1" x14ac:dyDescent="0.3">
      <c r="B23" s="67">
        <v>22</v>
      </c>
      <c r="C23" s="56" t="s">
        <v>326</v>
      </c>
    </row>
    <row r="24" spans="2:3" s="68" customFormat="1" ht="30.75" customHeight="1" x14ac:dyDescent="0.3">
      <c r="B24" s="69">
        <v>23</v>
      </c>
      <c r="C24" s="56" t="s">
        <v>327</v>
      </c>
    </row>
    <row r="25" spans="2:3" x14ac:dyDescent="0.3">
      <c r="B25" s="54">
        <v>24</v>
      </c>
      <c r="C25" s="54" t="s">
        <v>330</v>
      </c>
    </row>
    <row r="26" spans="2:3" x14ac:dyDescent="0.3">
      <c r="B26" s="59">
        <v>25</v>
      </c>
      <c r="C26" s="54" t="s">
        <v>328</v>
      </c>
    </row>
    <row r="27" spans="2:3" x14ac:dyDescent="0.3">
      <c r="B27" s="69">
        <v>26</v>
      </c>
      <c r="C27" s="54" t="s">
        <v>329</v>
      </c>
    </row>
    <row r="28" spans="2:3" x14ac:dyDescent="0.3">
      <c r="B28" s="59">
        <v>27</v>
      </c>
      <c r="C28" s="54" t="s">
        <v>331</v>
      </c>
    </row>
    <row r="29" spans="2:3" ht="43.2" x14ac:dyDescent="0.3">
      <c r="B29" s="74">
        <v>28</v>
      </c>
      <c r="C29" s="55" t="s">
        <v>332</v>
      </c>
    </row>
    <row r="30" spans="2:3" x14ac:dyDescent="0.3">
      <c r="B30" s="69">
        <v>29</v>
      </c>
      <c r="C30" s="54" t="s">
        <v>333</v>
      </c>
    </row>
    <row r="31" spans="2:3" x14ac:dyDescent="0.3">
      <c r="B31" s="69">
        <v>30</v>
      </c>
      <c r="C31" s="54"/>
    </row>
    <row r="32" spans="2:3" x14ac:dyDescent="0.3">
      <c r="B32" s="69">
        <v>31</v>
      </c>
      <c r="C32" s="54"/>
    </row>
    <row r="33" spans="2:3" x14ac:dyDescent="0.3">
      <c r="B33" s="69">
        <v>32</v>
      </c>
      <c r="C33" s="54"/>
    </row>
    <row r="34" spans="2:3" x14ac:dyDescent="0.3">
      <c r="B34" s="69">
        <v>33</v>
      </c>
      <c r="C34" s="54"/>
    </row>
    <row r="35" spans="2:3" x14ac:dyDescent="0.3">
      <c r="B35" s="69">
        <v>34</v>
      </c>
      <c r="C35" s="54"/>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1"/>
    <col min="2" max="2" width="12.33203125" style="51" customWidth="1"/>
    <col min="3" max="16384" width="9.109375" style="51"/>
  </cols>
  <sheetData>
    <row r="2" spans="1:12" x14ac:dyDescent="0.3">
      <c r="B2" s="61" t="s">
        <v>300</v>
      </c>
      <c r="C2" s="268"/>
      <c r="D2" s="268"/>
    </row>
    <row r="3" spans="1:12" x14ac:dyDescent="0.3">
      <c r="D3" s="62"/>
      <c r="E3" s="62"/>
      <c r="F3" s="62"/>
      <c r="G3" s="62"/>
      <c r="H3" s="62"/>
      <c r="I3" s="62"/>
    </row>
    <row r="4" spans="1:12" x14ac:dyDescent="0.3">
      <c r="A4" s="61" t="s">
        <v>66</v>
      </c>
      <c r="B4" s="63" t="s">
        <v>301</v>
      </c>
      <c r="C4" s="269" t="s">
        <v>302</v>
      </c>
      <c r="D4" s="269"/>
      <c r="E4" s="269"/>
      <c r="F4" s="63"/>
      <c r="G4" s="270" t="s">
        <v>303</v>
      </c>
      <c r="H4" s="270"/>
      <c r="I4" s="270"/>
      <c r="J4" s="271" t="s">
        <v>304</v>
      </c>
      <c r="K4" s="271"/>
      <c r="L4" s="271"/>
    </row>
    <row r="5" spans="1:12" x14ac:dyDescent="0.3">
      <c r="A5" s="61"/>
      <c r="B5" s="63"/>
      <c r="C5" s="63" t="s">
        <v>305</v>
      </c>
      <c r="D5" s="63" t="s">
        <v>306</v>
      </c>
      <c r="E5" s="63" t="s">
        <v>307</v>
      </c>
      <c r="F5" s="63"/>
      <c r="G5" s="63" t="s">
        <v>305</v>
      </c>
      <c r="H5" s="63" t="s">
        <v>306</v>
      </c>
      <c r="I5" s="63" t="s">
        <v>307</v>
      </c>
      <c r="J5" s="63" t="s">
        <v>305</v>
      </c>
      <c r="K5" s="63" t="s">
        <v>306</v>
      </c>
      <c r="L5" s="63" t="s">
        <v>307</v>
      </c>
    </row>
    <row r="6" spans="1:12" x14ac:dyDescent="0.3">
      <c r="B6" s="52" t="s">
        <v>308</v>
      </c>
      <c r="C6" s="52"/>
      <c r="D6" s="52"/>
      <c r="E6" s="52">
        <f>C6*D6</f>
        <v>0</v>
      </c>
      <c r="F6" s="52" t="s">
        <v>325</v>
      </c>
      <c r="G6" s="52"/>
      <c r="H6" s="52"/>
      <c r="I6" s="52">
        <f>G6*H6</f>
        <v>0</v>
      </c>
      <c r="J6" s="52"/>
      <c r="K6" s="52"/>
      <c r="L6" s="52">
        <f>J6*K6</f>
        <v>0</v>
      </c>
    </row>
    <row r="7" spans="1:12" x14ac:dyDescent="0.3">
      <c r="B7" s="52"/>
      <c r="C7" s="52"/>
      <c r="D7" s="52"/>
      <c r="E7" s="52">
        <f t="shared" ref="E7:E41" si="0">C7*D7</f>
        <v>0</v>
      </c>
      <c r="F7" s="52" t="s">
        <v>325</v>
      </c>
      <c r="G7" s="52"/>
      <c r="H7" s="52"/>
      <c r="I7" s="52">
        <f t="shared" ref="I7:I35" si="1">G7*H7</f>
        <v>0</v>
      </c>
      <c r="J7" s="52"/>
      <c r="K7" s="52"/>
      <c r="L7" s="52">
        <f t="shared" ref="L7:L35" si="2">J7*K7</f>
        <v>0</v>
      </c>
    </row>
    <row r="8" spans="1:12" x14ac:dyDescent="0.3">
      <c r="B8" s="52"/>
      <c r="C8" s="52"/>
      <c r="D8" s="52"/>
      <c r="E8" s="52">
        <f t="shared" si="0"/>
        <v>0</v>
      </c>
      <c r="F8" s="52"/>
      <c r="G8" s="52"/>
      <c r="H8" s="52"/>
      <c r="I8" s="52">
        <f t="shared" si="1"/>
        <v>0</v>
      </c>
      <c r="J8" s="52"/>
      <c r="K8" s="52"/>
      <c r="L8" s="52">
        <f t="shared" si="2"/>
        <v>0</v>
      </c>
    </row>
    <row r="9" spans="1:12" x14ac:dyDescent="0.3">
      <c r="B9" s="52"/>
      <c r="C9" s="52"/>
      <c r="D9" s="52"/>
      <c r="E9" s="52">
        <f t="shared" si="0"/>
        <v>0</v>
      </c>
      <c r="F9" s="52" t="s">
        <v>309</v>
      </c>
      <c r="G9" s="52"/>
      <c r="H9" s="52"/>
      <c r="I9" s="52">
        <f t="shared" si="1"/>
        <v>0</v>
      </c>
      <c r="J9" s="52"/>
      <c r="K9" s="52"/>
      <c r="L9" s="52">
        <f t="shared" si="2"/>
        <v>0</v>
      </c>
    </row>
    <row r="10" spans="1:12" x14ac:dyDescent="0.3">
      <c r="B10" s="52" t="s">
        <v>310</v>
      </c>
      <c r="C10" s="52"/>
      <c r="D10" s="52"/>
      <c r="E10" s="52">
        <f t="shared" si="0"/>
        <v>0</v>
      </c>
      <c r="F10" s="52" t="s">
        <v>309</v>
      </c>
      <c r="G10" s="52"/>
      <c r="H10" s="52"/>
      <c r="I10" s="52">
        <f t="shared" si="1"/>
        <v>0</v>
      </c>
      <c r="J10" s="52"/>
      <c r="K10" s="52"/>
      <c r="L10" s="52">
        <f t="shared" si="2"/>
        <v>0</v>
      </c>
    </row>
    <row r="11" spans="1:12" x14ac:dyDescent="0.3">
      <c r="B11" s="52"/>
      <c r="C11" s="52"/>
      <c r="D11" s="52"/>
      <c r="E11" s="52">
        <f t="shared" si="0"/>
        <v>0</v>
      </c>
      <c r="F11" s="52" t="s">
        <v>311</v>
      </c>
      <c r="G11" s="52"/>
      <c r="H11" s="52"/>
      <c r="I11" s="52">
        <f t="shared" si="1"/>
        <v>0</v>
      </c>
      <c r="J11" s="52"/>
      <c r="K11" s="52"/>
      <c r="L11" s="52">
        <f t="shared" si="2"/>
        <v>0</v>
      </c>
    </row>
    <row r="12" spans="1:12" x14ac:dyDescent="0.3">
      <c r="B12" s="52"/>
      <c r="C12" s="52"/>
      <c r="D12" s="52"/>
      <c r="E12" s="52">
        <f t="shared" si="0"/>
        <v>0</v>
      </c>
      <c r="F12" s="52"/>
      <c r="G12" s="52"/>
      <c r="H12" s="52"/>
      <c r="I12" s="52">
        <f t="shared" si="1"/>
        <v>0</v>
      </c>
      <c r="J12" s="52"/>
      <c r="K12" s="52"/>
      <c r="L12" s="52">
        <f t="shared" si="2"/>
        <v>0</v>
      </c>
    </row>
    <row r="13" spans="1:12" x14ac:dyDescent="0.3">
      <c r="B13" s="52"/>
      <c r="C13" s="52"/>
      <c r="D13" s="52"/>
      <c r="E13" s="52">
        <f t="shared" si="0"/>
        <v>0</v>
      </c>
      <c r="F13" s="52"/>
      <c r="G13" s="52"/>
      <c r="H13" s="52"/>
      <c r="I13" s="52">
        <f t="shared" si="1"/>
        <v>0</v>
      </c>
      <c r="J13" s="52"/>
      <c r="K13" s="52"/>
      <c r="L13" s="52">
        <f t="shared" si="2"/>
        <v>0</v>
      </c>
    </row>
    <row r="14" spans="1:12" x14ac:dyDescent="0.3">
      <c r="B14" s="52" t="s">
        <v>312</v>
      </c>
      <c r="C14" s="52"/>
      <c r="D14" s="52"/>
      <c r="E14" s="52">
        <f t="shared" si="0"/>
        <v>0</v>
      </c>
      <c r="F14" s="52" t="s">
        <v>309</v>
      </c>
      <c r="G14" s="52"/>
      <c r="H14" s="52"/>
      <c r="I14" s="52">
        <f t="shared" si="1"/>
        <v>0</v>
      </c>
      <c r="J14" s="52"/>
      <c r="K14" s="52"/>
      <c r="L14" s="52">
        <f t="shared" si="2"/>
        <v>0</v>
      </c>
    </row>
    <row r="15" spans="1:12" x14ac:dyDescent="0.3">
      <c r="B15" s="52"/>
      <c r="C15" s="52"/>
      <c r="D15" s="52"/>
      <c r="E15" s="52">
        <f t="shared" si="0"/>
        <v>0</v>
      </c>
      <c r="F15" s="52" t="s">
        <v>311</v>
      </c>
      <c r="G15" s="52"/>
      <c r="H15" s="52"/>
      <c r="I15" s="52">
        <f t="shared" si="1"/>
        <v>0</v>
      </c>
      <c r="J15" s="52"/>
      <c r="K15" s="52"/>
      <c r="L15" s="52">
        <f t="shared" si="2"/>
        <v>0</v>
      </c>
    </row>
    <row r="16" spans="1:12" x14ac:dyDescent="0.3">
      <c r="B16" s="52"/>
      <c r="C16" s="52"/>
      <c r="D16" s="52"/>
      <c r="E16" s="52">
        <f t="shared" si="0"/>
        <v>0</v>
      </c>
      <c r="F16" s="52"/>
      <c r="G16" s="52"/>
      <c r="H16" s="52"/>
      <c r="I16" s="52">
        <f t="shared" si="1"/>
        <v>0</v>
      </c>
      <c r="J16" s="52"/>
      <c r="K16" s="52"/>
      <c r="L16" s="52">
        <f t="shared" si="2"/>
        <v>0</v>
      </c>
    </row>
    <row r="17" spans="2:12" x14ac:dyDescent="0.3">
      <c r="B17" s="52"/>
      <c r="C17" s="52"/>
      <c r="D17" s="52"/>
      <c r="E17" s="52">
        <f t="shared" si="0"/>
        <v>0</v>
      </c>
      <c r="F17" s="52"/>
      <c r="G17" s="52"/>
      <c r="H17" s="52"/>
      <c r="I17" s="52">
        <f t="shared" si="1"/>
        <v>0</v>
      </c>
      <c r="J17" s="52"/>
      <c r="K17" s="52"/>
      <c r="L17" s="52">
        <f t="shared" si="2"/>
        <v>0</v>
      </c>
    </row>
    <row r="18" spans="2:12" x14ac:dyDescent="0.3">
      <c r="B18" s="52" t="s">
        <v>313</v>
      </c>
      <c r="C18" s="52"/>
      <c r="D18" s="52"/>
      <c r="E18" s="52">
        <f t="shared" si="0"/>
        <v>0</v>
      </c>
      <c r="F18" s="52" t="s">
        <v>309</v>
      </c>
      <c r="G18" s="52"/>
      <c r="H18" s="52"/>
      <c r="I18" s="52">
        <f t="shared" si="1"/>
        <v>0</v>
      </c>
      <c r="J18" s="52"/>
      <c r="K18" s="52"/>
      <c r="L18" s="52">
        <f t="shared" si="2"/>
        <v>0</v>
      </c>
    </row>
    <row r="19" spans="2:12" x14ac:dyDescent="0.3">
      <c r="B19" s="52"/>
      <c r="C19" s="52"/>
      <c r="D19" s="52"/>
      <c r="E19" s="52">
        <f t="shared" si="0"/>
        <v>0</v>
      </c>
      <c r="F19" s="52" t="s">
        <v>311</v>
      </c>
      <c r="G19" s="52"/>
      <c r="H19" s="52"/>
      <c r="I19" s="52">
        <f t="shared" si="1"/>
        <v>0</v>
      </c>
      <c r="J19" s="52"/>
      <c r="K19" s="52"/>
      <c r="L19" s="52">
        <f t="shared" si="2"/>
        <v>0</v>
      </c>
    </row>
    <row r="20" spans="2:12" x14ac:dyDescent="0.3">
      <c r="B20" s="52"/>
      <c r="C20" s="52"/>
      <c r="D20" s="52"/>
      <c r="E20" s="52">
        <f t="shared" si="0"/>
        <v>0</v>
      </c>
      <c r="F20" s="52"/>
      <c r="G20" s="52"/>
      <c r="H20" s="52"/>
      <c r="I20" s="52">
        <f t="shared" si="1"/>
        <v>0</v>
      </c>
      <c r="J20" s="52"/>
      <c r="K20" s="52"/>
      <c r="L20" s="52">
        <f t="shared" si="2"/>
        <v>0</v>
      </c>
    </row>
    <row r="21" spans="2:12" x14ac:dyDescent="0.3">
      <c r="B21" s="52" t="s">
        <v>314</v>
      </c>
      <c r="C21" s="52"/>
      <c r="D21" s="52"/>
      <c r="E21" s="52">
        <f t="shared" si="0"/>
        <v>0</v>
      </c>
      <c r="F21" s="52" t="s">
        <v>309</v>
      </c>
      <c r="G21" s="52"/>
      <c r="H21" s="52"/>
      <c r="I21" s="52">
        <f t="shared" si="1"/>
        <v>0</v>
      </c>
      <c r="J21" s="52"/>
      <c r="K21" s="52"/>
      <c r="L21" s="52">
        <f t="shared" si="2"/>
        <v>0</v>
      </c>
    </row>
    <row r="22" spans="2:12" x14ac:dyDescent="0.3">
      <c r="B22" s="52"/>
      <c r="C22" s="52"/>
      <c r="D22" s="52"/>
      <c r="E22" s="52">
        <f t="shared" si="0"/>
        <v>0</v>
      </c>
      <c r="F22" s="52" t="s">
        <v>311</v>
      </c>
      <c r="G22" s="52"/>
      <c r="H22" s="52"/>
      <c r="I22" s="52">
        <f t="shared" si="1"/>
        <v>0</v>
      </c>
      <c r="J22" s="52"/>
      <c r="K22" s="52"/>
      <c r="L22" s="52">
        <f t="shared" si="2"/>
        <v>0</v>
      </c>
    </row>
    <row r="23" spans="2:12" x14ac:dyDescent="0.3">
      <c r="B23" s="52"/>
      <c r="C23" s="52"/>
      <c r="D23" s="52"/>
      <c r="E23" s="52">
        <f t="shared" si="0"/>
        <v>0</v>
      </c>
      <c r="F23" s="52"/>
      <c r="G23" s="52"/>
      <c r="H23" s="52"/>
      <c r="I23" s="52">
        <f t="shared" si="1"/>
        <v>0</v>
      </c>
      <c r="J23" s="52"/>
      <c r="K23" s="52"/>
      <c r="L23" s="52">
        <f t="shared" si="2"/>
        <v>0</v>
      </c>
    </row>
    <row r="24" spans="2:12" x14ac:dyDescent="0.3">
      <c r="B24" s="52" t="s">
        <v>315</v>
      </c>
      <c r="C24" s="52"/>
      <c r="D24" s="52"/>
      <c r="E24" s="52">
        <f t="shared" si="0"/>
        <v>0</v>
      </c>
      <c r="F24" s="52" t="s">
        <v>316</v>
      </c>
      <c r="G24" s="52"/>
      <c r="H24" s="52"/>
      <c r="I24" s="52">
        <f t="shared" si="1"/>
        <v>0</v>
      </c>
      <c r="J24" s="52"/>
      <c r="K24" s="52"/>
      <c r="L24" s="52">
        <f t="shared" si="2"/>
        <v>0</v>
      </c>
    </row>
    <row r="25" spans="2:12" x14ac:dyDescent="0.3">
      <c r="B25" s="52"/>
      <c r="C25" s="52"/>
      <c r="D25" s="52"/>
      <c r="E25" s="52">
        <f t="shared" ref="E25:E27" si="3">C25*D25</f>
        <v>0</v>
      </c>
      <c r="F25" s="52" t="s">
        <v>316</v>
      </c>
      <c r="G25" s="52"/>
      <c r="H25" s="52"/>
      <c r="I25" s="52">
        <f t="shared" ref="I25:I27" si="4">G25*H25</f>
        <v>0</v>
      </c>
      <c r="J25" s="52"/>
      <c r="K25" s="52"/>
      <c r="L25" s="52">
        <f t="shared" ref="L25:L27" si="5">J25*K25</f>
        <v>0</v>
      </c>
    </row>
    <row r="26" spans="2:12" x14ac:dyDescent="0.3">
      <c r="B26" s="52"/>
      <c r="C26" s="52"/>
      <c r="D26" s="52"/>
      <c r="E26" s="52">
        <f t="shared" si="3"/>
        <v>0</v>
      </c>
      <c r="F26" s="52" t="s">
        <v>316</v>
      </c>
      <c r="G26" s="52"/>
      <c r="H26" s="52"/>
      <c r="I26" s="52">
        <f t="shared" si="4"/>
        <v>0</v>
      </c>
      <c r="J26" s="52"/>
      <c r="K26" s="52"/>
      <c r="L26" s="52">
        <f t="shared" si="5"/>
        <v>0</v>
      </c>
    </row>
    <row r="27" spans="2:12" x14ac:dyDescent="0.3">
      <c r="B27" s="52"/>
      <c r="C27" s="52"/>
      <c r="D27" s="52"/>
      <c r="E27" s="52">
        <f t="shared" si="3"/>
        <v>0</v>
      </c>
      <c r="F27" s="52" t="s">
        <v>316</v>
      </c>
      <c r="G27" s="52"/>
      <c r="H27" s="52"/>
      <c r="I27" s="52">
        <f t="shared" si="4"/>
        <v>0</v>
      </c>
      <c r="J27" s="52"/>
      <c r="K27" s="52"/>
      <c r="L27" s="52">
        <f t="shared" si="5"/>
        <v>0</v>
      </c>
    </row>
    <row r="28" spans="2:12" x14ac:dyDescent="0.3">
      <c r="B28" s="52" t="s">
        <v>317</v>
      </c>
      <c r="C28" s="52"/>
      <c r="D28" s="52"/>
      <c r="E28" s="52">
        <f t="shared" si="0"/>
        <v>0</v>
      </c>
      <c r="F28" s="52" t="s">
        <v>316</v>
      </c>
      <c r="G28" s="52"/>
      <c r="H28" s="52"/>
      <c r="I28" s="52">
        <f t="shared" si="1"/>
        <v>0</v>
      </c>
      <c r="J28" s="52"/>
      <c r="K28" s="52"/>
      <c r="L28" s="52">
        <f t="shared" si="2"/>
        <v>0</v>
      </c>
    </row>
    <row r="29" spans="2:12" x14ac:dyDescent="0.3">
      <c r="B29" s="52" t="s">
        <v>318</v>
      </c>
      <c r="C29" s="52"/>
      <c r="D29" s="52"/>
      <c r="E29" s="52">
        <f t="shared" si="0"/>
        <v>0</v>
      </c>
      <c r="F29" s="52" t="s">
        <v>316</v>
      </c>
      <c r="G29" s="52"/>
      <c r="H29" s="52"/>
      <c r="I29" s="52">
        <f t="shared" si="1"/>
        <v>0</v>
      </c>
      <c r="J29" s="52"/>
      <c r="K29" s="52"/>
      <c r="L29" s="52">
        <f t="shared" si="2"/>
        <v>0</v>
      </c>
    </row>
    <row r="30" spans="2:12" x14ac:dyDescent="0.3">
      <c r="B30" s="52" t="s">
        <v>322</v>
      </c>
      <c r="C30" s="52"/>
      <c r="D30" s="52"/>
      <c r="E30" s="52">
        <f t="shared" si="0"/>
        <v>0</v>
      </c>
      <c r="F30" s="52"/>
      <c r="G30" s="52"/>
      <c r="H30" s="52"/>
      <c r="I30" s="52">
        <f t="shared" si="1"/>
        <v>0</v>
      </c>
      <c r="J30" s="52"/>
      <c r="K30" s="52"/>
      <c r="L30" s="52">
        <f t="shared" si="2"/>
        <v>0</v>
      </c>
    </row>
    <row r="31" spans="2:12" x14ac:dyDescent="0.3">
      <c r="B31" s="52"/>
      <c r="C31" s="52"/>
      <c r="D31" s="52"/>
      <c r="E31" s="52">
        <f t="shared" ref="E31:E32" si="6">C31*D31</f>
        <v>0</v>
      </c>
      <c r="F31" s="52"/>
      <c r="G31" s="52"/>
      <c r="H31" s="52"/>
      <c r="I31" s="52">
        <f t="shared" ref="I31:I32" si="7">G31*H31</f>
        <v>0</v>
      </c>
      <c r="J31" s="52"/>
      <c r="K31" s="52"/>
      <c r="L31" s="52">
        <f t="shared" ref="L31:L32" si="8">J31*K31</f>
        <v>0</v>
      </c>
    </row>
    <row r="32" spans="2:12" x14ac:dyDescent="0.3">
      <c r="B32" s="52"/>
      <c r="C32" s="52"/>
      <c r="D32" s="52"/>
      <c r="E32" s="52">
        <f t="shared" si="6"/>
        <v>0</v>
      </c>
      <c r="F32" s="52"/>
      <c r="G32" s="52"/>
      <c r="H32" s="52"/>
      <c r="I32" s="52">
        <f t="shared" si="7"/>
        <v>0</v>
      </c>
      <c r="J32" s="52"/>
      <c r="K32" s="52"/>
      <c r="L32" s="52">
        <f t="shared" si="8"/>
        <v>0</v>
      </c>
    </row>
    <row r="33" spans="2:12" x14ac:dyDescent="0.3">
      <c r="B33" s="52" t="s">
        <v>319</v>
      </c>
      <c r="C33" s="52"/>
      <c r="D33" s="52"/>
      <c r="E33" s="52">
        <f t="shared" si="0"/>
        <v>0</v>
      </c>
      <c r="F33" s="52"/>
      <c r="G33" s="52"/>
      <c r="H33" s="52"/>
      <c r="I33" s="52">
        <f t="shared" si="1"/>
        <v>0</v>
      </c>
      <c r="J33" s="52"/>
      <c r="K33" s="52"/>
      <c r="L33" s="52">
        <f t="shared" si="2"/>
        <v>0</v>
      </c>
    </row>
    <row r="34" spans="2:12" x14ac:dyDescent="0.3">
      <c r="B34" s="52" t="s">
        <v>323</v>
      </c>
      <c r="C34" s="52"/>
      <c r="D34" s="52"/>
      <c r="E34" s="52">
        <f t="shared" si="0"/>
        <v>0</v>
      </c>
      <c r="F34" s="52"/>
      <c r="G34" s="52"/>
      <c r="H34" s="52"/>
      <c r="I34" s="52">
        <f t="shared" si="1"/>
        <v>0</v>
      </c>
      <c r="J34" s="52"/>
      <c r="K34" s="52"/>
      <c r="L34" s="52">
        <f t="shared" si="2"/>
        <v>0</v>
      </c>
    </row>
    <row r="35" spans="2:12" x14ac:dyDescent="0.3">
      <c r="B35" s="52" t="s">
        <v>320</v>
      </c>
      <c r="C35" s="52"/>
      <c r="D35" s="52"/>
      <c r="E35" s="52">
        <f t="shared" si="0"/>
        <v>0</v>
      </c>
      <c r="F35" s="52"/>
      <c r="G35" s="52"/>
      <c r="H35" s="52"/>
      <c r="I35" s="52">
        <f t="shared" si="1"/>
        <v>0</v>
      </c>
      <c r="J35" s="52"/>
      <c r="K35" s="52"/>
      <c r="L35" s="52">
        <f t="shared" si="2"/>
        <v>0</v>
      </c>
    </row>
    <row r="36" spans="2:12" x14ac:dyDescent="0.3">
      <c r="B36" s="52" t="s">
        <v>321</v>
      </c>
      <c r="C36" s="52"/>
      <c r="D36" s="52"/>
      <c r="E36" s="52">
        <f t="shared" si="0"/>
        <v>0</v>
      </c>
      <c r="F36" s="52"/>
      <c r="G36" s="52"/>
      <c r="H36" s="52"/>
      <c r="I36" s="52">
        <f>G36*H36</f>
        <v>0</v>
      </c>
      <c r="J36" s="52"/>
      <c r="K36" s="52"/>
      <c r="L36" s="52">
        <f>J36*K36</f>
        <v>0</v>
      </c>
    </row>
    <row r="37" spans="2:12" x14ac:dyDescent="0.3">
      <c r="B37" s="52"/>
      <c r="C37" s="52"/>
      <c r="D37" s="52"/>
      <c r="E37" s="52">
        <f t="shared" ref="E37:E38" si="9">C37*D37</f>
        <v>0</v>
      </c>
      <c r="F37" s="52"/>
      <c r="G37" s="52"/>
      <c r="H37" s="52"/>
      <c r="I37" s="52">
        <f t="shared" ref="I37:I38" si="10">G37*H37</f>
        <v>0</v>
      </c>
      <c r="J37" s="52"/>
      <c r="K37" s="52"/>
      <c r="L37" s="52">
        <f t="shared" ref="L37:L38" si="11">J37*K37</f>
        <v>0</v>
      </c>
    </row>
    <row r="38" spans="2:12" x14ac:dyDescent="0.3">
      <c r="B38" s="52" t="s">
        <v>324</v>
      </c>
      <c r="C38" s="52"/>
      <c r="D38" s="52"/>
      <c r="E38" s="52">
        <f t="shared" si="9"/>
        <v>0</v>
      </c>
      <c r="F38" s="52"/>
      <c r="G38" s="52"/>
      <c r="H38" s="52"/>
      <c r="I38" s="52">
        <f t="shared" si="10"/>
        <v>0</v>
      </c>
      <c r="J38" s="52"/>
      <c r="K38" s="52"/>
      <c r="L38" s="52">
        <f t="shared" si="11"/>
        <v>0</v>
      </c>
    </row>
    <row r="39" spans="2:12" x14ac:dyDescent="0.3">
      <c r="B39" s="52"/>
      <c r="C39" s="52"/>
      <c r="D39" s="52"/>
      <c r="E39" s="52">
        <f t="shared" si="0"/>
        <v>0</v>
      </c>
      <c r="F39" s="52"/>
      <c r="G39" s="52"/>
      <c r="H39" s="52"/>
      <c r="I39" s="52">
        <f>G39*H39</f>
        <v>0</v>
      </c>
      <c r="J39" s="52"/>
      <c r="K39" s="52"/>
      <c r="L39" s="52">
        <f>J39*K39</f>
        <v>0</v>
      </c>
    </row>
    <row r="40" spans="2:12" x14ac:dyDescent="0.3">
      <c r="B40" s="52"/>
      <c r="C40" s="52"/>
      <c r="D40" s="52"/>
      <c r="E40" s="52">
        <f t="shared" si="0"/>
        <v>0</v>
      </c>
      <c r="F40" s="52"/>
      <c r="G40" s="52"/>
      <c r="H40" s="52"/>
      <c r="I40" s="52">
        <f>G40*H40</f>
        <v>0</v>
      </c>
      <c r="J40" s="52"/>
      <c r="K40" s="52"/>
      <c r="L40" s="52">
        <f>J40*K40</f>
        <v>0</v>
      </c>
    </row>
    <row r="41" spans="2:12" x14ac:dyDescent="0.3">
      <c r="B41" s="52"/>
      <c r="C41" s="52"/>
      <c r="D41" s="52"/>
      <c r="E41" s="52">
        <f t="shared" si="0"/>
        <v>0</v>
      </c>
      <c r="F41" s="52"/>
      <c r="G41" s="52"/>
      <c r="H41" s="52"/>
      <c r="I41" s="52">
        <f>G41*H41</f>
        <v>0</v>
      </c>
      <c r="J41" s="52"/>
      <c r="K41" s="52"/>
      <c r="L41" s="52">
        <f>J41*K41</f>
        <v>0</v>
      </c>
    </row>
    <row r="42" spans="2:12" x14ac:dyDescent="0.3">
      <c r="B42" s="52" t="s">
        <v>149</v>
      </c>
      <c r="C42" s="52"/>
      <c r="D42" s="52">
        <f>E42*10.764</f>
        <v>0</v>
      </c>
      <c r="E42" s="66">
        <f>SUM(E6:E41)</f>
        <v>0</v>
      </c>
      <c r="F42" s="52"/>
      <c r="G42" s="52"/>
      <c r="H42" s="52">
        <f>I42*10.764</f>
        <v>0</v>
      </c>
      <c r="I42" s="65">
        <f>SUM(I6:I41)</f>
        <v>0</v>
      </c>
      <c r="J42" s="52"/>
      <c r="K42" s="52">
        <f>L42*10.764</f>
        <v>0</v>
      </c>
      <c r="L42" s="64">
        <f>SUM(L6:L41)</f>
        <v>0</v>
      </c>
    </row>
    <row r="44" spans="2:12" x14ac:dyDescent="0.3">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2025-07-13T14:16:00Z</cp:lastPrinted>
  <dcterms:created xsi:type="dcterms:W3CDTF">2019-07-16T09:29:46Z</dcterms:created>
  <dcterms:modified xsi:type="dcterms:W3CDTF">2025-07-13T14:19:08Z</dcterms:modified>
</cp:coreProperties>
</file>