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C15B9DD1-288E-4B4F-80CD-663202B62B7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Report!$A$1:$H$761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" l="1"/>
  <c r="C132" i="1" s="1"/>
  <c r="C133" i="1" s="1"/>
  <c r="C89" i="1"/>
  <c r="C90" i="1" s="1"/>
  <c r="C91" i="1" s="1"/>
  <c r="C103" i="1"/>
  <c r="C104" i="1" s="1"/>
  <c r="C105" i="1" s="1"/>
  <c r="B83" i="1"/>
  <c r="J93" i="1" s="1"/>
  <c r="H83" i="1"/>
  <c r="D94" i="1" l="1"/>
  <c r="D90" i="1"/>
  <c r="J86" i="1"/>
  <c r="J87" i="1"/>
  <c r="C86" i="1" s="1"/>
  <c r="D86" i="1" s="1"/>
  <c r="J85" i="1"/>
  <c r="J82" i="1"/>
  <c r="J84" i="1" s="1"/>
  <c r="D95" i="1"/>
  <c r="D91" i="1"/>
  <c r="D93" i="1"/>
  <c r="D89" i="1"/>
  <c r="D92" i="1"/>
  <c r="D88" i="1"/>
  <c r="J88" i="1"/>
  <c r="J89" i="1" s="1"/>
  <c r="J92" i="1"/>
  <c r="J94" i="1"/>
  <c r="J90" i="1" l="1"/>
  <c r="J91" i="1" s="1"/>
  <c r="J95" i="1" l="1"/>
  <c r="C87" i="1" s="1"/>
  <c r="D87" i="1" s="1"/>
  <c r="I83" i="1" s="1"/>
  <c r="J83" i="1" l="1"/>
  <c r="E86" i="1"/>
  <c r="G86" i="1"/>
  <c r="I84" i="1"/>
  <c r="I82" i="1" l="1"/>
  <c r="C84" i="1" s="1"/>
  <c r="D636" i="1" l="1"/>
  <c r="B153" i="1"/>
  <c r="J164" i="1" s="1"/>
  <c r="H153" i="1"/>
  <c r="D163" i="1" l="1"/>
  <c r="D159" i="1"/>
  <c r="D162" i="1"/>
  <c r="D158" i="1"/>
  <c r="D164" i="1"/>
  <c r="D160" i="1"/>
  <c r="J156" i="1"/>
  <c r="J157" i="1"/>
  <c r="C156" i="1" s="1"/>
  <c r="J155" i="1"/>
  <c r="J152" i="1"/>
  <c r="J154" i="1" s="1"/>
  <c r="D165" i="1"/>
  <c r="D161" i="1"/>
  <c r="J162" i="1"/>
  <c r="J158" i="1"/>
  <c r="J163" i="1"/>
  <c r="B125" i="1"/>
  <c r="B111" i="1"/>
  <c r="H125" i="1"/>
  <c r="H111" i="1"/>
  <c r="J159" i="1" l="1"/>
  <c r="D156" i="1"/>
  <c r="J129" i="1"/>
  <c r="C128" i="1" s="1"/>
  <c r="D128" i="1" s="1"/>
  <c r="J127" i="1"/>
  <c r="J124" i="1"/>
  <c r="J126" i="1" s="1"/>
  <c r="D135" i="1"/>
  <c r="D133" i="1"/>
  <c r="D131" i="1"/>
  <c r="D137" i="1"/>
  <c r="D136" i="1"/>
  <c r="D134" i="1"/>
  <c r="D132" i="1"/>
  <c r="D130" i="1"/>
  <c r="J128" i="1"/>
  <c r="J130" i="1"/>
  <c r="J131" i="1" s="1"/>
  <c r="J132" i="1" s="1"/>
  <c r="J134" i="1"/>
  <c r="J136" i="1"/>
  <c r="J135" i="1"/>
  <c r="J115" i="1"/>
  <c r="C114" i="1" s="1"/>
  <c r="D114" i="1" s="1"/>
  <c r="J113" i="1"/>
  <c r="J110" i="1"/>
  <c r="J112" i="1" s="1"/>
  <c r="D123" i="1"/>
  <c r="D121" i="1"/>
  <c r="D119" i="1"/>
  <c r="D117" i="1"/>
  <c r="D122" i="1"/>
  <c r="D120" i="1"/>
  <c r="D118" i="1"/>
  <c r="D116" i="1"/>
  <c r="J114" i="1"/>
  <c r="J116" i="1"/>
  <c r="J117" i="1" s="1"/>
  <c r="J120" i="1"/>
  <c r="J122" i="1"/>
  <c r="J121" i="1"/>
  <c r="K345" i="1"/>
  <c r="N360" i="1"/>
  <c r="K480" i="1"/>
  <c r="K475" i="1"/>
  <c r="K291" i="1"/>
  <c r="J160" i="1" l="1"/>
  <c r="J133" i="1"/>
  <c r="J118" i="1"/>
  <c r="C115" i="1" s="1"/>
  <c r="K266" i="1"/>
  <c r="M496" i="1"/>
  <c r="M484" i="1"/>
  <c r="I544" i="1"/>
  <c r="I543" i="1"/>
  <c r="I537" i="1"/>
  <c r="I517" i="1"/>
  <c r="I516" i="1"/>
  <c r="I511" i="1"/>
  <c r="M425" i="1"/>
  <c r="M424" i="1"/>
  <c r="M419" i="1"/>
  <c r="I467" i="1"/>
  <c r="J466" i="1"/>
  <c r="I446" i="1"/>
  <c r="I434" i="1"/>
  <c r="J435" i="1"/>
  <c r="K357" i="1"/>
  <c r="J387" i="1"/>
  <c r="G223" i="1"/>
  <c r="G224" i="1"/>
  <c r="G225" i="1"/>
  <c r="G226" i="1"/>
  <c r="G227" i="1"/>
  <c r="G228" i="1"/>
  <c r="G229" i="1"/>
  <c r="G232" i="1"/>
  <c r="G233" i="1"/>
  <c r="G234" i="1"/>
  <c r="G210" i="1"/>
  <c r="G211" i="1"/>
  <c r="G212" i="1"/>
  <c r="G213" i="1"/>
  <c r="G214" i="1"/>
  <c r="G215" i="1"/>
  <c r="G216" i="1"/>
  <c r="G217" i="1"/>
  <c r="G218" i="1"/>
  <c r="D512" i="1"/>
  <c r="F512" i="1" s="1"/>
  <c r="D508" i="1"/>
  <c r="I508" i="1" s="1"/>
  <c r="D507" i="1"/>
  <c r="I507" i="1" s="1"/>
  <c r="D506" i="1"/>
  <c r="I506" i="1" s="1"/>
  <c r="A506" i="1"/>
  <c r="A507" i="1" s="1"/>
  <c r="A508" i="1" s="1"/>
  <c r="G505" i="1"/>
  <c r="D505" i="1"/>
  <c r="I505" i="1" s="1"/>
  <c r="J161" i="1" l="1"/>
  <c r="J165" i="1" s="1"/>
  <c r="C157" i="1"/>
  <c r="J137" i="1"/>
  <c r="C129" i="1" s="1"/>
  <c r="G128" i="1" s="1"/>
  <c r="J119" i="1"/>
  <c r="J123" i="1" s="1"/>
  <c r="G219" i="1"/>
  <c r="I512" i="1"/>
  <c r="G231" i="1"/>
  <c r="D490" i="1"/>
  <c r="F490" i="1" s="1"/>
  <c r="D486" i="1"/>
  <c r="M416" i="1" s="1"/>
  <c r="D485" i="1"/>
  <c r="M415" i="1" s="1"/>
  <c r="L414" i="1"/>
  <c r="K428" i="1"/>
  <c r="J484" i="1"/>
  <c r="I484" i="1"/>
  <c r="D484" i="1"/>
  <c r="M414" i="1" s="1"/>
  <c r="A484" i="1"/>
  <c r="A485" i="1" s="1"/>
  <c r="A486" i="1" s="1"/>
  <c r="G483" i="1"/>
  <c r="D483" i="1"/>
  <c r="M413" i="1" s="1"/>
  <c r="E481" i="1"/>
  <c r="E478" i="1"/>
  <c r="D321" i="1"/>
  <c r="K265" i="1" s="1"/>
  <c r="D320" i="1"/>
  <c r="K264" i="1" s="1"/>
  <c r="D319" i="1"/>
  <c r="K263" i="1" s="1"/>
  <c r="D318" i="1"/>
  <c r="K262" i="1" s="1"/>
  <c r="D317" i="1"/>
  <c r="K261" i="1" s="1"/>
  <c r="D316" i="1"/>
  <c r="K260" i="1" s="1"/>
  <c r="D315" i="1"/>
  <c r="K259" i="1" s="1"/>
  <c r="D314" i="1"/>
  <c r="K258" i="1" s="1"/>
  <c r="D308" i="1"/>
  <c r="K252" i="1" s="1"/>
  <c r="D307" i="1"/>
  <c r="K251" i="1" s="1"/>
  <c r="D306" i="1"/>
  <c r="K250" i="1" s="1"/>
  <c r="I306" i="1"/>
  <c r="D542" i="1"/>
  <c r="I542" i="1" s="1"/>
  <c r="D541" i="1"/>
  <c r="I541" i="1" s="1"/>
  <c r="A541" i="1"/>
  <c r="A542" i="1" s="1"/>
  <c r="A543" i="1" s="1"/>
  <c r="A544" i="1" s="1"/>
  <c r="G540" i="1"/>
  <c r="D540" i="1"/>
  <c r="I540" i="1" s="1"/>
  <c r="D472" i="1"/>
  <c r="I472" i="1" s="1"/>
  <c r="D471" i="1"/>
  <c r="I471" i="1" s="1"/>
  <c r="A471" i="1"/>
  <c r="A472" i="1" s="1"/>
  <c r="A473" i="1" s="1"/>
  <c r="A474" i="1" s="1"/>
  <c r="G470" i="1"/>
  <c r="D470" i="1"/>
  <c r="I470" i="1" s="1"/>
  <c r="D536" i="1"/>
  <c r="I536" i="1" s="1"/>
  <c r="D466" i="1"/>
  <c r="I466" i="1" s="1"/>
  <c r="D435" i="1"/>
  <c r="I435" i="1" s="1"/>
  <c r="D424" i="1"/>
  <c r="I424" i="1" s="1"/>
  <c r="D422" i="1"/>
  <c r="I422" i="1" s="1"/>
  <c r="D419" i="1"/>
  <c r="I419" i="1" s="1"/>
  <c r="D417" i="1"/>
  <c r="I417" i="1" s="1"/>
  <c r="D416" i="1"/>
  <c r="I416" i="1" s="1"/>
  <c r="E414" i="1"/>
  <c r="D414" i="1"/>
  <c r="I414" i="1" s="1"/>
  <c r="D412" i="1"/>
  <c r="I412" i="1" s="1"/>
  <c r="D411" i="1"/>
  <c r="I411" i="1" s="1"/>
  <c r="D407" i="1"/>
  <c r="I407" i="1" s="1"/>
  <c r="D406" i="1"/>
  <c r="I406" i="1" s="1"/>
  <c r="D404" i="1"/>
  <c r="I404" i="1" s="1"/>
  <c r="D402" i="1"/>
  <c r="I402" i="1" s="1"/>
  <c r="D401" i="1"/>
  <c r="I401" i="1" s="1"/>
  <c r="D400" i="1"/>
  <c r="I400" i="1" s="1"/>
  <c r="D399" i="1"/>
  <c r="I399" i="1" s="1"/>
  <c r="E397" i="1"/>
  <c r="E396" i="1"/>
  <c r="D395" i="1"/>
  <c r="M325" i="1" s="1"/>
  <c r="D396" i="1"/>
  <c r="M326" i="1" s="1"/>
  <c r="D397" i="1"/>
  <c r="M327" i="1" s="1"/>
  <c r="D394" i="1"/>
  <c r="M324" i="1" s="1"/>
  <c r="I281" i="1"/>
  <c r="I282" i="1"/>
  <c r="I275" i="1"/>
  <c r="D387" i="1"/>
  <c r="I387" i="1" s="1"/>
  <c r="D390" i="1"/>
  <c r="I390" i="1" s="1"/>
  <c r="D389" i="1"/>
  <c r="I389" i="1" s="1"/>
  <c r="D388" i="1"/>
  <c r="I388" i="1" s="1"/>
  <c r="D385" i="1"/>
  <c r="I385" i="1" s="1"/>
  <c r="D384" i="1"/>
  <c r="I384" i="1" s="1"/>
  <c r="D383" i="1"/>
  <c r="I383" i="1" s="1"/>
  <c r="D382" i="1"/>
  <c r="I382" i="1" s="1"/>
  <c r="D380" i="1"/>
  <c r="L310" i="1" s="1"/>
  <c r="E380" i="1"/>
  <c r="D379" i="1"/>
  <c r="L309" i="1" s="1"/>
  <c r="E379" i="1"/>
  <c r="D378" i="1"/>
  <c r="L308" i="1" s="1"/>
  <c r="D377" i="1"/>
  <c r="L307" i="1" s="1"/>
  <c r="D372" i="1"/>
  <c r="J372" i="1" s="1"/>
  <c r="D373" i="1"/>
  <c r="J373" i="1" s="1"/>
  <c r="D371" i="1"/>
  <c r="J371" i="1" s="1"/>
  <c r="D366" i="1"/>
  <c r="J366" i="1" s="1"/>
  <c r="D367" i="1"/>
  <c r="J367" i="1" s="1"/>
  <c r="D368" i="1"/>
  <c r="J368" i="1" s="1"/>
  <c r="D365" i="1"/>
  <c r="J365" i="1" s="1"/>
  <c r="D363" i="1"/>
  <c r="M293" i="1" s="1"/>
  <c r="E363" i="1"/>
  <c r="E362" i="1"/>
  <c r="D362" i="1"/>
  <c r="M292" i="1" s="1"/>
  <c r="D361" i="1"/>
  <c r="M291" i="1" s="1"/>
  <c r="D360" i="1"/>
  <c r="M290" i="1" s="1"/>
  <c r="I362" i="1"/>
  <c r="E343" i="1"/>
  <c r="D343" i="1"/>
  <c r="D342" i="1"/>
  <c r="D341" i="1"/>
  <c r="I342" i="1"/>
  <c r="I344" i="1"/>
  <c r="J341" i="1"/>
  <c r="J342" i="1"/>
  <c r="G156" i="1" l="1"/>
  <c r="D157" i="1"/>
  <c r="I153" i="1" s="1"/>
  <c r="E156" i="1"/>
  <c r="J153" i="1"/>
  <c r="D129" i="1"/>
  <c r="I125" i="1" s="1"/>
  <c r="I126" i="1" s="1"/>
  <c r="E128" i="1"/>
  <c r="J125" i="1"/>
  <c r="E114" i="1"/>
  <c r="G114" i="1"/>
  <c r="D115" i="1"/>
  <c r="I111" i="1" s="1"/>
  <c r="J111" i="1"/>
  <c r="M420" i="1"/>
  <c r="G230" i="1"/>
  <c r="J248" i="1"/>
  <c r="J247" i="1"/>
  <c r="J246" i="1"/>
  <c r="I154" i="1" l="1"/>
  <c r="I152" i="1" s="1"/>
  <c r="C154" i="1" s="1"/>
  <c r="I124" i="1"/>
  <c r="C126" i="1" s="1"/>
  <c r="I112" i="1"/>
  <c r="I110" i="1" s="1"/>
  <c r="C112" i="1" s="1"/>
  <c r="L409" i="1"/>
  <c r="K423" i="1"/>
  <c r="J479" i="1"/>
  <c r="I479" i="1"/>
  <c r="D518" i="1"/>
  <c r="I518" i="1" s="1"/>
  <c r="A516" i="1"/>
  <c r="A517" i="1" s="1"/>
  <c r="A518" i="1" s="1"/>
  <c r="G515" i="1"/>
  <c r="D515" i="1"/>
  <c r="I515" i="1" s="1"/>
  <c r="D496" i="1"/>
  <c r="M426" i="1" s="1"/>
  <c r="A494" i="1"/>
  <c r="A495" i="1" s="1"/>
  <c r="A496" i="1" s="1"/>
  <c r="G493" i="1"/>
  <c r="D493" i="1"/>
  <c r="M423" i="1" s="1"/>
  <c r="K304" i="1"/>
  <c r="I360" i="1"/>
  <c r="J360" i="1"/>
  <c r="L382" i="1"/>
  <c r="K396" i="1"/>
  <c r="J452" i="1"/>
  <c r="I452" i="1"/>
  <c r="D491" i="1" l="1"/>
  <c r="J490" i="1"/>
  <c r="D488" i="1"/>
  <c r="D481" i="1"/>
  <c r="M411" i="1" s="1"/>
  <c r="D480" i="1"/>
  <c r="M410" i="1" s="1"/>
  <c r="D479" i="1"/>
  <c r="M409" i="1" s="1"/>
  <c r="D478" i="1"/>
  <c r="D513" i="1"/>
  <c r="I513" i="1" s="1"/>
  <c r="D510" i="1"/>
  <c r="I510" i="1" s="1"/>
  <c r="J512" i="1"/>
  <c r="D501" i="1"/>
  <c r="I501" i="1" s="1"/>
  <c r="D502" i="1"/>
  <c r="I502" i="1" s="1"/>
  <c r="D503" i="1"/>
  <c r="I503" i="1" s="1"/>
  <c r="D500" i="1"/>
  <c r="A511" i="1"/>
  <c r="A512" i="1" s="1"/>
  <c r="A513" i="1" s="1"/>
  <c r="G510" i="1"/>
  <c r="A501" i="1"/>
  <c r="A502" i="1" s="1"/>
  <c r="A503" i="1" s="1"/>
  <c r="G500" i="1"/>
  <c r="D331" i="1"/>
  <c r="K275" i="1" s="1"/>
  <c r="D330" i="1"/>
  <c r="K274" i="1" s="1"/>
  <c r="D329" i="1"/>
  <c r="K273" i="1" s="1"/>
  <c r="D328" i="1"/>
  <c r="K272" i="1" s="1"/>
  <c r="D327" i="1"/>
  <c r="K271" i="1" s="1"/>
  <c r="D326" i="1"/>
  <c r="K270" i="1" s="1"/>
  <c r="D325" i="1"/>
  <c r="K269" i="1" s="1"/>
  <c r="D324" i="1"/>
  <c r="K268" i="1" s="1"/>
  <c r="D311" i="1"/>
  <c r="K255" i="1" s="1"/>
  <c r="D310" i="1"/>
  <c r="K254" i="1" s="1"/>
  <c r="D309" i="1"/>
  <c r="K253" i="1" s="1"/>
  <c r="D305" i="1"/>
  <c r="K249" i="1" s="1"/>
  <c r="D304" i="1"/>
  <c r="K248" i="1" s="1"/>
  <c r="A325" i="1"/>
  <c r="A326" i="1" s="1"/>
  <c r="A327" i="1" s="1"/>
  <c r="A328" i="1" s="1"/>
  <c r="A329" i="1" s="1"/>
  <c r="A330" i="1" s="1"/>
  <c r="A331" i="1" s="1"/>
  <c r="G324" i="1"/>
  <c r="A315" i="1"/>
  <c r="A316" i="1" s="1"/>
  <c r="A317" i="1" s="1"/>
  <c r="A318" i="1" s="1"/>
  <c r="A319" i="1" s="1"/>
  <c r="A320" i="1" s="1"/>
  <c r="A321" i="1" s="1"/>
  <c r="G314" i="1"/>
  <c r="A305" i="1"/>
  <c r="A306" i="1" s="1"/>
  <c r="A307" i="1" s="1"/>
  <c r="A308" i="1" s="1"/>
  <c r="A309" i="1" s="1"/>
  <c r="A310" i="1" s="1"/>
  <c r="A311" i="1" s="1"/>
  <c r="G304" i="1"/>
  <c r="A489" i="1"/>
  <c r="A490" i="1" s="1"/>
  <c r="A491" i="1" s="1"/>
  <c r="G488" i="1"/>
  <c r="A479" i="1"/>
  <c r="A480" i="1" s="1"/>
  <c r="A481" i="1" s="1"/>
  <c r="G478" i="1"/>
  <c r="C231" i="1" l="1"/>
  <c r="E231" i="1"/>
  <c r="I500" i="1"/>
  <c r="C230" i="1"/>
  <c r="E230" i="1"/>
  <c r="M408" i="1"/>
  <c r="J488" i="1"/>
  <c r="M418" i="1"/>
  <c r="J491" i="1"/>
  <c r="M421" i="1"/>
  <c r="E217" i="1"/>
  <c r="C217" i="1"/>
  <c r="C216" i="1"/>
  <c r="C218" i="1"/>
  <c r="E216" i="1"/>
  <c r="E218" i="1"/>
  <c r="D538" i="1"/>
  <c r="I538" i="1" s="1"/>
  <c r="D535" i="1"/>
  <c r="I535" i="1" s="1"/>
  <c r="A535" i="1"/>
  <c r="A536" i="1" s="1"/>
  <c r="A537" i="1" s="1"/>
  <c r="A538" i="1" s="1"/>
  <c r="G534" i="1"/>
  <c r="D534" i="1"/>
  <c r="I534" i="1" s="1"/>
  <c r="D532" i="1"/>
  <c r="I532" i="1" s="1"/>
  <c r="D531" i="1"/>
  <c r="I531" i="1" s="1"/>
  <c r="D530" i="1"/>
  <c r="I530" i="1" s="1"/>
  <c r="D529" i="1"/>
  <c r="I529" i="1" s="1"/>
  <c r="A529" i="1"/>
  <c r="A530" i="1" s="1"/>
  <c r="A531" i="1" s="1"/>
  <c r="A532" i="1" s="1"/>
  <c r="G528" i="1"/>
  <c r="D528" i="1"/>
  <c r="I528" i="1" s="1"/>
  <c r="D526" i="1"/>
  <c r="I526" i="1" s="1"/>
  <c r="D525" i="1"/>
  <c r="I525" i="1" s="1"/>
  <c r="D524" i="1"/>
  <c r="I524" i="1" s="1"/>
  <c r="E523" i="1"/>
  <c r="D523" i="1"/>
  <c r="I523" i="1" s="1"/>
  <c r="A523" i="1"/>
  <c r="A524" i="1" s="1"/>
  <c r="A525" i="1" s="1"/>
  <c r="A526" i="1" s="1"/>
  <c r="G522" i="1"/>
  <c r="E522" i="1"/>
  <c r="D522" i="1"/>
  <c r="D465" i="1"/>
  <c r="I465" i="1" s="1"/>
  <c r="D464" i="1"/>
  <c r="I464" i="1" s="1"/>
  <c r="D468" i="1"/>
  <c r="I468" i="1" s="1"/>
  <c r="D462" i="1"/>
  <c r="I462" i="1" s="1"/>
  <c r="D461" i="1"/>
  <c r="I461" i="1" s="1"/>
  <c r="D460" i="1"/>
  <c r="I460" i="1" s="1"/>
  <c r="D459" i="1"/>
  <c r="I459" i="1" s="1"/>
  <c r="D458" i="1"/>
  <c r="I458" i="1" s="1"/>
  <c r="D456" i="1"/>
  <c r="M386" i="1" s="1"/>
  <c r="D455" i="1"/>
  <c r="M385" i="1" s="1"/>
  <c r="D454" i="1"/>
  <c r="M384" i="1" s="1"/>
  <c r="D453" i="1"/>
  <c r="M383" i="1" s="1"/>
  <c r="D452" i="1"/>
  <c r="E453" i="1"/>
  <c r="E452" i="1"/>
  <c r="A453" i="1"/>
  <c r="A454" i="1" s="1"/>
  <c r="A455" i="1" s="1"/>
  <c r="A456" i="1" s="1"/>
  <c r="G452" i="1"/>
  <c r="A465" i="1"/>
  <c r="A466" i="1" s="1"/>
  <c r="A467" i="1" s="1"/>
  <c r="A468" i="1" s="1"/>
  <c r="G464" i="1"/>
  <c r="A459" i="1"/>
  <c r="A460" i="1" s="1"/>
  <c r="A461" i="1" s="1"/>
  <c r="A462" i="1" s="1"/>
  <c r="G458" i="1"/>
  <c r="D301" i="1"/>
  <c r="K245" i="1" s="1"/>
  <c r="D300" i="1"/>
  <c r="K244" i="1" s="1"/>
  <c r="D299" i="1"/>
  <c r="K243" i="1" s="1"/>
  <c r="D298" i="1"/>
  <c r="K242" i="1" s="1"/>
  <c r="D297" i="1"/>
  <c r="K241" i="1" s="1"/>
  <c r="D296" i="1"/>
  <c r="K240" i="1" s="1"/>
  <c r="D295" i="1"/>
  <c r="K239" i="1" s="1"/>
  <c r="D294" i="1"/>
  <c r="K238" i="1" s="1"/>
  <c r="A295" i="1"/>
  <c r="A296" i="1" s="1"/>
  <c r="A297" i="1" s="1"/>
  <c r="A298" i="1" s="1"/>
  <c r="A299" i="1" s="1"/>
  <c r="A300" i="1" s="1"/>
  <c r="A301" i="1" s="1"/>
  <c r="G294" i="1"/>
  <c r="D568" i="1"/>
  <c r="M498" i="1" s="1"/>
  <c r="D567" i="1"/>
  <c r="M497" i="1" s="1"/>
  <c r="A566" i="1"/>
  <c r="A567" i="1" s="1"/>
  <c r="A568" i="1" s="1"/>
  <c r="G565" i="1"/>
  <c r="D565" i="1"/>
  <c r="M495" i="1" s="1"/>
  <c r="D563" i="1"/>
  <c r="M493" i="1" s="1"/>
  <c r="D562" i="1"/>
  <c r="M492" i="1" s="1"/>
  <c r="D561" i="1"/>
  <c r="M491" i="1" s="1"/>
  <c r="A561" i="1"/>
  <c r="A562" i="1" s="1"/>
  <c r="A563" i="1" s="1"/>
  <c r="L490" i="1"/>
  <c r="K504" i="1"/>
  <c r="J560" i="1"/>
  <c r="I560" i="1"/>
  <c r="G560" i="1"/>
  <c r="D560" i="1"/>
  <c r="D556" i="1"/>
  <c r="M486" i="1" s="1"/>
  <c r="D555" i="1"/>
  <c r="M485" i="1" s="1"/>
  <c r="A554" i="1"/>
  <c r="A555" i="1" s="1"/>
  <c r="A556" i="1" s="1"/>
  <c r="G553" i="1"/>
  <c r="D553" i="1"/>
  <c r="M483" i="1" s="1"/>
  <c r="D551" i="1"/>
  <c r="M481" i="1" s="1"/>
  <c r="D550" i="1"/>
  <c r="M480" i="1" s="1"/>
  <c r="D549" i="1"/>
  <c r="M479" i="1" s="1"/>
  <c r="A549" i="1"/>
  <c r="A550" i="1" s="1"/>
  <c r="A551" i="1" s="1"/>
  <c r="L478" i="1"/>
  <c r="K492" i="1"/>
  <c r="J548" i="1"/>
  <c r="I548" i="1"/>
  <c r="G548" i="1"/>
  <c r="D548" i="1"/>
  <c r="D448" i="1"/>
  <c r="I448" i="1" s="1"/>
  <c r="D445" i="1"/>
  <c r="I445" i="1" s="1"/>
  <c r="D447" i="1"/>
  <c r="I447" i="1" s="1"/>
  <c r="D443" i="1"/>
  <c r="M373" i="1" s="1"/>
  <c r="D442" i="1"/>
  <c r="M372" i="1" s="1"/>
  <c r="D441" i="1"/>
  <c r="M371" i="1" s="1"/>
  <c r="D440" i="1"/>
  <c r="M370" i="1" s="1"/>
  <c r="L370" i="1"/>
  <c r="K384" i="1"/>
  <c r="J440" i="1"/>
  <c r="I440" i="1"/>
  <c r="A446" i="1"/>
  <c r="A447" i="1" s="1"/>
  <c r="A448" i="1" s="1"/>
  <c r="G445" i="1"/>
  <c r="A441" i="1"/>
  <c r="A442" i="1" s="1"/>
  <c r="A443" i="1" s="1"/>
  <c r="G440" i="1"/>
  <c r="D436" i="1"/>
  <c r="I436" i="1" s="1"/>
  <c r="D433" i="1"/>
  <c r="I433" i="1" s="1"/>
  <c r="K374" i="1"/>
  <c r="J430" i="1"/>
  <c r="I430" i="1"/>
  <c r="D431" i="1"/>
  <c r="M361" i="1" s="1"/>
  <c r="D430" i="1"/>
  <c r="M360" i="1" s="1"/>
  <c r="D429" i="1"/>
  <c r="M359" i="1" s="1"/>
  <c r="D428" i="1"/>
  <c r="M358" i="1" s="1"/>
  <c r="L358" i="1"/>
  <c r="K372" i="1"/>
  <c r="I428" i="1"/>
  <c r="J428" i="1"/>
  <c r="A434" i="1"/>
  <c r="A435" i="1" s="1"/>
  <c r="A436" i="1" s="1"/>
  <c r="G433" i="1"/>
  <c r="A429" i="1"/>
  <c r="A430" i="1" s="1"/>
  <c r="A431" i="1" s="1"/>
  <c r="G428" i="1"/>
  <c r="D418" i="1"/>
  <c r="I418" i="1" s="1"/>
  <c r="D423" i="1"/>
  <c r="I423" i="1" s="1"/>
  <c r="D413" i="1"/>
  <c r="I413" i="1" s="1"/>
  <c r="J413" i="1"/>
  <c r="D421" i="1"/>
  <c r="I421" i="1" s="1"/>
  <c r="E413" i="1"/>
  <c r="I286" i="1"/>
  <c r="I285" i="1"/>
  <c r="D291" i="1"/>
  <c r="D290" i="1"/>
  <c r="D289" i="1"/>
  <c r="D288" i="1"/>
  <c r="D287" i="1"/>
  <c r="D286" i="1"/>
  <c r="D285" i="1"/>
  <c r="L215" i="1" s="1"/>
  <c r="A286" i="1"/>
  <c r="A287" i="1" s="1"/>
  <c r="A288" i="1" s="1"/>
  <c r="A289" i="1" s="1"/>
  <c r="A290" i="1" s="1"/>
  <c r="A291" i="1" s="1"/>
  <c r="G285" i="1"/>
  <c r="A422" i="1"/>
  <c r="A423" i="1" s="1"/>
  <c r="A424" i="1" s="1"/>
  <c r="G421" i="1"/>
  <c r="A417" i="1"/>
  <c r="A418" i="1" s="1"/>
  <c r="A419" i="1" s="1"/>
  <c r="G416" i="1"/>
  <c r="A412" i="1"/>
  <c r="A413" i="1" s="1"/>
  <c r="A414" i="1" s="1"/>
  <c r="G411" i="1"/>
  <c r="K338" i="1"/>
  <c r="J394" i="1"/>
  <c r="I394" i="1"/>
  <c r="D405" i="1"/>
  <c r="I405" i="1" s="1"/>
  <c r="A405" i="1"/>
  <c r="A406" i="1" s="1"/>
  <c r="A407" i="1" s="1"/>
  <c r="G404" i="1"/>
  <c r="A400" i="1"/>
  <c r="A401" i="1" s="1"/>
  <c r="A402" i="1" s="1"/>
  <c r="G399" i="1"/>
  <c r="A395" i="1"/>
  <c r="A396" i="1" s="1"/>
  <c r="A397" i="1" s="1"/>
  <c r="G394" i="1"/>
  <c r="L272" i="1"/>
  <c r="L273" i="1"/>
  <c r="D344" i="1"/>
  <c r="L274" i="1" s="1"/>
  <c r="D346" i="1"/>
  <c r="I346" i="1" s="1"/>
  <c r="D347" i="1"/>
  <c r="I347" i="1" s="1"/>
  <c r="D348" i="1"/>
  <c r="I348" i="1" s="1"/>
  <c r="D349" i="1"/>
  <c r="I349" i="1" s="1"/>
  <c r="D282" i="1"/>
  <c r="K226" i="1" s="1"/>
  <c r="D281" i="1"/>
  <c r="K225" i="1" s="1"/>
  <c r="D280" i="1"/>
  <c r="K224" i="1" s="1"/>
  <c r="D279" i="1"/>
  <c r="K223" i="1" s="1"/>
  <c r="D278" i="1"/>
  <c r="K222" i="1" s="1"/>
  <c r="D277" i="1"/>
  <c r="K221" i="1" s="1"/>
  <c r="D276" i="1"/>
  <c r="K220" i="1" s="1"/>
  <c r="D275" i="1"/>
  <c r="K219" i="1" s="1"/>
  <c r="A276" i="1"/>
  <c r="A277" i="1" s="1"/>
  <c r="A278" i="1" s="1"/>
  <c r="A279" i="1" s="1"/>
  <c r="A280" i="1" s="1"/>
  <c r="A281" i="1" s="1"/>
  <c r="A282" i="1" s="1"/>
  <c r="G275" i="1"/>
  <c r="J377" i="1"/>
  <c r="K321" i="1"/>
  <c r="I377" i="1"/>
  <c r="A388" i="1"/>
  <c r="A389" i="1" s="1"/>
  <c r="A390" i="1" s="1"/>
  <c r="G387" i="1"/>
  <c r="A383" i="1"/>
  <c r="A384" i="1" s="1"/>
  <c r="A385" i="1" s="1"/>
  <c r="G382" i="1"/>
  <c r="A378" i="1"/>
  <c r="A379" i="1" s="1"/>
  <c r="A380" i="1" s="1"/>
  <c r="G377" i="1"/>
  <c r="D272" i="1"/>
  <c r="K216" i="1" s="1"/>
  <c r="D271" i="1"/>
  <c r="K215" i="1" s="1"/>
  <c r="D270" i="1"/>
  <c r="K214" i="1" s="1"/>
  <c r="D269" i="1"/>
  <c r="K213" i="1" s="1"/>
  <c r="D268" i="1"/>
  <c r="K212" i="1" s="1"/>
  <c r="D267" i="1"/>
  <c r="K211" i="1" s="1"/>
  <c r="D266" i="1"/>
  <c r="K210" i="1" s="1"/>
  <c r="D265" i="1"/>
  <c r="K209" i="1" s="1"/>
  <c r="I266" i="1"/>
  <c r="A266" i="1"/>
  <c r="A267" i="1" s="1"/>
  <c r="A268" i="1" s="1"/>
  <c r="A269" i="1" s="1"/>
  <c r="A270" i="1" s="1"/>
  <c r="A271" i="1" s="1"/>
  <c r="A272" i="1" s="1"/>
  <c r="I265" i="1"/>
  <c r="G265" i="1"/>
  <c r="I370" i="1"/>
  <c r="D370" i="1"/>
  <c r="J370" i="1" s="1"/>
  <c r="A371" i="1"/>
  <c r="A372" i="1" s="1"/>
  <c r="A373" i="1" s="1"/>
  <c r="G370" i="1"/>
  <c r="L290" i="1"/>
  <c r="A366" i="1"/>
  <c r="A367" i="1" s="1"/>
  <c r="A368" i="1" s="1"/>
  <c r="G365" i="1"/>
  <c r="J363" i="1"/>
  <c r="D262" i="1"/>
  <c r="K206" i="1" s="1"/>
  <c r="D261" i="1"/>
  <c r="K205" i="1" s="1"/>
  <c r="D260" i="1"/>
  <c r="K204" i="1" s="1"/>
  <c r="D259" i="1"/>
  <c r="K203" i="1" s="1"/>
  <c r="D258" i="1"/>
  <c r="K202" i="1" s="1"/>
  <c r="D257" i="1"/>
  <c r="K201" i="1" s="1"/>
  <c r="D256" i="1"/>
  <c r="K200" i="1" s="1"/>
  <c r="D255" i="1"/>
  <c r="K199" i="1" s="1"/>
  <c r="I256" i="1"/>
  <c r="I255" i="1"/>
  <c r="A256" i="1"/>
  <c r="A257" i="1" s="1"/>
  <c r="A258" i="1" s="1"/>
  <c r="A259" i="1" s="1"/>
  <c r="A260" i="1" s="1"/>
  <c r="A261" i="1" s="1"/>
  <c r="A262" i="1" s="1"/>
  <c r="G255" i="1"/>
  <c r="D356" i="1"/>
  <c r="F356" i="1" s="1"/>
  <c r="G356" i="1"/>
  <c r="D352" i="1"/>
  <c r="I352" i="1" s="1"/>
  <c r="D354" i="1"/>
  <c r="I354" i="1" s="1"/>
  <c r="D353" i="1"/>
  <c r="I353" i="1" s="1"/>
  <c r="A352" i="1"/>
  <c r="A353" i="1" s="1"/>
  <c r="A354" i="1" s="1"/>
  <c r="G351" i="1"/>
  <c r="D351" i="1"/>
  <c r="I351" i="1" s="1"/>
  <c r="I247" i="1"/>
  <c r="D246" i="1"/>
  <c r="I246" i="1"/>
  <c r="D252" i="1"/>
  <c r="K196" i="1" s="1"/>
  <c r="D251" i="1"/>
  <c r="K195" i="1" s="1"/>
  <c r="D250" i="1"/>
  <c r="K194" i="1" s="1"/>
  <c r="D249" i="1"/>
  <c r="K193" i="1" s="1"/>
  <c r="D248" i="1"/>
  <c r="K192" i="1" s="1"/>
  <c r="D247" i="1"/>
  <c r="K191" i="1" s="1"/>
  <c r="A247" i="1"/>
  <c r="A248" i="1" s="1"/>
  <c r="A249" i="1" s="1"/>
  <c r="A250" i="1" s="1"/>
  <c r="A251" i="1" s="1"/>
  <c r="A252" i="1" s="1"/>
  <c r="G246" i="1"/>
  <c r="E344" i="1"/>
  <c r="A347" i="1"/>
  <c r="A348" i="1" s="1"/>
  <c r="A349" i="1" s="1"/>
  <c r="G346" i="1"/>
  <c r="L269" i="1"/>
  <c r="K283" i="1"/>
  <c r="M269" i="1"/>
  <c r="O269" i="1"/>
  <c r="K282" i="1"/>
  <c r="M268" i="1"/>
  <c r="O268" i="1"/>
  <c r="L268" i="1"/>
  <c r="G222" i="1" l="1"/>
  <c r="G235" i="1" s="1"/>
  <c r="I356" i="1"/>
  <c r="E232" i="1"/>
  <c r="C232" i="1"/>
  <c r="I522" i="1"/>
  <c r="K190" i="1"/>
  <c r="E210" i="1"/>
  <c r="M490" i="1"/>
  <c r="E234" i="1"/>
  <c r="M478" i="1"/>
  <c r="E233" i="1"/>
  <c r="M382" i="1"/>
  <c r="C229" i="1"/>
  <c r="E229" i="1"/>
  <c r="E226" i="1"/>
  <c r="C223" i="1"/>
  <c r="E223" i="1"/>
  <c r="L217" i="1"/>
  <c r="E228" i="1"/>
  <c r="L219" i="1"/>
  <c r="L220" i="1"/>
  <c r="L221" i="1"/>
  <c r="E224" i="1"/>
  <c r="C224" i="1"/>
  <c r="E222" i="1"/>
  <c r="L271" i="1"/>
  <c r="L218" i="1"/>
  <c r="E225" i="1"/>
  <c r="E227" i="1"/>
  <c r="L216" i="1"/>
  <c r="C213" i="1"/>
  <c r="C214" i="1"/>
  <c r="C226" i="1"/>
  <c r="C227" i="1"/>
  <c r="C234" i="1"/>
  <c r="C233" i="1"/>
  <c r="C228" i="1"/>
  <c r="C211" i="1"/>
  <c r="C210" i="1"/>
  <c r="C212" i="1"/>
  <c r="C225" i="1"/>
  <c r="C222" i="1"/>
  <c r="C215" i="1"/>
  <c r="E215" i="1"/>
  <c r="E211" i="1"/>
  <c r="E213" i="1"/>
  <c r="E214" i="1"/>
  <c r="E212" i="1"/>
  <c r="N268" i="1"/>
  <c r="P268" i="1" s="1"/>
  <c r="N269" i="1"/>
  <c r="P269" i="1" s="1"/>
  <c r="E7" i="1"/>
  <c r="E219" i="1" l="1"/>
  <c r="C219" i="1"/>
  <c r="C235" i="1"/>
  <c r="E235" i="1"/>
  <c r="Z12" i="1"/>
  <c r="I14" i="1"/>
  <c r="C236" i="1" l="1"/>
  <c r="E236" i="1"/>
  <c r="E43" i="1" l="1"/>
  <c r="E44" i="1" s="1"/>
  <c r="C15" i="1" l="1"/>
  <c r="E30" i="1" l="1"/>
  <c r="A361" i="1" l="1"/>
  <c r="A362" i="1" s="1"/>
  <c r="A363" i="1" s="1"/>
  <c r="G360" i="1"/>
  <c r="F207" i="1" l="1"/>
  <c r="G236" i="1" l="1"/>
  <c r="B571" i="1"/>
  <c r="B57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93" i="1"/>
  <c r="A342" i="1"/>
  <c r="A343" i="1" s="1"/>
  <c r="A344" i="1" s="1"/>
  <c r="G341" i="1"/>
  <c r="B167" i="1"/>
  <c r="B139" i="1"/>
  <c r="B69" i="1"/>
  <c r="D55" i="1"/>
  <c r="G50" i="1"/>
  <c r="C50" i="1"/>
  <c r="E27" i="1"/>
  <c r="E25" i="1"/>
  <c r="E3" i="1"/>
  <c r="H167" i="1"/>
  <c r="D62" i="1" l="1"/>
  <c r="J166" i="1"/>
  <c r="J168" i="1" s="1"/>
  <c r="J170" i="1"/>
  <c r="C170" i="1" s="1"/>
  <c r="D179" i="1"/>
  <c r="D177" i="1"/>
  <c r="D175" i="1"/>
  <c r="D173" i="1"/>
  <c r="J171" i="1"/>
  <c r="J169" i="1"/>
  <c r="J172" i="1"/>
  <c r="J173" i="1" s="1"/>
  <c r="J178" i="1" s="1"/>
  <c r="D178" i="1"/>
  <c r="D176" i="1"/>
  <c r="D174" i="1"/>
  <c r="H139" i="1"/>
  <c r="H69" i="1"/>
  <c r="J143" i="1" l="1"/>
  <c r="C142" i="1" s="1"/>
  <c r="J141" i="1"/>
  <c r="J144" i="1"/>
  <c r="J138" i="1"/>
  <c r="J140" i="1" s="1"/>
  <c r="D146" i="1"/>
  <c r="D148" i="1"/>
  <c r="D151" i="1"/>
  <c r="D145" i="1"/>
  <c r="D149" i="1"/>
  <c r="D150" i="1"/>
  <c r="D147" i="1"/>
  <c r="J142" i="1"/>
  <c r="D81" i="1"/>
  <c r="D79" i="1"/>
  <c r="D78" i="1"/>
  <c r="D75" i="1"/>
  <c r="D77" i="1"/>
  <c r="J74" i="1"/>
  <c r="D80" i="1"/>
  <c r="J68" i="1"/>
  <c r="J70" i="1" s="1"/>
  <c r="D76" i="1"/>
  <c r="J72" i="1"/>
  <c r="J73" i="1"/>
  <c r="C72" i="1" s="1"/>
  <c r="J71" i="1"/>
  <c r="J174" i="1"/>
  <c r="J175" i="1" s="1"/>
  <c r="J176" i="1" s="1"/>
  <c r="J177" i="1" s="1"/>
  <c r="J179" i="1" s="1"/>
  <c r="D172" i="1"/>
  <c r="D170" i="1"/>
  <c r="D144" i="1"/>
  <c r="D74" i="1"/>
  <c r="J145" i="1" l="1"/>
  <c r="J75" i="1"/>
  <c r="J80" i="1" s="1"/>
  <c r="D142" i="1"/>
  <c r="D72" i="1"/>
  <c r="E170" i="1"/>
  <c r="G170" i="1"/>
  <c r="D171" i="1"/>
  <c r="I167" i="1" s="1"/>
  <c r="J167" i="1"/>
  <c r="J150" i="1" l="1"/>
  <c r="J146" i="1"/>
  <c r="J147" i="1" s="1"/>
  <c r="B97" i="1"/>
  <c r="J76" i="1"/>
  <c r="J77" i="1" s="1"/>
  <c r="I168" i="1"/>
  <c r="I166" i="1" s="1"/>
  <c r="C168" i="1" s="1"/>
  <c r="H97" i="1"/>
  <c r="J148" i="1" l="1"/>
  <c r="J149" i="1" s="1"/>
  <c r="J78" i="1"/>
  <c r="J79" i="1" s="1"/>
  <c r="D108" i="1"/>
  <c r="D104" i="1"/>
  <c r="J100" i="1"/>
  <c r="D102" i="1"/>
  <c r="J96" i="1"/>
  <c r="J98" i="1" s="1"/>
  <c r="D107" i="1"/>
  <c r="D103" i="1"/>
  <c r="D106" i="1"/>
  <c r="J101" i="1"/>
  <c r="C100" i="1" s="1"/>
  <c r="J99" i="1"/>
  <c r="D109" i="1"/>
  <c r="D105" i="1"/>
  <c r="J107" i="1"/>
  <c r="J106" i="1"/>
  <c r="J102" i="1"/>
  <c r="J151" i="1" l="1"/>
  <c r="J81" i="1"/>
  <c r="C73" i="1" s="1"/>
  <c r="E72" i="1" s="1"/>
  <c r="J103" i="1"/>
  <c r="D100" i="1"/>
  <c r="C143" i="1" l="1"/>
  <c r="D73" i="1"/>
  <c r="I69" i="1" s="1"/>
  <c r="I70" i="1" s="1"/>
  <c r="G72" i="1"/>
  <c r="D66" i="1" s="1"/>
  <c r="D67" i="1" s="1"/>
  <c r="J69" i="1"/>
  <c r="B181" i="1"/>
  <c r="J108" i="1"/>
  <c r="J104" i="1"/>
  <c r="J105" i="1" s="1"/>
  <c r="H181" i="1"/>
  <c r="E142" i="1" l="1"/>
  <c r="G142" i="1"/>
  <c r="D143" i="1"/>
  <c r="I139" i="1" s="1"/>
  <c r="J139" i="1"/>
  <c r="I68" i="1"/>
  <c r="C70" i="1" s="1"/>
  <c r="F67" i="1"/>
  <c r="D193" i="1"/>
  <c r="D189" i="1"/>
  <c r="D185" i="1"/>
  <c r="J184" i="1"/>
  <c r="C184" i="1" s="1"/>
  <c r="D184" i="1" s="1"/>
  <c r="D190" i="1"/>
  <c r="J183" i="1"/>
  <c r="J180" i="1"/>
  <c r="J182" i="1" s="1"/>
  <c r="D192" i="1"/>
  <c r="D188" i="1"/>
  <c r="E184" i="1"/>
  <c r="D191" i="1"/>
  <c r="D187" i="1"/>
  <c r="D186" i="1"/>
  <c r="J185" i="1"/>
  <c r="J190" i="1"/>
  <c r="J191" i="1"/>
  <c r="J186" i="1"/>
  <c r="J187" i="1" s="1"/>
  <c r="J192" i="1" s="1"/>
  <c r="J109" i="1"/>
  <c r="C101" i="1" s="1"/>
  <c r="I140" i="1" l="1"/>
  <c r="I138" i="1" s="1"/>
  <c r="C140" i="1" s="1"/>
  <c r="E100" i="1"/>
  <c r="G100" i="1"/>
  <c r="D101" i="1"/>
  <c r="I97" i="1" s="1"/>
  <c r="J97" i="1"/>
  <c r="J188" i="1"/>
  <c r="J189" i="1" s="1"/>
  <c r="I181" i="1"/>
  <c r="I182" i="1" s="1"/>
  <c r="G184" i="1"/>
  <c r="J181" i="1"/>
  <c r="I98" i="1" l="1"/>
  <c r="I96" i="1" s="1"/>
  <c r="C98" i="1" s="1"/>
  <c r="J193" i="1"/>
  <c r="I180" i="1"/>
  <c r="C1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<sst xmlns="http://schemas.openxmlformats.org/spreadsheetml/2006/main" count="1064" uniqueCount="345">
  <si>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</si>
  <si>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</si>
  <si>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</si>
  <si>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</si>
  <si>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</si>
  <si>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</si>
  <si>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</si>
  <si>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</si>
  <si>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</si>
  <si>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</si>
  <si>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</si>
  <si>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</si>
  <si>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</si>
  <si>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</si>
  <si>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</si>
  <si>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</si>
  <si>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</si>
  <si>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</si>
  <si>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</si>
  <si>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</si>
  <si>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</si>
  <si>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</si>
  <si>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</si>
  <si>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</si>
  <si>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</si>
  <si>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</si>
  <si>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</si>
  <si>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</si>
  <si>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</si>
  <si>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</si>
  <si>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</si>
  <si>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</si>
  <si>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</si>
  <si>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</si>
  <si>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</si>
  <si>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</si>
  <si>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</si>
  <si>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</si>
  <si>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</si>
  <si>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</si>
  <si>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</si>
  <si>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</si>
  <si>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</si>
  <si>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</si>
  <si>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</si>
  <si>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</si>
  <si>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</si>
  <si>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</si>
  <si>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</si>
  <si>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</si>
  <si>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</si>
  <si>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</si>
  <si>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</si>
  <si>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</si>
  <si>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</si>
  <si>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</si>
  <si>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</si>
  <si>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</si>
  <si>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</si>
  <si>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</si>
  <si>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</si>
  <si>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</si>
  <si>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</si>
  <si>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</si>
  <si>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</si>
  <si>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</si>
  <si>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</si>
  <si>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</si>
  <si>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</si>
  <si>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</si>
  <si>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</si>
  <si>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</si>
  <si>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</si>
  <si>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</si>
  <si>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</si>
  <si>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</si>
  <si>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</si>
  <si>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</si>
  <si>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</si>
  <si>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</si>
  <si>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</si>
  <si>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</si>
  <si>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</si>
  <si>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</si>
  <si>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</si>
  <si>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</si>
  <si>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</si>
  <si>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</si>
  <si>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</si>
  <si>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</si>
  <si>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</si>
  <si>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</si>
  <si>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</si>
  <si>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</si>
  <si>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</si>
  <si>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</si>
  <si>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</si>
  <si>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</si>
  <si>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</si>
  <si>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</si>
  <si>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</si>
  <si>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</si>
  <si>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</si>
  <si>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</si>
  <si>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</si>
  <si>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</si>
  <si>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</si>
  <si>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</si>
  <si>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</si>
  <si>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</si>
  <si>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</si>
  <si>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</si>
  <si>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</si>
  <si>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</si>
  <si>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</si>
  <si>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</si>
  <si>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</si>
  <si>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</si>
  <si>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</si>
  <si>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</si>
  <si>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</si>
  <si>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</si>
  <si>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</si>
  <si>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</si>
  <si>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</si>
  <si>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</si>
  <si>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</si>
  <si>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</si>
  <si>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</si>
  <si>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</si>
  <si>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</si>
  <si>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</si>
  <si>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</si>
  <si>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</si>
  <si>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</si>
  <si>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</si>
  <si>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</si>
  <si>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</si>
  <si>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</si>
  <si>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</si>
  <si>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</si>
  <si>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</si>
  <si>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</si>
  <si>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</si>
  <si>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</si>
  <si>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</si>
  <si>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</si>
  <si>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</si>
  <si>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</si>
  <si>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</si>
  <si>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</si>
  <si>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</si>
  <si>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</si>
  <si>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</si>
  <si>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</si>
  <si>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</si>
  <si>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</si>
  <si>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</si>
  <si>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</si>
  <si>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</si>
  <si>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</si>
  <si>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</si>
  <si>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</si>
  <si>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</si>
  <si>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</si>
  <si>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</si>
  <si>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</si>
  <si>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</si>
  <si>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</si>
  <si>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</si>
  <si>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</si>
  <si>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</si>
  <si>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</si>
  <si>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</si>
  <si>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</si>
  <si>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</si>
  <si>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</si>
  <si>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</si>
  <si>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</si>
  <si>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</si>
  <si>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</si>
  <si>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</si>
  <si>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</si>
  <si>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</si>
  <si>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</si>
  <si>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</si>
  <si>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</si>
  <si>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</si>
  <si>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</si>
  <si>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</si>
  <si>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</si>
  <si>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</si>
  <si>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</si>
  <si>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</si>
  <si>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</si>
  <si>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</si>
  <si>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</si>
  <si>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</si>
  <si>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</si>
  <si>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</si>
  <si>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</si>
  <si>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</si>
  <si>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</si>
  <si>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</si>
  <si>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</si>
  <si>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</si>
  <si>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</si>
  <si>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</si>
  <si>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</si>
  <si>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</si>
  <si>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</si>
  <si>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</si>
  <si>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</si>
  <si>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</si>
  <si>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</si>
  <si>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</si>
  <si>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</si>
  <si>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</si>
  <si>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</si>
  <si>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</si>
  <si>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</si>
  <si>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</si>
  <si>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</si>
  <si>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</si>
  <si>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</si>
  <si>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</si>
  <si>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</si>
  <si>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</si>
  <si>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</si>
  <si>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</si>
  <si>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</si>
  <si>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</si>
  <si>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</si>
  <si>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</si>
  <si>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Balaji Corporation</t>
  </si>
  <si>
    <t>Delta Palm Beach</t>
  </si>
  <si>
    <t>Mr. Ashish Ajani 8080995670</t>
  </si>
  <si>
    <t>Approved Plans, CC &amp; Builder Saleable area</t>
  </si>
  <si>
    <t>P51700052109</t>
  </si>
  <si>
    <t>Plot No</t>
  </si>
  <si>
    <t>05, Sector- 46A</t>
  </si>
  <si>
    <t>19.009899,73.012926</t>
  </si>
  <si>
    <t>https://goo.gl/maps/yvnDHDWxLzsLZ14A7</t>
  </si>
  <si>
    <t>Karave Nagar</t>
  </si>
  <si>
    <t>Pandurang Shastri Athawale Marg</t>
  </si>
  <si>
    <t>Nerul</t>
  </si>
  <si>
    <t>Galhot Majesty</t>
  </si>
  <si>
    <t>15.00 M Wide Road</t>
  </si>
  <si>
    <t>Plot No. 5A</t>
  </si>
  <si>
    <t xml:space="preserve">Sant Nirankari Marg </t>
  </si>
  <si>
    <t>Service Road</t>
  </si>
  <si>
    <t>Open Plot</t>
  </si>
  <si>
    <t>13 Buildings</t>
  </si>
  <si>
    <t>Navi Mumbai Municipal Corporation</t>
  </si>
  <si>
    <t>NRV/A-/17870</t>
  </si>
  <si>
    <t>As per RERA - 30/06/2031</t>
  </si>
  <si>
    <t>Wng A</t>
  </si>
  <si>
    <t>Wing B</t>
  </si>
  <si>
    <t>Wing C</t>
  </si>
  <si>
    <t>Wing D</t>
  </si>
  <si>
    <t>Wing E</t>
  </si>
  <si>
    <t>Wing F</t>
  </si>
  <si>
    <t>Wing G</t>
  </si>
  <si>
    <t>Wing H</t>
  </si>
  <si>
    <t>Wing I</t>
  </si>
  <si>
    <t>Wing J</t>
  </si>
  <si>
    <t>Wing K</t>
  </si>
  <si>
    <t>Wing L</t>
  </si>
  <si>
    <t>Wing M</t>
  </si>
  <si>
    <t>Part Basement Floor For Indoor Games, Swimming Pool, Gymnasium, Creche Area
Store Room, Salon, Library, Banquet Hall &amp; Cafeteria</t>
  </si>
  <si>
    <t>Given</t>
  </si>
  <si>
    <t>Balcony/ DRY area
( C )</t>
  </si>
  <si>
    <t>Servant Room
( B )</t>
  </si>
  <si>
    <t>Calculated
( A )</t>
  </si>
  <si>
    <t>D =A+B+C</t>
  </si>
  <si>
    <t>Deck
( E )</t>
  </si>
  <si>
    <t>D+E</t>
  </si>
  <si>
    <t>Flat 4</t>
  </si>
  <si>
    <t>Flat 3</t>
  </si>
  <si>
    <t>Wing A</t>
  </si>
  <si>
    <t>Wing A to M</t>
  </si>
  <si>
    <t>1st Floor For Residential</t>
  </si>
  <si>
    <t>Shop</t>
  </si>
  <si>
    <t>7th &amp; 12th Floor (Part Refuge area)</t>
  </si>
  <si>
    <t>1BHK</t>
  </si>
  <si>
    <t>15th Floor</t>
  </si>
  <si>
    <t>7BHK</t>
  </si>
  <si>
    <t>Ground Floor For Commercial, Meter Room &amp; Parking</t>
  </si>
  <si>
    <t>3BHK</t>
  </si>
  <si>
    <t>4BHK</t>
  </si>
  <si>
    <t>2BHK</t>
  </si>
  <si>
    <t>Refuge area</t>
  </si>
  <si>
    <t>2nd to 6th, 8th to 11th, 13th &amp; 14th Floor</t>
  </si>
  <si>
    <t>2nd to 6th, 8th to 11th, 13th to 15th Floor</t>
  </si>
  <si>
    <t>2nd to 6th, 8th to 11th, 13th to 14th Floor</t>
  </si>
  <si>
    <t>1st to 6th, 8th to 11th &amp;13th Floor For Residential</t>
  </si>
  <si>
    <t>Carpet</t>
  </si>
  <si>
    <t>Dry bal</t>
  </si>
  <si>
    <t>servant room</t>
  </si>
  <si>
    <t>deck</t>
  </si>
  <si>
    <t>wing A</t>
  </si>
  <si>
    <t>14th Floor (Part Terrace area)</t>
  </si>
  <si>
    <t>Terrace area</t>
  </si>
  <si>
    <t>In Floor Plan of Wing D 15th Floor is not mentioned.</t>
  </si>
  <si>
    <t>Flats - 733, Shops - 70</t>
  </si>
  <si>
    <t>Builder Saleable area</t>
  </si>
  <si>
    <t>1.80KM from Seawoods  Railway Station</t>
  </si>
  <si>
    <t>Area of Servant Room included in Carpet Area of attached respected Flats.</t>
  </si>
  <si>
    <t>The Residence/Pandurang Shastri Athawale Marg</t>
  </si>
  <si>
    <t>NMMC/TPO/BP/17870/2023</t>
  </si>
  <si>
    <t>https://palmbeach-seawoods.in/?gclid=Cj0KCQjwxuCnBhDLARIsAB-cq1o2xMqTG046Z29Lei1Yfz57l1UDB7MgoVNlobS-pTGDbws5NN6X5CYaApBREALw_wcB</t>
  </si>
  <si>
    <t xml:space="preserve">Wifi Intercom Facility, Jogging Track, Security Power Backup, Swimming Pool, Yoga/Meditation Area, Shopping Center, Sport Court,  Vastu Compliant, Amphitheatre Squash Court, 24*7 Water Supply, Rain Water Harvesting, Video/Cctv Security, Spa And Massage.
</t>
  </si>
  <si>
    <t>Cheking Done upto this</t>
  </si>
  <si>
    <t>Ground Floor For Commercial, Entrance Lobby, Meter Room &amp; Parking</t>
  </si>
  <si>
    <t>Ground Floor For Entrance Lobby, Meter Room, Parking &amp; Space for OWC</t>
  </si>
  <si>
    <t>Ground Floor For Entrance Lobby, Meter Room &amp; Parking</t>
  </si>
  <si>
    <t>2nd to 6th, 8th to 11th &amp; 13th Floor</t>
  </si>
  <si>
    <t>2nd to 6th, 8th to 11th &amp;13th Floor For Residential</t>
  </si>
  <si>
    <t>15th Floor is not mentioned in the floor plan but it is typical floor same as 2nd to 6th , 8th to 11th &amp; 13th to 14th Floor</t>
  </si>
  <si>
    <t>it is the printing error</t>
  </si>
  <si>
    <t>The 15th floor of Wing D is not mentioned in the approved floor plan.</t>
  </si>
  <si>
    <t>The area of servant rooms that are attached to the 3BHK and 4BHK flats is included in the carpet area.</t>
  </si>
  <si>
    <t>2nd Basement Floor For Parking</t>
  </si>
  <si>
    <t>1st Basement Floor For Parking</t>
  </si>
  <si>
    <t>729 becaue of D Wing 15th Floor is not mentioned in the approved floor plan</t>
  </si>
  <si>
    <t>729+4=733</t>
  </si>
  <si>
    <t xml:space="preserve">Wing A to E = 3B + Gr + 1st to 15th Upper Floor
Wing F,G, L &amp; M = 3B + Gr + 1st to 13th Upper Floor 
Wing H to K = 3B + Ground + 1st to 14th Upper Floor
</t>
  </si>
  <si>
    <t>Wing A to E = 3B + Gr + 1st to 15th Upper Floor</t>
  </si>
  <si>
    <t xml:space="preserve">Wing F,G, L &amp; M = 3B + Gr + 1st to 13th Upper Floor </t>
  </si>
  <si>
    <t>Wing H to K = 3B + Ground + 1st to 14th Upper Floor</t>
  </si>
  <si>
    <t>We considered Gross carpet area = Net carpet + Dry balcony + Deck Area.</t>
  </si>
  <si>
    <t>Wings A to M</t>
  </si>
  <si>
    <t xml:space="preserve">Wing L &amp; M = 3B + Gr + 1st to 13th Upper Floor </t>
  </si>
  <si>
    <t>Wing D = 3B + Gr + 1st to 15th Upper Floor</t>
  </si>
  <si>
    <t>As per RERA Architect ceritficate Wing I to M  not started but we have already given stage for this wing</t>
  </si>
  <si>
    <t xml:space="preserve">Builtup Area = 134779.160
Wing A to E = 3B + Ground + 1st to 15th Floor
Wing F &amp; G =  3B + Ground + 1st to 13th Floor 
Wing H to K = 3B + Ground + 1st to 14th Floor
Wing L &amp; M = 3B + Ground + 1st to 13th Floor
</t>
  </si>
  <si>
    <t>Wing E = 3B + Gr + 1st to 15th Upper Floor</t>
  </si>
  <si>
    <t>Wing A &amp; B = 3B + Gr + 1st to 15th Upper Floor</t>
  </si>
  <si>
    <t xml:space="preserve">Wing G = 3B + Gr + 1st to 13th Upper Floor </t>
  </si>
  <si>
    <t xml:space="preserve">Wing F = 3B + Gr + 1st to 13th Upper Floor </t>
  </si>
  <si>
    <t>Mr. Dhiraj 9653191984</t>
  </si>
  <si>
    <t>Wing C = 3B + Gr + 1st to 15th Upper Floor</t>
  </si>
  <si>
    <t>Wing A to G = Construction work is in process at the time of visit (Labour found).
Wing H to K, L &amp; M = Construction work is in process at the time of visit (Slow speed).</t>
  </si>
  <si>
    <t>Kunal Kadam</t>
  </si>
  <si>
    <t>Mayur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</si>
</sst>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7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2" fontId="7" fillId="0" borderId="0" xfId="1" applyNumberFormat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2" fontId="15" fillId="0" borderId="31" xfId="1" applyNumberFormat="1" applyFont="1" applyBorder="1" applyAlignment="1">
      <alignment horizontal="center" vertical="center"/>
    </xf>
    <xf numFmtId="1" fontId="15" fillId="0" borderId="7" xfId="1" applyNumberFormat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2" fontId="15" fillId="0" borderId="36" xfId="1" applyNumberFormat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2" fontId="15" fillId="0" borderId="37" xfId="1" applyNumberFormat="1" applyFont="1" applyBorder="1" applyAlignment="1">
      <alignment horizontal="center" vertical="center"/>
    </xf>
    <xf numFmtId="1" fontId="7" fillId="0" borderId="38" xfId="1" applyNumberFormat="1" applyFont="1" applyBorder="1" applyAlignment="1">
      <alignment horizontal="center" vertical="center"/>
    </xf>
    <xf numFmtId="1" fontId="7" fillId="0" borderId="39" xfId="1" applyNumberFormat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2" fontId="15" fillId="3" borderId="30" xfId="1" applyNumberFormat="1" applyFont="1" applyFill="1" applyBorder="1" applyAlignment="1">
      <alignment horizontal="center" vertical="center"/>
    </xf>
    <xf numFmtId="2" fontId="15" fillId="3" borderId="7" xfId="1" applyNumberFormat="1" applyFont="1" applyFill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vertical="center"/>
    </xf>
    <xf numFmtId="0" fontId="26" fillId="0" borderId="0" xfId="10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15" fillId="2" borderId="25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1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5" fillId="2" borderId="0" xfId="1" applyFont="1" applyFill="1" applyAlignment="1">
      <alignment horizontal="center" vertical="center"/>
    </xf>
    <xf numFmtId="0" fontId="16" fillId="0" borderId="0" xfId="1" applyFont="1"/>
    <xf numFmtId="0" fontId="24" fillId="0" borderId="30" xfId="0" applyFont="1" applyBorder="1"/>
    <xf numFmtId="0" fontId="25" fillId="0" borderId="31" xfId="0" applyFon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5" fillId="0" borderId="1" xfId="0" applyFont="1" applyBorder="1"/>
    <xf numFmtId="0" fontId="25" fillId="0" borderId="5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10" xfId="1" applyFont="1" applyBorder="1"/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17" fillId="0" borderId="11" xfId="0" applyFont="1" applyBorder="1" applyProtection="1">
      <protection hidden="1"/>
    </xf>
    <xf numFmtId="1" fontId="0" fillId="0" borderId="12" xfId="0" applyNumberForma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25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4" fillId="0" borderId="15" xfId="0" applyFont="1" applyBorder="1"/>
    <xf numFmtId="0" fontId="25" fillId="0" borderId="9" xfId="0" applyFont="1" applyBorder="1"/>
    <xf numFmtId="0" fontId="8" fillId="0" borderId="22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4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42" xfId="1" applyFont="1" applyBorder="1" applyAlignment="1" applyProtection="1">
      <alignment horizontal="left" vertical="top" wrapText="1"/>
      <protection locked="0"/>
    </xf>
    <xf numFmtId="0" fontId="29" fillId="0" borderId="2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17" xfId="0" applyNumberFormat="1" applyFont="1" applyBorder="1" applyAlignment="1" applyProtection="1">
      <alignment horizontal="center" vertical="top" wrapText="1"/>
      <protection locked="0"/>
    </xf>
    <xf numFmtId="1" fontId="7" fillId="0" borderId="18" xfId="0" applyNumberFormat="1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7" fillId="0" borderId="0" xfId="1" applyNumberFormat="1" applyFont="1" applyAlignment="1">
      <alignment horizontal="center" vertical="center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10" fillId="0" borderId="34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24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5" fillId="0" borderId="25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2" fillId="0" borderId="3" xfId="1" applyFont="1" applyBorder="1" applyAlignment="1" applyProtection="1">
      <alignment horizontal="left" vertical="top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5" fillId="0" borderId="25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329715</xdr:colOff>
      <xdr:row>741</xdr:row>
      <xdr:rowOff>137151</xdr:rowOff>
    </xdr:from>
    <xdr:to>
      <xdr:col>6</xdr:col>
      <xdr:colOff>372250</xdr:colOff>
      <xdr:row>760</xdr:row>
      <xdr:rowOff>127001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9815" y="134776201"/>
          <a:ext cx="4398635" cy="373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427906</xdr:colOff>
      <xdr:row>721</xdr:row>
      <xdr:rowOff>14654</xdr:rowOff>
    </xdr:from>
    <xdr:to>
      <xdr:col>6</xdr:col>
      <xdr:colOff>274059</xdr:colOff>
      <xdr:row>741</xdr:row>
      <xdr:rowOff>42963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9906" y="122073866"/>
          <a:ext cx="400453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43891</xdr:colOff>
      <xdr:row>748</xdr:row>
      <xdr:rowOff>8374</xdr:rowOff>
    </xdr:from>
    <xdr:to>
      <xdr:col>3</xdr:col>
      <xdr:colOff>427692</xdr:colOff>
      <xdr:row>749</xdr:row>
      <xdr:rowOff>143922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454449" y="127408912"/>
          <a:ext cx="383801" cy="333375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434200</xdr:colOff>
      <xdr:row>746</xdr:row>
      <xdr:rowOff>107170</xdr:rowOff>
    </xdr:from>
    <xdr:to>
      <xdr:col>4</xdr:col>
      <xdr:colOff>93867</xdr:colOff>
      <xdr:row>749</xdr:row>
      <xdr:rowOff>135004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844758" y="127112055"/>
          <a:ext cx="604840" cy="621314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62915</xdr:colOff>
      <xdr:row>746</xdr:row>
      <xdr:rowOff>142246</xdr:rowOff>
    </xdr:from>
    <xdr:to>
      <xdr:col>5</xdr:col>
      <xdr:colOff>163686</xdr:colOff>
      <xdr:row>750</xdr:row>
      <xdr:rowOff>184826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418646" y="127147131"/>
          <a:ext cx="884752" cy="833887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915634</xdr:colOff>
      <xdr:row>750</xdr:row>
      <xdr:rowOff>151039</xdr:rowOff>
    </xdr:from>
    <xdr:to>
      <xdr:col>5</xdr:col>
      <xdr:colOff>163687</xdr:colOff>
      <xdr:row>755</xdr:row>
      <xdr:rowOff>127344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3326192" y="127947231"/>
          <a:ext cx="977207" cy="965440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492919</xdr:colOff>
      <xdr:row>750</xdr:row>
      <xdr:rowOff>106589</xdr:rowOff>
    </xdr:from>
    <xdr:to>
      <xdr:col>3</xdr:col>
      <xdr:colOff>915632</xdr:colOff>
      <xdr:row>755</xdr:row>
      <xdr:rowOff>127344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 flipV="1">
          <a:off x="2053554" y="127902781"/>
          <a:ext cx="1272636" cy="1009890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454330</xdr:colOff>
      <xdr:row>748</xdr:row>
      <xdr:rowOff>8375</xdr:rowOff>
    </xdr:from>
    <xdr:to>
      <xdr:col>3</xdr:col>
      <xdr:colOff>76580</xdr:colOff>
      <xdr:row>750</xdr:row>
      <xdr:rowOff>106589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2014965" y="127408913"/>
          <a:ext cx="472173" cy="493868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575355</xdr:colOff>
      <xdr:row>700</xdr:row>
      <xdr:rowOff>33347</xdr:rowOff>
    </xdr:from>
    <xdr:to>
      <xdr:col>6</xdr:col>
      <xdr:colOff>164223</xdr:colOff>
      <xdr:row>717</xdr:row>
      <xdr:rowOff>121920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0215" y="139532687"/>
          <a:ext cx="3848448" cy="34566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351696</xdr:colOff>
      <xdr:row>679</xdr:row>
      <xdr:rowOff>81869</xdr:rowOff>
    </xdr:from>
    <xdr:to>
      <xdr:col>6</xdr:col>
      <xdr:colOff>387881</xdr:colOff>
      <xdr:row>699</xdr:row>
      <xdr:rowOff>110180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3696" y="113436696"/>
          <a:ext cx="4194564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718499</xdr:colOff>
      <xdr:row>692</xdr:row>
      <xdr:rowOff>181351</xdr:rowOff>
    </xdr:from>
    <xdr:to>
      <xdr:col>2</xdr:col>
      <xdr:colOff>640067</xdr:colOff>
      <xdr:row>696</xdr:row>
      <xdr:rowOff>134728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1367017">
          <a:off x="1480499" y="116107928"/>
          <a:ext cx="720203" cy="74468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648122</xdr:colOff>
      <xdr:row>692</xdr:row>
      <xdr:rowOff>111454</xdr:rowOff>
    </xdr:from>
    <xdr:to>
      <xdr:col>3</xdr:col>
      <xdr:colOff>518402</xdr:colOff>
      <xdr:row>696</xdr:row>
      <xdr:rowOff>104791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21367017">
          <a:off x="2208757" y="116038031"/>
          <a:ext cx="720203" cy="78464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523750</xdr:colOff>
      <xdr:row>692</xdr:row>
      <xdr:rowOff>81516</xdr:rowOff>
    </xdr:from>
    <xdr:to>
      <xdr:col>4</xdr:col>
      <xdr:colOff>298780</xdr:colOff>
      <xdr:row>696</xdr:row>
      <xdr:rowOff>34893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1367017">
          <a:off x="2934308" y="116008093"/>
          <a:ext cx="720203" cy="74468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207987</xdr:colOff>
      <xdr:row>692</xdr:row>
      <xdr:rowOff>11608</xdr:rowOff>
    </xdr:from>
    <xdr:to>
      <xdr:col>5</xdr:col>
      <xdr:colOff>144209</xdr:colOff>
      <xdr:row>696</xdr:row>
      <xdr:rowOff>12817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1367017">
          <a:off x="3563718" y="115938185"/>
          <a:ext cx="720203" cy="792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149290</xdr:colOff>
      <xdr:row>691</xdr:row>
      <xdr:rowOff>187358</xdr:rowOff>
    </xdr:from>
    <xdr:to>
      <xdr:col>6</xdr:col>
      <xdr:colOff>85513</xdr:colOff>
      <xdr:row>695</xdr:row>
      <xdr:rowOff>140735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1367017">
          <a:off x="4289002" y="115916108"/>
          <a:ext cx="720203" cy="74468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726231</xdr:colOff>
      <xdr:row>697</xdr:row>
      <xdr:rowOff>64788</xdr:rowOff>
    </xdr:from>
    <xdr:to>
      <xdr:col>3</xdr:col>
      <xdr:colOff>448936</xdr:colOff>
      <xdr:row>698</xdr:row>
      <xdr:rowOff>23306</xdr:rowOff>
    </xdr:to>
    <xdr:sp macro="" textlink="">
      <xdr:nvSpPr>
        <xdr:cNvPr id="19" name="Text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86866" y="116980500"/>
          <a:ext cx="572628" cy="156344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B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615646</xdr:colOff>
      <xdr:row>696</xdr:row>
      <xdr:rowOff>182810</xdr:rowOff>
    </xdr:from>
    <xdr:to>
      <xdr:col>4</xdr:col>
      <xdr:colOff>243101</xdr:colOff>
      <xdr:row>697</xdr:row>
      <xdr:rowOff>141327</xdr:rowOff>
    </xdr:to>
    <xdr:sp macro="" textlink="">
      <xdr:nvSpPr>
        <xdr:cNvPr id="20" name="TextBox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026204" y="116900695"/>
          <a:ext cx="572628" cy="156344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C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417198</xdr:colOff>
      <xdr:row>696</xdr:row>
      <xdr:rowOff>169230</xdr:rowOff>
    </xdr:from>
    <xdr:to>
      <xdr:col>5</xdr:col>
      <xdr:colOff>205845</xdr:colOff>
      <xdr:row>697</xdr:row>
      <xdr:rowOff>127747</xdr:rowOff>
    </xdr:to>
    <xdr:sp macro="" textlink="">
      <xdr:nvSpPr>
        <xdr:cNvPr id="21" name="TextBox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772929" y="116887115"/>
          <a:ext cx="572628" cy="156344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D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456735</xdr:colOff>
      <xdr:row>696</xdr:row>
      <xdr:rowOff>64974</xdr:rowOff>
    </xdr:from>
    <xdr:to>
      <xdr:col>6</xdr:col>
      <xdr:colOff>245383</xdr:colOff>
      <xdr:row>697</xdr:row>
      <xdr:rowOff>23491</xdr:rowOff>
    </xdr:to>
    <xdr:sp macro="" textlink="">
      <xdr:nvSpPr>
        <xdr:cNvPr id="22" name="TextBox 1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596447" y="116782859"/>
          <a:ext cx="572628" cy="156344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E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630631</xdr:colOff>
      <xdr:row>697</xdr:row>
      <xdr:rowOff>109903</xdr:rowOff>
    </xdr:from>
    <xdr:to>
      <xdr:col>2</xdr:col>
      <xdr:colOff>404624</xdr:colOff>
      <xdr:row>698</xdr:row>
      <xdr:rowOff>68421</xdr:rowOff>
    </xdr:to>
    <xdr:sp macro="" textlink="">
      <xdr:nvSpPr>
        <xdr:cNvPr id="23" name="TextBox 1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392631" y="117025615"/>
          <a:ext cx="572628" cy="156344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A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622658</xdr:colOff>
      <xdr:row>679</xdr:row>
      <xdr:rowOff>80595</xdr:rowOff>
    </xdr:from>
    <xdr:to>
      <xdr:col>4</xdr:col>
      <xdr:colOff>286902</xdr:colOff>
      <xdr:row>680</xdr:row>
      <xdr:rowOff>48393</xdr:rowOff>
    </xdr:to>
    <xdr:sp macro="" textlink="">
      <xdr:nvSpPr>
        <xdr:cNvPr id="24" name="Text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033216" y="113435422"/>
          <a:ext cx="609417" cy="165625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J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410418</xdr:colOff>
      <xdr:row>679</xdr:row>
      <xdr:rowOff>102941</xdr:rowOff>
    </xdr:from>
    <xdr:to>
      <xdr:col>5</xdr:col>
      <xdr:colOff>235854</xdr:colOff>
      <xdr:row>680</xdr:row>
      <xdr:rowOff>72117</xdr:rowOff>
    </xdr:to>
    <xdr:sp macro="" textlink="">
      <xdr:nvSpPr>
        <xdr:cNvPr id="25" name="TextBox 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766149" y="113457768"/>
          <a:ext cx="609417" cy="167003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I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359370</xdr:colOff>
      <xdr:row>679</xdr:row>
      <xdr:rowOff>101235</xdr:rowOff>
    </xdr:from>
    <xdr:to>
      <xdr:col>6</xdr:col>
      <xdr:colOff>184807</xdr:colOff>
      <xdr:row>680</xdr:row>
      <xdr:rowOff>63982</xdr:rowOff>
    </xdr:to>
    <xdr:sp macro="" textlink="">
      <xdr:nvSpPr>
        <xdr:cNvPr id="26" name="TextBox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499082" y="113456062"/>
          <a:ext cx="609417" cy="160574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H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388028</xdr:colOff>
      <xdr:row>686</xdr:row>
      <xdr:rowOff>7918</xdr:rowOff>
    </xdr:from>
    <xdr:to>
      <xdr:col>5</xdr:col>
      <xdr:colOff>213464</xdr:colOff>
      <xdr:row>686</xdr:row>
      <xdr:rowOff>157520</xdr:rowOff>
    </xdr:to>
    <xdr:sp macro="" textlink="">
      <xdr:nvSpPr>
        <xdr:cNvPr id="27" name="TextBox 1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743759" y="114747533"/>
          <a:ext cx="609417" cy="149602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G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357125</xdr:colOff>
      <xdr:row>689</xdr:row>
      <xdr:rowOff>139878</xdr:rowOff>
    </xdr:from>
    <xdr:to>
      <xdr:col>5</xdr:col>
      <xdr:colOff>182561</xdr:colOff>
      <xdr:row>690</xdr:row>
      <xdr:rowOff>91653</xdr:rowOff>
    </xdr:to>
    <xdr:sp macro="" textlink="">
      <xdr:nvSpPr>
        <xdr:cNvPr id="28" name="TextBox 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712856" y="115472974"/>
          <a:ext cx="609417" cy="149602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F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270297</xdr:colOff>
      <xdr:row>687</xdr:row>
      <xdr:rowOff>164449</xdr:rowOff>
    </xdr:from>
    <xdr:to>
      <xdr:col>6</xdr:col>
      <xdr:colOff>160910</xdr:colOff>
      <xdr:row>691</xdr:row>
      <xdr:rowOff>103391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410009" y="115101891"/>
          <a:ext cx="674593" cy="7302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5</xdr:col>
      <xdr:colOff>270296</xdr:colOff>
      <xdr:row>683</xdr:row>
      <xdr:rowOff>179192</xdr:rowOff>
    </xdr:from>
    <xdr:to>
      <xdr:col>6</xdr:col>
      <xdr:colOff>160909</xdr:colOff>
      <xdr:row>687</xdr:row>
      <xdr:rowOff>157107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410008" y="114325327"/>
          <a:ext cx="674593" cy="7692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5</xdr:col>
      <xdr:colOff>238069</xdr:colOff>
      <xdr:row>680</xdr:row>
      <xdr:rowOff>117631</xdr:rowOff>
    </xdr:from>
    <xdr:to>
      <xdr:col>6</xdr:col>
      <xdr:colOff>193134</xdr:colOff>
      <xdr:row>683</xdr:row>
      <xdr:rowOff>171850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377781" y="113670285"/>
          <a:ext cx="739045" cy="647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4</xdr:col>
      <xdr:colOff>323169</xdr:colOff>
      <xdr:row>680</xdr:row>
      <xdr:rowOff>110289</xdr:rowOff>
    </xdr:from>
    <xdr:to>
      <xdr:col>5</xdr:col>
      <xdr:colOff>238069</xdr:colOff>
      <xdr:row>683</xdr:row>
      <xdr:rowOff>171850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678900" y="113662943"/>
          <a:ext cx="698881" cy="6550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3</xdr:col>
      <xdr:colOff>691351</xdr:colOff>
      <xdr:row>680</xdr:row>
      <xdr:rowOff>110289</xdr:rowOff>
    </xdr:from>
    <xdr:to>
      <xdr:col>4</xdr:col>
      <xdr:colOff>323169</xdr:colOff>
      <xdr:row>683</xdr:row>
      <xdr:rowOff>171850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101909" y="113662943"/>
          <a:ext cx="576991" cy="6550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3</xdr:col>
      <xdr:colOff>18251</xdr:colOff>
      <xdr:row>680</xdr:row>
      <xdr:rowOff>110289</xdr:rowOff>
    </xdr:from>
    <xdr:to>
      <xdr:col>3</xdr:col>
      <xdr:colOff>678651</xdr:colOff>
      <xdr:row>683</xdr:row>
      <xdr:rowOff>171850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428809" y="113662943"/>
          <a:ext cx="660400" cy="6550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2</xdr:col>
      <xdr:colOff>842393</xdr:colOff>
      <xdr:row>683</xdr:row>
      <xdr:rowOff>171850</xdr:rowOff>
    </xdr:from>
    <xdr:to>
      <xdr:col>3</xdr:col>
      <xdr:colOff>615646</xdr:colOff>
      <xdr:row>687</xdr:row>
      <xdr:rowOff>164449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403028" y="114317985"/>
          <a:ext cx="623176" cy="7839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 sz="1000"/>
        </a:p>
      </xdr:txBody>
    </xdr:sp>
    <xdr:clientData/>
  </xdr:twoCellAnchor>
  <xdr:twoCellAnchor>
    <xdr:from>
      <xdr:col>2</xdr:col>
      <xdr:colOff>842393</xdr:colOff>
      <xdr:row>687</xdr:row>
      <xdr:rowOff>164449</xdr:rowOff>
    </xdr:from>
    <xdr:to>
      <xdr:col>3</xdr:col>
      <xdr:colOff>615646</xdr:colOff>
      <xdr:row>691</xdr:row>
      <xdr:rowOff>185958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403028" y="115101891"/>
          <a:ext cx="623176" cy="81281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133026</xdr:colOff>
      <xdr:row>681</xdr:row>
      <xdr:rowOff>168519</xdr:rowOff>
    </xdr:from>
    <xdr:to>
      <xdr:col>2</xdr:col>
      <xdr:colOff>742443</xdr:colOff>
      <xdr:row>682</xdr:row>
      <xdr:rowOff>120294</xdr:rowOff>
    </xdr:to>
    <xdr:sp macro="" textlink="">
      <xdr:nvSpPr>
        <xdr:cNvPr id="37" name="TextBox 3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693661" y="113919000"/>
          <a:ext cx="609417" cy="149602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K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118650</xdr:colOff>
      <xdr:row>685</xdr:row>
      <xdr:rowOff>67698</xdr:rowOff>
    </xdr:from>
    <xdr:to>
      <xdr:col>2</xdr:col>
      <xdr:colOff>728067</xdr:colOff>
      <xdr:row>686</xdr:row>
      <xdr:rowOff>19473</xdr:rowOff>
    </xdr:to>
    <xdr:sp macro="" textlink="">
      <xdr:nvSpPr>
        <xdr:cNvPr id="38" name="TextBox 3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679285" y="114609486"/>
          <a:ext cx="609417" cy="149602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L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149213</xdr:colOff>
      <xdr:row>689</xdr:row>
      <xdr:rowOff>79112</xdr:rowOff>
    </xdr:from>
    <xdr:to>
      <xdr:col>2</xdr:col>
      <xdr:colOff>806126</xdr:colOff>
      <xdr:row>690</xdr:row>
      <xdr:rowOff>30887</xdr:rowOff>
    </xdr:to>
    <xdr:sp macro="" textlink="">
      <xdr:nvSpPr>
        <xdr:cNvPr id="39" name="Text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709848" y="115412208"/>
          <a:ext cx="656913" cy="149602"/>
        </a:xfrm>
        <a:prstGeom prst="rect">
          <a:avLst/>
        </a:prstGeom>
        <a:solidFill>
          <a:srgbClr val="FFFF00"/>
        </a:solidFill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FF0000"/>
              </a:solidFill>
            </a:rPr>
            <a:t>Wing M</a:t>
          </a:r>
          <a:endParaRPr lang="en-IN" sz="10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701112</xdr:colOff>
      <xdr:row>614</xdr:row>
      <xdr:rowOff>155734</xdr:rowOff>
    </xdr:from>
    <xdr:to>
      <xdr:col>13</xdr:col>
      <xdr:colOff>66855</xdr:colOff>
      <xdr:row>615</xdr:row>
      <xdr:rowOff>153735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0886512" y="119046784"/>
          <a:ext cx="191243" cy="1948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682062</xdr:colOff>
      <xdr:row>657</xdr:row>
      <xdr:rowOff>117634</xdr:rowOff>
    </xdr:from>
    <xdr:to>
      <xdr:col>13</xdr:col>
      <xdr:colOff>47805</xdr:colOff>
      <xdr:row>658</xdr:row>
      <xdr:rowOff>115635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0867462" y="119008684"/>
          <a:ext cx="191243" cy="1948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555625</xdr:colOff>
      <xdr:row>638</xdr:row>
      <xdr:rowOff>95250</xdr:rowOff>
    </xdr:from>
    <xdr:to>
      <xdr:col>17</xdr:col>
      <xdr:colOff>326454</xdr:colOff>
      <xdr:row>672</xdr:row>
      <xdr:rowOff>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8305165" y="127600710"/>
          <a:ext cx="5783009" cy="6640830"/>
          <a:chOff x="431800" y="123456700"/>
          <a:chExt cx="5898579" cy="6748006"/>
        </a:xfrm>
      </xdr:grpSpPr>
      <xdr:pic>
        <xdr:nvPicPr>
          <xdr:cNvPr id="136" name="Picture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3045" y="12575070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7" name="Picture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6951" y="12804470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8" name="Picture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1" y="1234567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9" name="Picture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1352" y="128044706"/>
            <a:ext cx="162168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0" name="Picture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0" y="12575070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41" name="Group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GrpSpPr/>
        </xdr:nvGrpSpPr>
        <xdr:grpSpPr>
          <a:xfrm>
            <a:off x="3453046" y="123456700"/>
            <a:ext cx="2877333" cy="2160000"/>
            <a:chOff x="3021246" y="0"/>
            <a:chExt cx="2877333" cy="2160000"/>
          </a:xfrm>
        </xdr:grpSpPr>
        <xdr:pic>
          <xdr:nvPicPr>
            <xdr:cNvPr id="142" name="Picture 141">
              <a:extLst>
                <a:ext uri="{FF2B5EF4-FFF2-40B4-BE49-F238E27FC236}">
                  <a16:creationId xmlns:a16="http://schemas.microsoft.com/office/drawing/2014/main" id="{00000000-0008-0000-0000-00008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21246" y="0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143" name="Straight Connector 142">
              <a:extLst>
                <a:ext uri="{FF2B5EF4-FFF2-40B4-BE49-F238E27FC236}">
                  <a16:creationId xmlns:a16="http://schemas.microsoft.com/office/drawing/2014/main" id="{00000000-0008-0000-0000-00008F000000}"/>
                </a:ext>
              </a:extLst>
            </xdr:cNvPr>
            <xdr:cNvCxnSpPr/>
          </xdr:nvCxnSpPr>
          <xdr:spPr>
            <a:xfrm flipH="1">
              <a:off x="3232150" y="825500"/>
              <a:ext cx="76200" cy="37465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4" name="Straight Connector 143">
              <a:extLst>
                <a:ext uri="{FF2B5EF4-FFF2-40B4-BE49-F238E27FC236}">
                  <a16:creationId xmlns:a16="http://schemas.microsoft.com/office/drawing/2014/main" id="{00000000-0008-0000-0000-000090000000}"/>
                </a:ext>
              </a:extLst>
            </xdr:cNvPr>
            <xdr:cNvCxnSpPr/>
          </xdr:nvCxnSpPr>
          <xdr:spPr>
            <a:xfrm flipH="1">
              <a:off x="3048000" y="1181100"/>
              <a:ext cx="177800" cy="8255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5" name="Straight Arrow Connector 144">
              <a:extLst>
                <a:ext uri="{FF2B5EF4-FFF2-40B4-BE49-F238E27FC236}">
                  <a16:creationId xmlns:a16="http://schemas.microsoft.com/office/drawing/2014/main" id="{00000000-0008-0000-0000-000091000000}"/>
                </a:ext>
              </a:extLst>
            </xdr:cNvPr>
            <xdr:cNvCxnSpPr/>
          </xdr:nvCxnSpPr>
          <xdr:spPr>
            <a:xfrm flipH="1">
              <a:off x="3155950" y="209550"/>
              <a:ext cx="311150" cy="869950"/>
            </a:xfrm>
            <a:prstGeom prst="straightConnector1">
              <a:avLst/>
            </a:prstGeom>
            <a:ln w="28575">
              <a:solidFill>
                <a:srgbClr val="FFC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46" name="TextBox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/>
        </xdr:nvSpPr>
        <xdr:spPr>
          <a:xfrm>
            <a:off x="3605444" y="125871353"/>
            <a:ext cx="89035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Other Bldg</a:t>
            </a:r>
          </a:p>
        </xdr:txBody>
      </xdr:sp>
    </xdr:grpSp>
    <xdr:clientData/>
  </xdr:twoCellAnchor>
  <xdr:twoCellAnchor>
    <xdr:from>
      <xdr:col>8</xdr:col>
      <xdr:colOff>941070</xdr:colOff>
      <xdr:row>590</xdr:row>
      <xdr:rowOff>169542</xdr:rowOff>
    </xdr:from>
    <xdr:to>
      <xdr:col>17</xdr:col>
      <xdr:colOff>104775</xdr:colOff>
      <xdr:row>631</xdr:row>
      <xdr:rowOff>160944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494270" y="118561482"/>
          <a:ext cx="6372225" cy="8114322"/>
          <a:chOff x="57150" y="118443372"/>
          <a:chExt cx="6203496" cy="8359795"/>
        </a:xfrm>
      </xdr:grpSpPr>
      <xdr:grpSp>
        <xdr:nvGrpSpPr>
          <xdr:cNvPr id="44" name="Group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GrpSpPr/>
        </xdr:nvGrpSpPr>
        <xdr:grpSpPr>
          <a:xfrm>
            <a:off x="133349" y="124120275"/>
            <a:ext cx="1967968" cy="2677041"/>
            <a:chOff x="133349" y="121910475"/>
            <a:chExt cx="1965247" cy="2623973"/>
          </a:xfrm>
        </xdr:grpSpPr>
        <xdr:pic>
          <xdr:nvPicPr>
            <xdr:cNvPr id="91" name="Picture 90" descr="https://vsjcllp.vsjadon.com/upload/insp-226062-871.jpg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349" y="121910475"/>
              <a:ext cx="1965247" cy="262397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1" name="TextBox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 txBox="1"/>
          </xdr:nvSpPr>
          <xdr:spPr>
            <a:xfrm>
              <a:off x="133349" y="121910475"/>
              <a:ext cx="714375" cy="316555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4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G Wing</a:t>
              </a:r>
            </a:p>
          </xdr:txBody>
        </xdr:sp>
      </xdr:grpSp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4209229" y="124122536"/>
            <a:ext cx="1965928" cy="2680631"/>
            <a:chOff x="2200815" y="121912736"/>
            <a:chExt cx="1971371" cy="2627563"/>
          </a:xfrm>
        </xdr:grpSpPr>
        <xdr:pic>
          <xdr:nvPicPr>
            <xdr:cNvPr id="96" name="Picture 95" descr="https://vsjcllp.vsjadon.com/upload/insp-226062-931.jpg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00815" y="121912736"/>
              <a:ext cx="1971371" cy="26275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6" name="TextBox 125">
              <a:extLst>
                <a:ext uri="{FF2B5EF4-FFF2-40B4-BE49-F238E27FC236}">
                  <a16:creationId xmlns:a16="http://schemas.microsoft.com/office/drawing/2014/main" id="{00000000-0008-0000-0000-00007E000000}"/>
                </a:ext>
              </a:extLst>
            </xdr:cNvPr>
            <xdr:cNvSpPr txBox="1"/>
          </xdr:nvSpPr>
          <xdr:spPr>
            <a:xfrm>
              <a:off x="2200815" y="121912736"/>
              <a:ext cx="714375" cy="316555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4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M Wing</a:t>
              </a:r>
            </a:p>
          </xdr:txBody>
        </xdr:sp>
      </xdr:grpSp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2174093" y="124115677"/>
            <a:ext cx="1952438" cy="2677041"/>
            <a:chOff x="4276397" y="121915402"/>
            <a:chExt cx="1966045" cy="2623973"/>
          </a:xfrm>
        </xdr:grpSpPr>
        <xdr:pic>
          <xdr:nvPicPr>
            <xdr:cNvPr id="92" name="Picture 91" descr="https://vsjcllp.vsjadon.com/upload/insp-226062-874.jpg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76397" y="121915402"/>
              <a:ext cx="1966045" cy="262397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34" name="TextBox 133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 txBox="1"/>
          </xdr:nvSpPr>
          <xdr:spPr>
            <a:xfrm>
              <a:off x="5514647" y="121924927"/>
              <a:ext cx="714375" cy="316555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400" b="1" cap="none" spc="0">
                  <a:ln w="0"/>
                  <a:solidFill>
                    <a:sysClr val="windowText" lastClr="0000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H Wing</a:t>
              </a:r>
            </a:p>
          </xdr:txBody>
        </xdr:sp>
      </xdr:grpSp>
      <xdr:grpSp>
        <xdr:nvGrpSpPr>
          <xdr:cNvPr id="57" name="Group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57150" y="118443372"/>
            <a:ext cx="4103914" cy="2749217"/>
            <a:chOff x="57150" y="117249946"/>
            <a:chExt cx="4115921" cy="2718000"/>
          </a:xfrm>
        </xdr:grpSpPr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57150" y="117249948"/>
              <a:ext cx="2014818" cy="2717996"/>
              <a:chOff x="57150" y="116347874"/>
              <a:chExt cx="2019300" cy="2696145"/>
            </a:xfrm>
          </xdr:grpSpPr>
          <xdr:pic>
            <xdr:nvPicPr>
              <xdr:cNvPr id="83" name="Picture 82" descr="https://vsjcllp.vsjadon.com/upload/insp-226062-843.jpg">
                <a:extLst>
                  <a:ext uri="{FF2B5EF4-FFF2-40B4-BE49-F238E27FC236}">
                    <a16:creationId xmlns:a16="http://schemas.microsoft.com/office/drawing/2014/main" id="{00000000-0008-0000-0000-00005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7150" y="116347874"/>
                <a:ext cx="2019300" cy="269614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98" name="TextBox 97">
                <a:extLst>
                  <a:ext uri="{FF2B5EF4-FFF2-40B4-BE49-F238E27FC236}">
                    <a16:creationId xmlns:a16="http://schemas.microsoft.com/office/drawing/2014/main" id="{00000000-0008-0000-0000-000062000000}"/>
                  </a:ext>
                </a:extLst>
              </xdr:cNvPr>
              <xdr:cNvSpPr txBox="1"/>
            </xdr:nvSpPr>
            <xdr:spPr>
              <a:xfrm>
                <a:off x="95249" y="116357399"/>
                <a:ext cx="714375" cy="316555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400" b="1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A Wing</a:t>
                </a:r>
              </a:p>
            </xdr:txBody>
          </xdr:sp>
        </xdr:grp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57150" y="118886007"/>
              <a:ext cx="945355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3rd Basement</a:t>
              </a:r>
            </a:p>
          </xdr:txBody>
        </xdr:sp>
        <xdr:sp macro="" textlink="">
          <xdr:nvSpPr>
            <xdr:cNvPr id="152" name="TextBox 151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</a:extLst>
            </xdr:cNvPr>
            <xdr:cNvSpPr txBox="1"/>
          </xdr:nvSpPr>
          <xdr:spPr>
            <a:xfrm>
              <a:off x="359708" y="118067978"/>
              <a:ext cx="908258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Ground</a:t>
              </a:r>
              <a:r>
                <a:rPr lang="en-IN" sz="1100" b="0" cap="none" spc="0" baseline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 Floor</a:t>
              </a:r>
              <a:endPara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endParaRPr>
            </a:p>
          </xdr:txBody>
        </xdr:sp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2148168" y="117249946"/>
              <a:ext cx="2024903" cy="2718000"/>
              <a:chOff x="2148168" y="117249946"/>
              <a:chExt cx="2024903" cy="2718000"/>
            </a:xfrm>
          </xdr:grpSpPr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2148168" y="117249946"/>
                <a:ext cx="2024903" cy="2718000"/>
                <a:chOff x="2152650" y="116347874"/>
                <a:chExt cx="2019300" cy="2696149"/>
              </a:xfrm>
            </xdr:grpSpPr>
            <xdr:pic>
              <xdr:nvPicPr>
                <xdr:cNvPr id="86" name="Picture 85" descr="https://vsjcllp.vsjadon.com/upload/insp-226062-847.jpg">
                  <a:extLst>
                    <a:ext uri="{FF2B5EF4-FFF2-40B4-BE49-F238E27FC236}">
                      <a16:creationId xmlns:a16="http://schemas.microsoft.com/office/drawing/2014/main" id="{00000000-0008-0000-0000-000056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5" cstate="print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152650" y="116347878"/>
                  <a:ext cx="2019300" cy="2696145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05" name="TextBox 104">
                  <a:extLst>
                    <a:ext uri="{FF2B5EF4-FFF2-40B4-BE49-F238E27FC236}">
                      <a16:creationId xmlns:a16="http://schemas.microsoft.com/office/drawing/2014/main" id="{00000000-0008-0000-0000-000069000000}"/>
                    </a:ext>
                  </a:extLst>
                </xdr:cNvPr>
                <xdr:cNvSpPr txBox="1"/>
              </xdr:nvSpPr>
              <xdr:spPr>
                <a:xfrm>
                  <a:off x="2152650" y="116347874"/>
                  <a:ext cx="714375" cy="316555"/>
                </a:xfrm>
                <a:prstGeom prst="rect">
                  <a:avLst/>
                </a:prstGeom>
                <a:solidFill>
                  <a:schemeClr val="bg1">
                    <a:lumMod val="95000"/>
                  </a:schemeClr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IN" sz="1400" b="1" cap="none" spc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25400" dir="5400000" algn="ctr" rotWithShape="0">
                          <a:srgbClr val="6E747A">
                            <a:alpha val="43000"/>
                          </a:srgbClr>
                        </a:outerShdw>
                      </a:effectLst>
                    </a:rPr>
                    <a:t>B Wing</a:t>
                  </a:r>
                </a:p>
              </xdr:txBody>
            </xdr:sp>
          </xdr:grpSp>
          <xdr:sp macro="" textlink="">
            <xdr:nvSpPr>
              <xdr:cNvPr id="151" name="TextBox 150">
                <a:extLst>
                  <a:ext uri="{FF2B5EF4-FFF2-40B4-BE49-F238E27FC236}">
                    <a16:creationId xmlns:a16="http://schemas.microsoft.com/office/drawing/2014/main" id="{00000000-0008-0000-0000-000097000000}"/>
                  </a:ext>
                </a:extLst>
              </xdr:cNvPr>
              <xdr:cNvSpPr txBox="1"/>
            </xdr:nvSpPr>
            <xdr:spPr>
              <a:xfrm>
                <a:off x="2708462" y="118926348"/>
                <a:ext cx="945355" cy="2711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100" b="0" cap="none" spc="0">
                    <a:ln w="0"/>
                    <a:solidFill>
                      <a:srgbClr val="FFFF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3rd Basement</a:t>
                </a:r>
              </a:p>
            </xdr:txBody>
          </xdr:sp>
          <xdr:sp macro="" textlink="">
            <xdr:nvSpPr>
              <xdr:cNvPr id="153" name="TextBox 152">
                <a:extLst>
                  <a:ext uri="{FF2B5EF4-FFF2-40B4-BE49-F238E27FC236}">
                    <a16:creationId xmlns:a16="http://schemas.microsoft.com/office/drawing/2014/main" id="{00000000-0008-0000-0000-000099000000}"/>
                  </a:ext>
                </a:extLst>
              </xdr:cNvPr>
              <xdr:cNvSpPr txBox="1"/>
            </xdr:nvSpPr>
            <xdr:spPr>
              <a:xfrm>
                <a:off x="2719668" y="118045566"/>
                <a:ext cx="908258" cy="2711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100" b="0" cap="none" spc="0">
                    <a:ln w="0"/>
                    <a:solidFill>
                      <a:srgbClr val="FFFF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Ground</a:t>
                </a:r>
                <a:r>
                  <a:rPr lang="en-IN" sz="1100" b="0" cap="none" spc="0" baseline="0">
                    <a:ln w="0"/>
                    <a:solidFill>
                      <a:srgbClr val="FFFF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 Floor</a:t>
                </a:r>
                <a:endPara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endParaRPr>
              </a:p>
            </xdr:txBody>
          </xdr:sp>
        </xdr:grpSp>
      </xdr:grpSp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GrpSpPr/>
        </xdr:nvGrpSpPr>
        <xdr:grpSpPr>
          <a:xfrm>
            <a:off x="4246789" y="118443374"/>
            <a:ext cx="2013857" cy="2749213"/>
            <a:chOff x="4258796" y="117249948"/>
            <a:chExt cx="2022661" cy="2717996"/>
          </a:xfrm>
        </xdr:grpSpPr>
        <xdr:grpSp>
          <xdr:nvGrpSpPr>
            <xdr:cNvPr id="48" name="Group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4258796" y="117249948"/>
              <a:ext cx="2022661" cy="2717996"/>
              <a:chOff x="4257675" y="116347874"/>
              <a:chExt cx="2019300" cy="2696145"/>
            </a:xfrm>
          </xdr:grpSpPr>
          <xdr:pic>
            <xdr:nvPicPr>
              <xdr:cNvPr id="85" name="Picture 84" descr="https://vsjcllp.vsjadon.com/upload/insp-226062-844.jpg">
                <a:extLst>
                  <a:ext uri="{FF2B5EF4-FFF2-40B4-BE49-F238E27FC236}">
                    <a16:creationId xmlns:a16="http://schemas.microsoft.com/office/drawing/2014/main" id="{00000000-0008-0000-0000-000055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257675" y="116347874"/>
                <a:ext cx="2019300" cy="269614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06" name="TextBox 105">
                <a:extLst>
                  <a:ext uri="{FF2B5EF4-FFF2-40B4-BE49-F238E27FC236}">
                    <a16:creationId xmlns:a16="http://schemas.microsoft.com/office/drawing/2014/main" id="{00000000-0008-0000-0000-00006A000000}"/>
                  </a:ext>
                </a:extLst>
              </xdr:cNvPr>
              <xdr:cNvSpPr txBox="1"/>
            </xdr:nvSpPr>
            <xdr:spPr>
              <a:xfrm>
                <a:off x="4286250" y="116366924"/>
                <a:ext cx="714375" cy="316555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400" b="1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C Wing</a:t>
                </a:r>
              </a:p>
            </xdr:txBody>
          </xdr:sp>
        </xdr:grpSp>
        <xdr:sp macro="" textlink="">
          <xdr:nvSpPr>
            <xdr:cNvPr id="150" name="TextBox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SpPr txBox="1"/>
          </xdr:nvSpPr>
          <xdr:spPr>
            <a:xfrm>
              <a:off x="4483474" y="118717919"/>
              <a:ext cx="945355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3rd Basement</a:t>
              </a:r>
            </a:p>
          </xdr:txBody>
        </xdr:sp>
        <xdr:sp macro="" textlink="">
          <xdr:nvSpPr>
            <xdr:cNvPr id="154" name="TextBox 153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SpPr txBox="1"/>
          </xdr:nvSpPr>
          <xdr:spPr>
            <a:xfrm>
              <a:off x="4777068" y="118265201"/>
              <a:ext cx="908258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Ground</a:t>
              </a:r>
              <a:r>
                <a:rPr lang="en-IN" sz="1100" b="0" cap="none" spc="0" baseline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 Floor</a:t>
              </a:r>
              <a:endPara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endParaRPr>
            </a:p>
          </xdr:txBody>
        </xdr:sp>
      </xdr:grpSp>
      <xdr:grpSp>
        <xdr:nvGrpSpPr>
          <xdr:cNvPr id="52" name="Group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GrpSpPr/>
        </xdr:nvGrpSpPr>
        <xdr:grpSpPr>
          <a:xfrm>
            <a:off x="77239" y="121262775"/>
            <a:ext cx="4091571" cy="2767693"/>
            <a:chOff x="77239" y="120035731"/>
            <a:chExt cx="4103578" cy="2736476"/>
          </a:xfrm>
        </xdr:grpSpPr>
        <xdr:grpSp>
          <xdr:nvGrpSpPr>
            <xdr:cNvPr id="51" name="Group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77239" y="120035731"/>
              <a:ext cx="4103578" cy="2736476"/>
              <a:chOff x="77239" y="120035731"/>
              <a:chExt cx="4103578" cy="2736476"/>
            </a:xfrm>
          </xdr:grpSpPr>
          <xdr:grpSp>
            <xdr:nvGrpSpPr>
              <xdr:cNvPr id="46" name="Group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GrpSpPr/>
            </xdr:nvGrpSpPr>
            <xdr:grpSpPr>
              <a:xfrm>
                <a:off x="77239" y="120035731"/>
                <a:ext cx="4103578" cy="2736476"/>
                <a:chOff x="77239" y="119110125"/>
                <a:chExt cx="4102457" cy="2714625"/>
              </a:xfrm>
            </xdr:grpSpPr>
            <xdr:pic>
              <xdr:nvPicPr>
                <xdr:cNvPr id="89" name="Picture 88" descr="https://vsjcllp.vsjadon.com/upload/insp-226062-862.jpg">
                  <a:extLst>
                    <a:ext uri="{FF2B5EF4-FFF2-40B4-BE49-F238E27FC236}">
                      <a16:creationId xmlns:a16="http://schemas.microsoft.com/office/drawing/2014/main" id="{00000000-0008-0000-0000-000059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7" cstate="print">
                  <a:extLst>
                    <a:ext uri="{28A0092B-C50C-407E-A947-70E740481C1C}">
                      <a14:useLocalDpi xmlns:a14="http://schemas.microsoft.com/office/drawing/2010/main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153689" y="119119650"/>
                  <a:ext cx="2026007" cy="2705100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grpSp>
              <xdr:nvGrpSpPr>
                <xdr:cNvPr id="45" name="Group 44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GrpSpPr/>
              </xdr:nvGrpSpPr>
              <xdr:grpSpPr>
                <a:xfrm>
                  <a:off x="77239" y="119110125"/>
                  <a:ext cx="1980161" cy="2705100"/>
                  <a:chOff x="77239" y="119110125"/>
                  <a:chExt cx="1980161" cy="2705100"/>
                </a:xfrm>
              </xdr:grpSpPr>
              <xdr:pic>
                <xdr:nvPicPr>
                  <xdr:cNvPr id="88" name="Picture 87" descr="https://vsjcllp.vsjadon.com/upload/insp-226062-861.jpg">
                    <a:extLst>
                      <a:ext uri="{FF2B5EF4-FFF2-40B4-BE49-F238E27FC236}">
                        <a16:creationId xmlns:a16="http://schemas.microsoft.com/office/drawing/2014/main" id="{00000000-0008-0000-0000-000058000000}"/>
                      </a:ext>
                    </a:extLst>
                  </xdr:cNvPr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8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77239" y="119110125"/>
                    <a:ext cx="1980161" cy="2705100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sp macro="" textlink="">
                <xdr:nvSpPr>
                  <xdr:cNvPr id="107" name="TextBox 106">
                    <a:extLst>
                      <a:ext uri="{FF2B5EF4-FFF2-40B4-BE49-F238E27FC236}">
                        <a16:creationId xmlns:a16="http://schemas.microsoft.com/office/drawing/2014/main" id="{00000000-0008-0000-0000-00006B000000}"/>
                      </a:ext>
                    </a:extLst>
                  </xdr:cNvPr>
                  <xdr:cNvSpPr txBox="1"/>
                </xdr:nvSpPr>
                <xdr:spPr>
                  <a:xfrm>
                    <a:off x="1305964" y="119148225"/>
                    <a:ext cx="714375" cy="316555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n-IN" sz="1400" b="1" cap="none" spc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25400" dir="5400000" algn="ctr" rotWithShape="0">
                            <a:srgbClr val="6E747A">
                              <a:alpha val="43000"/>
                            </a:srgbClr>
                          </a:outerShdw>
                        </a:effectLst>
                      </a:rPr>
                      <a:t>D Wing</a:t>
                    </a:r>
                  </a:p>
                </xdr:txBody>
              </xdr:sp>
            </xdr:grpSp>
            <xdr:sp macro="" textlink="">
              <xdr:nvSpPr>
                <xdr:cNvPr id="108" name="TextBox 107">
                  <a:extLst>
                    <a:ext uri="{FF2B5EF4-FFF2-40B4-BE49-F238E27FC236}">
                      <a16:creationId xmlns:a16="http://schemas.microsoft.com/office/drawing/2014/main" id="{00000000-0008-0000-0000-00006C000000}"/>
                    </a:ext>
                  </a:extLst>
                </xdr:cNvPr>
                <xdr:cNvSpPr txBox="1"/>
              </xdr:nvSpPr>
              <xdr:spPr>
                <a:xfrm>
                  <a:off x="2210839" y="119138700"/>
                  <a:ext cx="714375" cy="316555"/>
                </a:xfrm>
                <a:prstGeom prst="rect">
                  <a:avLst/>
                </a:prstGeom>
                <a:solidFill>
                  <a:schemeClr val="bg1">
                    <a:lumMod val="95000"/>
                  </a:schemeClr>
                </a:solidFill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n-IN" sz="1400" b="1" cap="none" spc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25400" dir="5400000" algn="ctr" rotWithShape="0">
                          <a:srgbClr val="6E747A">
                            <a:alpha val="43000"/>
                          </a:srgbClr>
                        </a:outerShdw>
                      </a:effectLst>
                    </a:rPr>
                    <a:t>E Wing</a:t>
                  </a:r>
                </a:p>
              </xdr:txBody>
            </xdr:sp>
          </xdr:grpSp>
          <xdr:sp macro="" textlink="">
            <xdr:nvSpPr>
              <xdr:cNvPr id="155" name="TextBox 154">
                <a:extLst>
                  <a:ext uri="{FF2B5EF4-FFF2-40B4-BE49-F238E27FC236}">
                    <a16:creationId xmlns:a16="http://schemas.microsoft.com/office/drawing/2014/main" id="{00000000-0008-0000-0000-00009B000000}"/>
                  </a:ext>
                </a:extLst>
              </xdr:cNvPr>
              <xdr:cNvSpPr txBox="1"/>
            </xdr:nvSpPr>
            <xdr:spPr>
              <a:xfrm>
                <a:off x="996121" y="121611277"/>
                <a:ext cx="945355" cy="2711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100" b="0" cap="none" spc="0">
                    <a:ln w="0"/>
                    <a:solidFill>
                      <a:srgbClr val="FFFF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3rd Basement</a:t>
                </a:r>
              </a:p>
            </xdr:txBody>
          </xdr:sp>
          <xdr:sp macro="" textlink="">
            <xdr:nvSpPr>
              <xdr:cNvPr id="156" name="TextBox 155">
                <a:extLst>
                  <a:ext uri="{FF2B5EF4-FFF2-40B4-BE49-F238E27FC236}">
                    <a16:creationId xmlns:a16="http://schemas.microsoft.com/office/drawing/2014/main" id="{00000000-0008-0000-0000-00009C000000}"/>
                  </a:ext>
                </a:extLst>
              </xdr:cNvPr>
              <xdr:cNvSpPr txBox="1"/>
            </xdr:nvSpPr>
            <xdr:spPr>
              <a:xfrm>
                <a:off x="1052151" y="120988231"/>
                <a:ext cx="908258" cy="2711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100" b="0" cap="none" spc="0">
                    <a:ln w="0"/>
                    <a:solidFill>
                      <a:srgbClr val="FFFF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Ground</a:t>
                </a:r>
                <a:r>
                  <a:rPr lang="en-IN" sz="1100" b="0" cap="none" spc="0" baseline="0">
                    <a:ln w="0"/>
                    <a:solidFill>
                      <a:srgbClr val="FFFF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 Floor</a:t>
                </a:r>
                <a:endPara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endParaRPr>
              </a:p>
            </xdr:txBody>
          </xdr:sp>
        </xdr:grpSp>
        <xdr:sp macro="" textlink="">
          <xdr:nvSpPr>
            <xdr:cNvPr id="157" name="TextBox 156">
              <a:extLst>
                <a:ext uri="{FF2B5EF4-FFF2-40B4-BE49-F238E27FC236}">
                  <a16:creationId xmlns:a16="http://schemas.microsoft.com/office/drawing/2014/main" id="{00000000-0008-0000-0000-00009D000000}"/>
                </a:ext>
              </a:extLst>
            </xdr:cNvPr>
            <xdr:cNvSpPr txBox="1"/>
          </xdr:nvSpPr>
          <xdr:spPr>
            <a:xfrm>
              <a:off x="3143169" y="121842119"/>
              <a:ext cx="945355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3rd Basement</a:t>
              </a:r>
            </a:p>
          </xdr:txBody>
        </xdr:sp>
        <xdr:sp macro="" textlink="">
          <xdr:nvSpPr>
            <xdr:cNvPr id="158" name="TextBox 157">
              <a:extLst>
                <a:ext uri="{FF2B5EF4-FFF2-40B4-BE49-F238E27FC236}">
                  <a16:creationId xmlns:a16="http://schemas.microsoft.com/office/drawing/2014/main" id="{00000000-0008-0000-0000-00009E000000}"/>
                </a:ext>
              </a:extLst>
            </xdr:cNvPr>
            <xdr:cNvSpPr txBox="1"/>
          </xdr:nvSpPr>
          <xdr:spPr>
            <a:xfrm>
              <a:off x="3154375" y="121275102"/>
              <a:ext cx="908258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Ground</a:t>
              </a:r>
              <a:r>
                <a:rPr lang="en-IN" sz="1100" b="0" cap="none" spc="0" baseline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 Floor</a:t>
              </a:r>
              <a:endPara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endParaRPr>
            </a:p>
          </xdr:txBody>
        </xdr:sp>
      </xdr:grpSp>
      <xdr:grpSp>
        <xdr:nvGrpSpPr>
          <xdr:cNvPr id="54" name="Group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GrpSpPr/>
        </xdr:nvGrpSpPr>
        <xdr:grpSpPr>
          <a:xfrm>
            <a:off x="4238303" y="121272300"/>
            <a:ext cx="2020564" cy="2758168"/>
            <a:chOff x="4250310" y="120045256"/>
            <a:chExt cx="2029368" cy="2726951"/>
          </a:xfrm>
        </xdr:grpSpPr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4250310" y="120045256"/>
              <a:ext cx="2029368" cy="2726951"/>
              <a:chOff x="4249189" y="119119650"/>
              <a:chExt cx="2026007" cy="2705100"/>
            </a:xfrm>
          </xdr:grpSpPr>
          <xdr:pic>
            <xdr:nvPicPr>
              <xdr:cNvPr id="90" name="Picture 89" descr="https://vsjcllp.vsjadon.com/upload/insp-226062-860.jpg">
                <a:extLst>
                  <a:ext uri="{FF2B5EF4-FFF2-40B4-BE49-F238E27FC236}">
                    <a16:creationId xmlns:a16="http://schemas.microsoft.com/office/drawing/2014/main" id="{00000000-0008-0000-0000-00005A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249189" y="119119650"/>
                <a:ext cx="2026007" cy="27051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09" name="TextBox 108">
                <a:extLst>
                  <a:ext uri="{FF2B5EF4-FFF2-40B4-BE49-F238E27FC236}">
                    <a16:creationId xmlns:a16="http://schemas.microsoft.com/office/drawing/2014/main" id="{00000000-0008-0000-0000-00006D000000}"/>
                  </a:ext>
                </a:extLst>
              </xdr:cNvPr>
              <xdr:cNvSpPr txBox="1"/>
            </xdr:nvSpPr>
            <xdr:spPr>
              <a:xfrm>
                <a:off x="4249189" y="119129175"/>
                <a:ext cx="714375" cy="316555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400" b="1" cap="none" spc="0">
                    <a:ln w="0"/>
                    <a:solidFill>
                      <a:sysClr val="windowText" lastClr="000000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</a:rPr>
                  <a:t>F Wing</a:t>
                </a:r>
              </a:p>
            </xdr:txBody>
          </xdr:sp>
        </xdr:grpSp>
        <xdr:sp macro="" textlink="">
          <xdr:nvSpPr>
            <xdr:cNvPr id="159" name="TextBox 158">
              <a:extLst>
                <a:ext uri="{FF2B5EF4-FFF2-40B4-BE49-F238E27FC236}">
                  <a16:creationId xmlns:a16="http://schemas.microsoft.com/office/drawing/2014/main" id="{00000000-0008-0000-0000-00009F000000}"/>
                </a:ext>
              </a:extLst>
            </xdr:cNvPr>
            <xdr:cNvSpPr txBox="1"/>
          </xdr:nvSpPr>
          <xdr:spPr>
            <a:xfrm>
              <a:off x="4676133" y="121654420"/>
              <a:ext cx="945355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3rd Basement</a:t>
              </a:r>
            </a:p>
          </xdr:txBody>
        </xdr:sp>
        <xdr:sp macro="" textlink="">
          <xdr:nvSpPr>
            <xdr:cNvPr id="161" name="TextBox 160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 txBox="1"/>
          </xdr:nvSpPr>
          <xdr:spPr>
            <a:xfrm>
              <a:off x="4908177" y="120810617"/>
              <a:ext cx="945355" cy="2711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100" b="0" cap="none" spc="0">
                  <a:ln w="0"/>
                  <a:solidFill>
                    <a:srgbClr val="FFFF00"/>
                  </a:solidFill>
                  <a:effectLst>
                    <a:outerShdw blurRad="38100" dist="25400" dir="5400000" algn="ctr" rotWithShape="0">
                      <a:srgbClr val="6E747A">
                        <a:alpha val="43000"/>
                      </a:srgbClr>
                    </a:outerShdw>
                  </a:effectLst>
                </a:rPr>
                <a:t>1st Basement</a:t>
              </a:r>
            </a:p>
          </xdr:txBody>
        </xdr:sp>
      </xdr:grpSp>
    </xdr:grpSp>
    <xdr:clientData/>
  </xdr:twoCellAnchor>
  <xdr:twoCellAnchor>
    <xdr:from>
      <xdr:col>0</xdr:col>
      <xdr:colOff>198120</xdr:colOff>
      <xdr:row>594</xdr:row>
      <xdr:rowOff>15240</xdr:rowOff>
    </xdr:from>
    <xdr:to>
      <xdr:col>7</xdr:col>
      <xdr:colOff>533400</xdr:colOff>
      <xdr:row>631</xdr:row>
      <xdr:rowOff>144780</xdr:rowOff>
    </xdr:to>
    <xdr:grpSp>
      <xdr:nvGrpSpPr>
        <xdr:cNvPr id="187" name="Group 186">
          <a:extLst>
            <a:ext uri="{FF2B5EF4-FFF2-40B4-BE49-F238E27FC236}">
              <a16:creationId xmlns:a16="http://schemas.microsoft.com/office/drawing/2014/main" id="{E955CF37-EBE5-19DF-153E-3F9C8472C248}"/>
            </a:ext>
          </a:extLst>
        </xdr:cNvPr>
        <xdr:cNvGrpSpPr/>
      </xdr:nvGrpSpPr>
      <xdr:grpSpPr>
        <a:xfrm>
          <a:off x="198120" y="119199660"/>
          <a:ext cx="6164580" cy="7459980"/>
          <a:chOff x="267631" y="0"/>
          <a:chExt cx="6824010" cy="8248414"/>
        </a:xfrm>
      </xdr:grpSpPr>
      <xdr:pic>
        <xdr:nvPicPr>
          <xdr:cNvPr id="188" name="Picture 187">
            <a:extLst>
              <a:ext uri="{FF2B5EF4-FFF2-40B4-BE49-F238E27FC236}">
                <a16:creationId xmlns:a16="http://schemas.microsoft.com/office/drawing/2014/main" id="{E8E17286-825F-8161-B091-63F3A55F0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7631" y="3044207"/>
            <a:ext cx="334450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9" name="Picture 188">
            <a:extLst>
              <a:ext uri="{FF2B5EF4-FFF2-40B4-BE49-F238E27FC236}">
                <a16:creationId xmlns:a16="http://schemas.microsoft.com/office/drawing/2014/main" id="{034C6836-1F58-2819-D05E-F76BE4D14F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3116" y="0"/>
            <a:ext cx="3822288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0" name="Picture 189">
            <a:extLst>
              <a:ext uri="{FF2B5EF4-FFF2-40B4-BE49-F238E27FC236}">
                <a16:creationId xmlns:a16="http://schemas.microsoft.com/office/drawing/2014/main" id="{9830143B-ED06-DAE3-065E-DAC0B1E97D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1620" y="0"/>
            <a:ext cx="2166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1" name="Picture 190">
            <a:extLst>
              <a:ext uri="{FF2B5EF4-FFF2-40B4-BE49-F238E27FC236}">
                <a16:creationId xmlns:a16="http://schemas.microsoft.com/office/drawing/2014/main" id="{76E34701-5651-25BE-5EC2-4A6B9D5A8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8194" y="5728414"/>
            <a:ext cx="33445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2" name="Picture 191">
            <a:extLst>
              <a:ext uri="{FF2B5EF4-FFF2-40B4-BE49-F238E27FC236}">
                <a16:creationId xmlns:a16="http://schemas.microsoft.com/office/drawing/2014/main" id="{96590F3F-3DA7-8695-656B-D63AACE287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7141" y="5728414"/>
            <a:ext cx="33445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3" name="Picture 192">
            <a:extLst>
              <a:ext uri="{FF2B5EF4-FFF2-40B4-BE49-F238E27FC236}">
                <a16:creationId xmlns:a16="http://schemas.microsoft.com/office/drawing/2014/main" id="{BAC319A7-B2B7-CED5-DCDC-4B1C54171C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7141" y="3044207"/>
            <a:ext cx="33445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4" name="TextBox 34">
            <a:extLst>
              <a:ext uri="{FF2B5EF4-FFF2-40B4-BE49-F238E27FC236}">
                <a16:creationId xmlns:a16="http://schemas.microsoft.com/office/drawing/2014/main" id="{D085C616-558B-20D7-1A1A-B0935D106FEB}"/>
              </a:ext>
            </a:extLst>
          </xdr:cNvPr>
          <xdr:cNvSpPr txBox="1"/>
        </xdr:nvSpPr>
        <xdr:spPr>
          <a:xfrm>
            <a:off x="1068176" y="805934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</a:t>
            </a:r>
          </a:p>
        </xdr:txBody>
      </xdr:sp>
      <xdr:sp macro="" textlink="">
        <xdr:nvSpPr>
          <xdr:cNvPr id="195" name="TextBox 35">
            <a:extLst>
              <a:ext uri="{FF2B5EF4-FFF2-40B4-BE49-F238E27FC236}">
                <a16:creationId xmlns:a16="http://schemas.microsoft.com/office/drawing/2014/main" id="{1BBFC148-7195-5A58-7778-9855D5AA3BB9}"/>
              </a:ext>
            </a:extLst>
          </xdr:cNvPr>
          <xdr:cNvSpPr txBox="1"/>
        </xdr:nvSpPr>
        <xdr:spPr>
          <a:xfrm>
            <a:off x="1018623" y="3888604"/>
            <a:ext cx="33214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G</a:t>
            </a:r>
          </a:p>
        </xdr:txBody>
      </xdr:sp>
      <xdr:sp macro="" textlink="">
        <xdr:nvSpPr>
          <xdr:cNvPr id="196" name="TextBox 36">
            <a:extLst>
              <a:ext uri="{FF2B5EF4-FFF2-40B4-BE49-F238E27FC236}">
                <a16:creationId xmlns:a16="http://schemas.microsoft.com/office/drawing/2014/main" id="{C79749A4-D60A-F1BF-B9FB-D196B84C494A}"/>
              </a:ext>
            </a:extLst>
          </xdr:cNvPr>
          <xdr:cNvSpPr txBox="1"/>
        </xdr:nvSpPr>
        <xdr:spPr>
          <a:xfrm>
            <a:off x="2833116" y="4257936"/>
            <a:ext cx="29046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F</a:t>
            </a:r>
          </a:p>
        </xdr:txBody>
      </xdr:sp>
      <xdr:sp macro="" textlink="">
        <xdr:nvSpPr>
          <xdr:cNvPr id="197" name="TextBox 37">
            <a:extLst>
              <a:ext uri="{FF2B5EF4-FFF2-40B4-BE49-F238E27FC236}">
                <a16:creationId xmlns:a16="http://schemas.microsoft.com/office/drawing/2014/main" id="{ADB898FD-C8B0-87CD-F46E-040CB9890E62}"/>
              </a:ext>
            </a:extLst>
          </xdr:cNvPr>
          <xdr:cNvSpPr txBox="1"/>
        </xdr:nvSpPr>
        <xdr:spPr>
          <a:xfrm>
            <a:off x="3433348" y="144923"/>
            <a:ext cx="29687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E</a:t>
            </a:r>
          </a:p>
        </xdr:txBody>
      </xdr:sp>
      <xdr:sp macro="" textlink="">
        <xdr:nvSpPr>
          <xdr:cNvPr id="198" name="TextBox 38">
            <a:extLst>
              <a:ext uri="{FF2B5EF4-FFF2-40B4-BE49-F238E27FC236}">
                <a16:creationId xmlns:a16="http://schemas.microsoft.com/office/drawing/2014/main" id="{CD338E25-35C4-9B66-5112-C53B15F6F254}"/>
              </a:ext>
            </a:extLst>
          </xdr:cNvPr>
          <xdr:cNvSpPr txBox="1"/>
        </xdr:nvSpPr>
        <xdr:spPr>
          <a:xfrm>
            <a:off x="4944672" y="514255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D</a:t>
            </a:r>
          </a:p>
        </xdr:txBody>
      </xdr:sp>
      <xdr:sp macro="" textlink="">
        <xdr:nvSpPr>
          <xdr:cNvPr id="199" name="TextBox 39">
            <a:extLst>
              <a:ext uri="{FF2B5EF4-FFF2-40B4-BE49-F238E27FC236}">
                <a16:creationId xmlns:a16="http://schemas.microsoft.com/office/drawing/2014/main" id="{89E09D28-E160-ABC0-6D48-FB90B88C9A66}"/>
              </a:ext>
            </a:extLst>
          </xdr:cNvPr>
          <xdr:cNvSpPr txBox="1"/>
        </xdr:nvSpPr>
        <xdr:spPr>
          <a:xfrm>
            <a:off x="5879898" y="481988"/>
            <a:ext cx="3064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C</a:t>
            </a:r>
          </a:p>
        </xdr:txBody>
      </xdr:sp>
      <xdr:sp macro="" textlink="">
        <xdr:nvSpPr>
          <xdr:cNvPr id="200" name="TextBox 42">
            <a:extLst>
              <a:ext uri="{FF2B5EF4-FFF2-40B4-BE49-F238E27FC236}">
                <a16:creationId xmlns:a16="http://schemas.microsoft.com/office/drawing/2014/main" id="{C8ABE92F-8DE9-956F-855F-88080F714F73}"/>
              </a:ext>
            </a:extLst>
          </xdr:cNvPr>
          <xdr:cNvSpPr txBox="1"/>
        </xdr:nvSpPr>
        <xdr:spPr>
          <a:xfrm>
            <a:off x="1728042" y="844397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A</a:t>
            </a:r>
          </a:p>
        </xdr:txBody>
      </xdr:sp>
      <xdr:sp macro="" textlink="">
        <xdr:nvSpPr>
          <xdr:cNvPr id="201" name="TextBox 43">
            <a:extLst>
              <a:ext uri="{FF2B5EF4-FFF2-40B4-BE49-F238E27FC236}">
                <a16:creationId xmlns:a16="http://schemas.microsoft.com/office/drawing/2014/main" id="{F02A8DB6-C314-8702-EE0D-7B62D8F13CC5}"/>
              </a:ext>
            </a:extLst>
          </xdr:cNvPr>
          <xdr:cNvSpPr txBox="1"/>
        </xdr:nvSpPr>
        <xdr:spPr>
          <a:xfrm>
            <a:off x="5254122" y="5107591"/>
            <a:ext cx="1128970" cy="4136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H Wing </a:t>
            </a:r>
          </a:p>
        </xdr:txBody>
      </xdr:sp>
      <xdr:sp macro="" textlink="">
        <xdr:nvSpPr>
          <xdr:cNvPr id="202" name="TextBox 44">
            <a:extLst>
              <a:ext uri="{FF2B5EF4-FFF2-40B4-BE49-F238E27FC236}">
                <a16:creationId xmlns:a16="http://schemas.microsoft.com/office/drawing/2014/main" id="{6FB93139-E862-82F5-EDB4-DBFEB07D9F53}"/>
              </a:ext>
            </a:extLst>
          </xdr:cNvPr>
          <xdr:cNvSpPr txBox="1"/>
        </xdr:nvSpPr>
        <xdr:spPr>
          <a:xfrm>
            <a:off x="1728042" y="7624416"/>
            <a:ext cx="1559361" cy="4136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K  &amp; J Wing </a:t>
            </a:r>
          </a:p>
        </xdr:txBody>
      </xdr:sp>
      <xdr:sp macro="" textlink="">
        <xdr:nvSpPr>
          <xdr:cNvPr id="203" name="TextBox 45">
            <a:extLst>
              <a:ext uri="{FF2B5EF4-FFF2-40B4-BE49-F238E27FC236}">
                <a16:creationId xmlns:a16="http://schemas.microsoft.com/office/drawing/2014/main" id="{5908A3D2-3C8F-AD97-DA90-C124DB24437A}"/>
              </a:ext>
            </a:extLst>
          </xdr:cNvPr>
          <xdr:cNvSpPr txBox="1"/>
        </xdr:nvSpPr>
        <xdr:spPr>
          <a:xfrm>
            <a:off x="4417762" y="7255084"/>
            <a:ext cx="1130253" cy="41368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M Wing </a:t>
            </a:r>
          </a:p>
        </xdr:txBody>
      </xdr:sp>
    </xdr:grpSp>
    <xdr:clientData/>
  </xdr:twoCellAnchor>
  <xdr:twoCellAnchor>
    <xdr:from>
      <xdr:col>0</xdr:col>
      <xdr:colOff>91440</xdr:colOff>
      <xdr:row>637</xdr:row>
      <xdr:rowOff>0</xdr:rowOff>
    </xdr:from>
    <xdr:to>
      <xdr:col>7</xdr:col>
      <xdr:colOff>563880</xdr:colOff>
      <xdr:row>658</xdr:row>
      <xdr:rowOff>104124</xdr:rowOff>
    </xdr:to>
    <xdr:grpSp>
      <xdr:nvGrpSpPr>
        <xdr:cNvPr id="204" name="Group 203">
          <a:extLst>
            <a:ext uri="{FF2B5EF4-FFF2-40B4-BE49-F238E27FC236}">
              <a16:creationId xmlns:a16="http://schemas.microsoft.com/office/drawing/2014/main" id="{69504F12-88F2-7C72-3895-FF32CC19B958}"/>
            </a:ext>
          </a:extLst>
        </xdr:cNvPr>
        <xdr:cNvGrpSpPr/>
      </xdr:nvGrpSpPr>
      <xdr:grpSpPr>
        <a:xfrm>
          <a:off x="91440" y="127307340"/>
          <a:ext cx="6301740" cy="4264644"/>
          <a:chOff x="8299964" y="347131"/>
          <a:chExt cx="6917572" cy="4866624"/>
        </a:xfrm>
      </xdr:grpSpPr>
      <xdr:grpSp>
        <xdr:nvGrpSpPr>
          <xdr:cNvPr id="205" name="Group 204">
            <a:extLst>
              <a:ext uri="{FF2B5EF4-FFF2-40B4-BE49-F238E27FC236}">
                <a16:creationId xmlns:a16="http://schemas.microsoft.com/office/drawing/2014/main" id="{C39387E6-84A9-2452-E797-EE5988B2CD9B}"/>
              </a:ext>
            </a:extLst>
          </xdr:cNvPr>
          <xdr:cNvGrpSpPr/>
        </xdr:nvGrpSpPr>
        <xdr:grpSpPr>
          <a:xfrm>
            <a:off x="8598621" y="3053755"/>
            <a:ext cx="6453546" cy="2160000"/>
            <a:chOff x="8467604" y="3053755"/>
            <a:chExt cx="6453546" cy="2160000"/>
          </a:xfrm>
        </xdr:grpSpPr>
        <xdr:pic>
          <xdr:nvPicPr>
            <xdr:cNvPr id="210" name="Picture 209">
              <a:extLst>
                <a:ext uri="{FF2B5EF4-FFF2-40B4-BE49-F238E27FC236}">
                  <a16:creationId xmlns:a16="http://schemas.microsoft.com/office/drawing/2014/main" id="{29B7E1D3-4799-7718-81BD-574770D4D6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296088" y="3053755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1" name="Picture 210">
              <a:extLst>
                <a:ext uri="{FF2B5EF4-FFF2-40B4-BE49-F238E27FC236}">
                  <a16:creationId xmlns:a16="http://schemas.microsoft.com/office/drawing/2014/main" id="{8C1C8DDB-687E-C187-C52C-8A4395A3A5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506048" y="305375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2" name="Picture 211">
              <a:extLst>
                <a:ext uri="{FF2B5EF4-FFF2-40B4-BE49-F238E27FC236}">
                  <a16:creationId xmlns:a16="http://schemas.microsoft.com/office/drawing/2014/main" id="{4E5881C8-13D9-E13C-B13D-2818B12B0E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67604" y="3053755"/>
              <a:ext cx="2866716" cy="2160000"/>
            </a:xfrm>
            <a:prstGeom prst="rect">
              <a:avLst/>
            </a:prstGeom>
          </xdr:spPr>
        </xdr:pic>
      </xdr:grpSp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3DF257B8-250E-68A7-3B40-FA907CA33E86}"/>
              </a:ext>
            </a:extLst>
          </xdr:cNvPr>
          <xdr:cNvGrpSpPr/>
        </xdr:nvGrpSpPr>
        <xdr:grpSpPr>
          <a:xfrm>
            <a:off x="8299964" y="347131"/>
            <a:ext cx="6917572" cy="2520000"/>
            <a:chOff x="8299964" y="347131"/>
            <a:chExt cx="6917572" cy="2520000"/>
          </a:xfrm>
        </xdr:grpSpPr>
        <xdr:pic>
          <xdr:nvPicPr>
            <xdr:cNvPr id="207" name="Picture 206">
              <a:extLst>
                <a:ext uri="{FF2B5EF4-FFF2-40B4-BE49-F238E27FC236}">
                  <a16:creationId xmlns:a16="http://schemas.microsoft.com/office/drawing/2014/main" id="{4B118886-BF7F-1B04-542E-DA9DB037179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299964" y="347131"/>
              <a:ext cx="334450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08" name="TextBox 46">
              <a:extLst>
                <a:ext uri="{FF2B5EF4-FFF2-40B4-BE49-F238E27FC236}">
                  <a16:creationId xmlns:a16="http://schemas.microsoft.com/office/drawing/2014/main" id="{9FFFDD6D-45CA-66D0-A296-4F10D6EF6259}"/>
                </a:ext>
              </a:extLst>
            </xdr:cNvPr>
            <xdr:cNvSpPr txBox="1"/>
          </xdr:nvSpPr>
          <xdr:spPr>
            <a:xfrm>
              <a:off x="9672754" y="2236410"/>
              <a:ext cx="910762" cy="42695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</a:rPr>
                <a:t>I Wing </a:t>
              </a:r>
            </a:p>
          </xdr:txBody>
        </xdr:sp>
        <xdr:pic>
          <xdr:nvPicPr>
            <xdr:cNvPr id="209" name="Picture 208">
              <a:extLst>
                <a:ext uri="{FF2B5EF4-FFF2-40B4-BE49-F238E27FC236}">
                  <a16:creationId xmlns:a16="http://schemas.microsoft.com/office/drawing/2014/main" id="{73420070-BCF5-33F4-5878-FA9420620C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873034" y="347131"/>
              <a:ext cx="334450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palmbeach-seawoods.in/?gclid=Cj0KCQjwxuCnBhDLARIsAB-cq1o2xMqTG046Z29Lei1Yfz57l1UDB7MgoVNlobS-pTGDbws5NN6X5CYaApBREALw_wcB" TargetMode="External"/><Relationship Id="rId1" Type="http://schemas.openxmlformats.org/officeDocument/2006/relationships/hyperlink" Target="https://goo.gl/maps/yvnDHDWxLzsLZ14A7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720"/>
  <sheetViews>
    <sheetView tabSelected="1" view="pageBreakPreview" topLeftCell="A178" zoomScaleNormal="100" zoomScaleSheetLayoutView="100" workbookViewId="0">
      <selection activeCell="M100" sqref="M100"/>
    </sheetView>
  </sheetViews>
  <sheetFormatPr defaultColWidth="9.109375" defaultRowHeight="15.6" x14ac:dyDescent="0.3"/>
  <cols>
    <col min="1" max="1" width="11.44140625" style="27" customWidth="1"/>
    <col min="2" max="2" width="12" style="27" customWidth="1"/>
    <col min="3" max="3" width="12.6640625" style="27" customWidth="1"/>
    <col min="4" max="4" width="14.109375" style="27" customWidth="1"/>
    <col min="5" max="6" width="11.6640625" style="27" customWidth="1"/>
    <col min="7" max="7" width="11.44140625" style="27" customWidth="1"/>
    <col min="8" max="8" width="10.5546875" style="27" customWidth="1"/>
    <col min="9" max="9" width="17.44140625" style="14" customWidth="1"/>
    <col min="10" max="10" width="11.44140625" style="14" customWidth="1"/>
    <col min="11" max="11" width="10.5546875" style="14" bestFit="1" customWidth="1"/>
    <col min="12" max="12" width="10.5546875" style="14" customWidth="1"/>
    <col min="13" max="13" width="11.88671875" style="14" customWidth="1"/>
    <col min="14" max="14" width="12.5546875" style="14" customWidth="1"/>
    <col min="15" max="15" width="9.88671875" style="14" customWidth="1"/>
    <col min="16" max="16" width="11.6640625" style="14" customWidth="1"/>
    <col min="17" max="247" width="9.109375" style="14"/>
    <col min="248" max="248" width="8.6640625" style="14" customWidth="1"/>
    <col min="249" max="249" width="9.88671875" style="14" customWidth="1"/>
    <col min="250" max="250" width="14.44140625" style="14" customWidth="1"/>
    <col min="251" max="251" width="7.33203125" style="14" customWidth="1"/>
    <col min="252" max="252" width="5.5546875" style="14" customWidth="1"/>
    <col min="253" max="253" width="9" style="14" customWidth="1"/>
    <col min="254" max="255" width="9.88671875" style="14" customWidth="1"/>
    <col min="256" max="256" width="11.109375" style="14" customWidth="1"/>
    <col min="257" max="257" width="2.88671875" style="14" customWidth="1"/>
    <col min="258" max="258" width="3.5546875" style="14" customWidth="1"/>
    <col min="259" max="503" width="9.109375" style="14"/>
    <col min="504" max="504" width="8.6640625" style="14" customWidth="1"/>
    <col min="505" max="505" width="9.88671875" style="14" customWidth="1"/>
    <col min="506" max="506" width="14.44140625" style="14" customWidth="1"/>
    <col min="507" max="507" width="7.33203125" style="14" customWidth="1"/>
    <col min="508" max="508" width="5.5546875" style="14" customWidth="1"/>
    <col min="509" max="509" width="9" style="14" customWidth="1"/>
    <col min="510" max="511" width="9.88671875" style="14" customWidth="1"/>
    <col min="512" max="512" width="11.109375" style="14" customWidth="1"/>
    <col min="513" max="513" width="2.88671875" style="14" customWidth="1"/>
    <col min="514" max="514" width="3.5546875" style="14" customWidth="1"/>
    <col min="515" max="759" width="9.109375" style="14"/>
    <col min="760" max="760" width="8.6640625" style="14" customWidth="1"/>
    <col min="761" max="761" width="9.88671875" style="14" customWidth="1"/>
    <col min="762" max="762" width="14.44140625" style="14" customWidth="1"/>
    <col min="763" max="763" width="7.33203125" style="14" customWidth="1"/>
    <col min="764" max="764" width="5.5546875" style="14" customWidth="1"/>
    <col min="765" max="765" width="9" style="14" customWidth="1"/>
    <col min="766" max="767" width="9.88671875" style="14" customWidth="1"/>
    <col min="768" max="768" width="11.109375" style="14" customWidth="1"/>
    <col min="769" max="769" width="2.88671875" style="14" customWidth="1"/>
    <col min="770" max="770" width="3.5546875" style="14" customWidth="1"/>
    <col min="771" max="1015" width="9.109375" style="14"/>
    <col min="1016" max="1016" width="8.6640625" style="14" customWidth="1"/>
    <col min="1017" max="1017" width="9.88671875" style="14" customWidth="1"/>
    <col min="1018" max="1018" width="14.44140625" style="14" customWidth="1"/>
    <col min="1019" max="1019" width="7.33203125" style="14" customWidth="1"/>
    <col min="1020" max="1020" width="5.5546875" style="14" customWidth="1"/>
    <col min="1021" max="1021" width="9" style="14" customWidth="1"/>
    <col min="1022" max="1023" width="9.88671875" style="14" customWidth="1"/>
    <col min="1024" max="1024" width="11.109375" style="14" customWidth="1"/>
    <col min="1025" max="1025" width="2.88671875" style="14" customWidth="1"/>
    <col min="1026" max="1026" width="3.5546875" style="14" customWidth="1"/>
    <col min="1027" max="1271" width="9.109375" style="14"/>
    <col min="1272" max="1272" width="8.6640625" style="14" customWidth="1"/>
    <col min="1273" max="1273" width="9.88671875" style="14" customWidth="1"/>
    <col min="1274" max="1274" width="14.44140625" style="14" customWidth="1"/>
    <col min="1275" max="1275" width="7.33203125" style="14" customWidth="1"/>
    <col min="1276" max="1276" width="5.5546875" style="14" customWidth="1"/>
    <col min="1277" max="1277" width="9" style="14" customWidth="1"/>
    <col min="1278" max="1279" width="9.88671875" style="14" customWidth="1"/>
    <col min="1280" max="1280" width="11.109375" style="14" customWidth="1"/>
    <col min="1281" max="1281" width="2.88671875" style="14" customWidth="1"/>
    <col min="1282" max="1282" width="3.5546875" style="14" customWidth="1"/>
    <col min="1283" max="1527" width="9.109375" style="14"/>
    <col min="1528" max="1528" width="8.6640625" style="14" customWidth="1"/>
    <col min="1529" max="1529" width="9.88671875" style="14" customWidth="1"/>
    <col min="1530" max="1530" width="14.44140625" style="14" customWidth="1"/>
    <col min="1531" max="1531" width="7.33203125" style="14" customWidth="1"/>
    <col min="1532" max="1532" width="5.5546875" style="14" customWidth="1"/>
    <col min="1533" max="1533" width="9" style="14" customWidth="1"/>
    <col min="1534" max="1535" width="9.88671875" style="14" customWidth="1"/>
    <col min="1536" max="1536" width="11.109375" style="14" customWidth="1"/>
    <col min="1537" max="1537" width="2.88671875" style="14" customWidth="1"/>
    <col min="1538" max="1538" width="3.5546875" style="14" customWidth="1"/>
    <col min="1539" max="1783" width="9.109375" style="14"/>
    <col min="1784" max="1784" width="8.6640625" style="14" customWidth="1"/>
    <col min="1785" max="1785" width="9.88671875" style="14" customWidth="1"/>
    <col min="1786" max="1786" width="14.44140625" style="14" customWidth="1"/>
    <col min="1787" max="1787" width="7.33203125" style="14" customWidth="1"/>
    <col min="1788" max="1788" width="5.5546875" style="14" customWidth="1"/>
    <col min="1789" max="1789" width="9" style="14" customWidth="1"/>
    <col min="1790" max="1791" width="9.88671875" style="14" customWidth="1"/>
    <col min="1792" max="1792" width="11.109375" style="14" customWidth="1"/>
    <col min="1793" max="1793" width="2.88671875" style="14" customWidth="1"/>
    <col min="1794" max="1794" width="3.5546875" style="14" customWidth="1"/>
    <col min="1795" max="2039" width="9.109375" style="14"/>
    <col min="2040" max="2040" width="8.6640625" style="14" customWidth="1"/>
    <col min="2041" max="2041" width="9.88671875" style="14" customWidth="1"/>
    <col min="2042" max="2042" width="14.44140625" style="14" customWidth="1"/>
    <col min="2043" max="2043" width="7.33203125" style="14" customWidth="1"/>
    <col min="2044" max="2044" width="5.5546875" style="14" customWidth="1"/>
    <col min="2045" max="2045" width="9" style="14" customWidth="1"/>
    <col min="2046" max="2047" width="9.88671875" style="14" customWidth="1"/>
    <col min="2048" max="2048" width="11.109375" style="14" customWidth="1"/>
    <col min="2049" max="2049" width="2.88671875" style="14" customWidth="1"/>
    <col min="2050" max="2050" width="3.5546875" style="14" customWidth="1"/>
    <col min="2051" max="2295" width="9.109375" style="14"/>
    <col min="2296" max="2296" width="8.6640625" style="14" customWidth="1"/>
    <col min="2297" max="2297" width="9.88671875" style="14" customWidth="1"/>
    <col min="2298" max="2298" width="14.44140625" style="14" customWidth="1"/>
    <col min="2299" max="2299" width="7.33203125" style="14" customWidth="1"/>
    <col min="2300" max="2300" width="5.5546875" style="14" customWidth="1"/>
    <col min="2301" max="2301" width="9" style="14" customWidth="1"/>
    <col min="2302" max="2303" width="9.88671875" style="14" customWidth="1"/>
    <col min="2304" max="2304" width="11.109375" style="14" customWidth="1"/>
    <col min="2305" max="2305" width="2.88671875" style="14" customWidth="1"/>
    <col min="2306" max="2306" width="3.5546875" style="14" customWidth="1"/>
    <col min="2307" max="2551" width="9.109375" style="14"/>
    <col min="2552" max="2552" width="8.6640625" style="14" customWidth="1"/>
    <col min="2553" max="2553" width="9.88671875" style="14" customWidth="1"/>
    <col min="2554" max="2554" width="14.44140625" style="14" customWidth="1"/>
    <col min="2555" max="2555" width="7.33203125" style="14" customWidth="1"/>
    <col min="2556" max="2556" width="5.5546875" style="14" customWidth="1"/>
    <col min="2557" max="2557" width="9" style="14" customWidth="1"/>
    <col min="2558" max="2559" width="9.88671875" style="14" customWidth="1"/>
    <col min="2560" max="2560" width="11.109375" style="14" customWidth="1"/>
    <col min="2561" max="2561" width="2.88671875" style="14" customWidth="1"/>
    <col min="2562" max="2562" width="3.5546875" style="14" customWidth="1"/>
    <col min="2563" max="2807" width="9.109375" style="14"/>
    <col min="2808" max="2808" width="8.6640625" style="14" customWidth="1"/>
    <col min="2809" max="2809" width="9.88671875" style="14" customWidth="1"/>
    <col min="2810" max="2810" width="14.44140625" style="14" customWidth="1"/>
    <col min="2811" max="2811" width="7.33203125" style="14" customWidth="1"/>
    <col min="2812" max="2812" width="5.5546875" style="14" customWidth="1"/>
    <col min="2813" max="2813" width="9" style="14" customWidth="1"/>
    <col min="2814" max="2815" width="9.88671875" style="14" customWidth="1"/>
    <col min="2816" max="2816" width="11.109375" style="14" customWidth="1"/>
    <col min="2817" max="2817" width="2.88671875" style="14" customWidth="1"/>
    <col min="2818" max="2818" width="3.5546875" style="14" customWidth="1"/>
    <col min="2819" max="3063" width="9.109375" style="14"/>
    <col min="3064" max="3064" width="8.6640625" style="14" customWidth="1"/>
    <col min="3065" max="3065" width="9.88671875" style="14" customWidth="1"/>
    <col min="3066" max="3066" width="14.44140625" style="14" customWidth="1"/>
    <col min="3067" max="3067" width="7.33203125" style="14" customWidth="1"/>
    <col min="3068" max="3068" width="5.5546875" style="14" customWidth="1"/>
    <col min="3069" max="3069" width="9" style="14" customWidth="1"/>
    <col min="3070" max="3071" width="9.88671875" style="14" customWidth="1"/>
    <col min="3072" max="3072" width="11.109375" style="14" customWidth="1"/>
    <col min="3073" max="3073" width="2.88671875" style="14" customWidth="1"/>
    <col min="3074" max="3074" width="3.5546875" style="14" customWidth="1"/>
    <col min="3075" max="3319" width="9.109375" style="14"/>
    <col min="3320" max="3320" width="8.6640625" style="14" customWidth="1"/>
    <col min="3321" max="3321" width="9.88671875" style="14" customWidth="1"/>
    <col min="3322" max="3322" width="14.44140625" style="14" customWidth="1"/>
    <col min="3323" max="3323" width="7.33203125" style="14" customWidth="1"/>
    <col min="3324" max="3324" width="5.5546875" style="14" customWidth="1"/>
    <col min="3325" max="3325" width="9" style="14" customWidth="1"/>
    <col min="3326" max="3327" width="9.88671875" style="14" customWidth="1"/>
    <col min="3328" max="3328" width="11.109375" style="14" customWidth="1"/>
    <col min="3329" max="3329" width="2.88671875" style="14" customWidth="1"/>
    <col min="3330" max="3330" width="3.5546875" style="14" customWidth="1"/>
    <col min="3331" max="3575" width="9.109375" style="14"/>
    <col min="3576" max="3576" width="8.6640625" style="14" customWidth="1"/>
    <col min="3577" max="3577" width="9.88671875" style="14" customWidth="1"/>
    <col min="3578" max="3578" width="14.44140625" style="14" customWidth="1"/>
    <col min="3579" max="3579" width="7.33203125" style="14" customWidth="1"/>
    <col min="3580" max="3580" width="5.5546875" style="14" customWidth="1"/>
    <col min="3581" max="3581" width="9" style="14" customWidth="1"/>
    <col min="3582" max="3583" width="9.88671875" style="14" customWidth="1"/>
    <col min="3584" max="3584" width="11.109375" style="14" customWidth="1"/>
    <col min="3585" max="3585" width="2.88671875" style="14" customWidth="1"/>
    <col min="3586" max="3586" width="3.5546875" style="14" customWidth="1"/>
    <col min="3587" max="3831" width="9.109375" style="14"/>
    <col min="3832" max="3832" width="8.6640625" style="14" customWidth="1"/>
    <col min="3833" max="3833" width="9.88671875" style="14" customWidth="1"/>
    <col min="3834" max="3834" width="14.44140625" style="14" customWidth="1"/>
    <col min="3835" max="3835" width="7.33203125" style="14" customWidth="1"/>
    <col min="3836" max="3836" width="5.5546875" style="14" customWidth="1"/>
    <col min="3837" max="3837" width="9" style="14" customWidth="1"/>
    <col min="3838" max="3839" width="9.88671875" style="14" customWidth="1"/>
    <col min="3840" max="3840" width="11.109375" style="14" customWidth="1"/>
    <col min="3841" max="3841" width="2.88671875" style="14" customWidth="1"/>
    <col min="3842" max="3842" width="3.5546875" style="14" customWidth="1"/>
    <col min="3843" max="4087" width="9.109375" style="14"/>
    <col min="4088" max="4088" width="8.6640625" style="14" customWidth="1"/>
    <col min="4089" max="4089" width="9.88671875" style="14" customWidth="1"/>
    <col min="4090" max="4090" width="14.44140625" style="14" customWidth="1"/>
    <col min="4091" max="4091" width="7.33203125" style="14" customWidth="1"/>
    <col min="4092" max="4092" width="5.5546875" style="14" customWidth="1"/>
    <col min="4093" max="4093" width="9" style="14" customWidth="1"/>
    <col min="4094" max="4095" width="9.88671875" style="14" customWidth="1"/>
    <col min="4096" max="4096" width="11.109375" style="14" customWidth="1"/>
    <col min="4097" max="4097" width="2.88671875" style="14" customWidth="1"/>
    <col min="4098" max="4098" width="3.5546875" style="14" customWidth="1"/>
    <col min="4099" max="4343" width="9.109375" style="14"/>
    <col min="4344" max="4344" width="8.6640625" style="14" customWidth="1"/>
    <col min="4345" max="4345" width="9.88671875" style="14" customWidth="1"/>
    <col min="4346" max="4346" width="14.44140625" style="14" customWidth="1"/>
    <col min="4347" max="4347" width="7.33203125" style="14" customWidth="1"/>
    <col min="4348" max="4348" width="5.5546875" style="14" customWidth="1"/>
    <col min="4349" max="4349" width="9" style="14" customWidth="1"/>
    <col min="4350" max="4351" width="9.88671875" style="14" customWidth="1"/>
    <col min="4352" max="4352" width="11.109375" style="14" customWidth="1"/>
    <col min="4353" max="4353" width="2.88671875" style="14" customWidth="1"/>
    <col min="4354" max="4354" width="3.5546875" style="14" customWidth="1"/>
    <col min="4355" max="4599" width="9.109375" style="14"/>
    <col min="4600" max="4600" width="8.6640625" style="14" customWidth="1"/>
    <col min="4601" max="4601" width="9.88671875" style="14" customWidth="1"/>
    <col min="4602" max="4602" width="14.44140625" style="14" customWidth="1"/>
    <col min="4603" max="4603" width="7.33203125" style="14" customWidth="1"/>
    <col min="4604" max="4604" width="5.5546875" style="14" customWidth="1"/>
    <col min="4605" max="4605" width="9" style="14" customWidth="1"/>
    <col min="4606" max="4607" width="9.88671875" style="14" customWidth="1"/>
    <col min="4608" max="4608" width="11.109375" style="14" customWidth="1"/>
    <col min="4609" max="4609" width="2.88671875" style="14" customWidth="1"/>
    <col min="4610" max="4610" width="3.5546875" style="14" customWidth="1"/>
    <col min="4611" max="4855" width="9.109375" style="14"/>
    <col min="4856" max="4856" width="8.6640625" style="14" customWidth="1"/>
    <col min="4857" max="4857" width="9.88671875" style="14" customWidth="1"/>
    <col min="4858" max="4858" width="14.44140625" style="14" customWidth="1"/>
    <col min="4859" max="4859" width="7.33203125" style="14" customWidth="1"/>
    <col min="4860" max="4860" width="5.5546875" style="14" customWidth="1"/>
    <col min="4861" max="4861" width="9" style="14" customWidth="1"/>
    <col min="4862" max="4863" width="9.88671875" style="14" customWidth="1"/>
    <col min="4864" max="4864" width="11.109375" style="14" customWidth="1"/>
    <col min="4865" max="4865" width="2.88671875" style="14" customWidth="1"/>
    <col min="4866" max="4866" width="3.5546875" style="14" customWidth="1"/>
    <col min="4867" max="5111" width="9.109375" style="14"/>
    <col min="5112" max="5112" width="8.6640625" style="14" customWidth="1"/>
    <col min="5113" max="5113" width="9.88671875" style="14" customWidth="1"/>
    <col min="5114" max="5114" width="14.44140625" style="14" customWidth="1"/>
    <col min="5115" max="5115" width="7.33203125" style="14" customWidth="1"/>
    <col min="5116" max="5116" width="5.5546875" style="14" customWidth="1"/>
    <col min="5117" max="5117" width="9" style="14" customWidth="1"/>
    <col min="5118" max="5119" width="9.88671875" style="14" customWidth="1"/>
    <col min="5120" max="5120" width="11.109375" style="14" customWidth="1"/>
    <col min="5121" max="5121" width="2.88671875" style="14" customWidth="1"/>
    <col min="5122" max="5122" width="3.5546875" style="14" customWidth="1"/>
    <col min="5123" max="5367" width="9.109375" style="14"/>
    <col min="5368" max="5368" width="8.6640625" style="14" customWidth="1"/>
    <col min="5369" max="5369" width="9.88671875" style="14" customWidth="1"/>
    <col min="5370" max="5370" width="14.44140625" style="14" customWidth="1"/>
    <col min="5371" max="5371" width="7.33203125" style="14" customWidth="1"/>
    <col min="5372" max="5372" width="5.5546875" style="14" customWidth="1"/>
    <col min="5373" max="5373" width="9" style="14" customWidth="1"/>
    <col min="5374" max="5375" width="9.88671875" style="14" customWidth="1"/>
    <col min="5376" max="5376" width="11.109375" style="14" customWidth="1"/>
    <col min="5377" max="5377" width="2.88671875" style="14" customWidth="1"/>
    <col min="5378" max="5378" width="3.5546875" style="14" customWidth="1"/>
    <col min="5379" max="5623" width="9.109375" style="14"/>
    <col min="5624" max="5624" width="8.6640625" style="14" customWidth="1"/>
    <col min="5625" max="5625" width="9.88671875" style="14" customWidth="1"/>
    <col min="5626" max="5626" width="14.44140625" style="14" customWidth="1"/>
    <col min="5627" max="5627" width="7.33203125" style="14" customWidth="1"/>
    <col min="5628" max="5628" width="5.5546875" style="14" customWidth="1"/>
    <col min="5629" max="5629" width="9" style="14" customWidth="1"/>
    <col min="5630" max="5631" width="9.88671875" style="14" customWidth="1"/>
    <col min="5632" max="5632" width="11.109375" style="14" customWidth="1"/>
    <col min="5633" max="5633" width="2.88671875" style="14" customWidth="1"/>
    <col min="5634" max="5634" width="3.5546875" style="14" customWidth="1"/>
    <col min="5635" max="5879" width="9.109375" style="14"/>
    <col min="5880" max="5880" width="8.6640625" style="14" customWidth="1"/>
    <col min="5881" max="5881" width="9.88671875" style="14" customWidth="1"/>
    <col min="5882" max="5882" width="14.44140625" style="14" customWidth="1"/>
    <col min="5883" max="5883" width="7.33203125" style="14" customWidth="1"/>
    <col min="5884" max="5884" width="5.5546875" style="14" customWidth="1"/>
    <col min="5885" max="5885" width="9" style="14" customWidth="1"/>
    <col min="5886" max="5887" width="9.88671875" style="14" customWidth="1"/>
    <col min="5888" max="5888" width="11.109375" style="14" customWidth="1"/>
    <col min="5889" max="5889" width="2.88671875" style="14" customWidth="1"/>
    <col min="5890" max="5890" width="3.5546875" style="14" customWidth="1"/>
    <col min="5891" max="6135" width="9.109375" style="14"/>
    <col min="6136" max="6136" width="8.6640625" style="14" customWidth="1"/>
    <col min="6137" max="6137" width="9.88671875" style="14" customWidth="1"/>
    <col min="6138" max="6138" width="14.44140625" style="14" customWidth="1"/>
    <col min="6139" max="6139" width="7.33203125" style="14" customWidth="1"/>
    <col min="6140" max="6140" width="5.5546875" style="14" customWidth="1"/>
    <col min="6141" max="6141" width="9" style="14" customWidth="1"/>
    <col min="6142" max="6143" width="9.88671875" style="14" customWidth="1"/>
    <col min="6144" max="6144" width="11.109375" style="14" customWidth="1"/>
    <col min="6145" max="6145" width="2.88671875" style="14" customWidth="1"/>
    <col min="6146" max="6146" width="3.5546875" style="14" customWidth="1"/>
    <col min="6147" max="6391" width="9.109375" style="14"/>
    <col min="6392" max="6392" width="8.6640625" style="14" customWidth="1"/>
    <col min="6393" max="6393" width="9.88671875" style="14" customWidth="1"/>
    <col min="6394" max="6394" width="14.44140625" style="14" customWidth="1"/>
    <col min="6395" max="6395" width="7.33203125" style="14" customWidth="1"/>
    <col min="6396" max="6396" width="5.5546875" style="14" customWidth="1"/>
    <col min="6397" max="6397" width="9" style="14" customWidth="1"/>
    <col min="6398" max="6399" width="9.88671875" style="14" customWidth="1"/>
    <col min="6400" max="6400" width="11.109375" style="14" customWidth="1"/>
    <col min="6401" max="6401" width="2.88671875" style="14" customWidth="1"/>
    <col min="6402" max="6402" width="3.5546875" style="14" customWidth="1"/>
    <col min="6403" max="6647" width="9.109375" style="14"/>
    <col min="6648" max="6648" width="8.6640625" style="14" customWidth="1"/>
    <col min="6649" max="6649" width="9.88671875" style="14" customWidth="1"/>
    <col min="6650" max="6650" width="14.44140625" style="14" customWidth="1"/>
    <col min="6651" max="6651" width="7.33203125" style="14" customWidth="1"/>
    <col min="6652" max="6652" width="5.5546875" style="14" customWidth="1"/>
    <col min="6653" max="6653" width="9" style="14" customWidth="1"/>
    <col min="6654" max="6655" width="9.88671875" style="14" customWidth="1"/>
    <col min="6656" max="6656" width="11.109375" style="14" customWidth="1"/>
    <col min="6657" max="6657" width="2.88671875" style="14" customWidth="1"/>
    <col min="6658" max="6658" width="3.5546875" style="14" customWidth="1"/>
    <col min="6659" max="6903" width="9.109375" style="14"/>
    <col min="6904" max="6904" width="8.6640625" style="14" customWidth="1"/>
    <col min="6905" max="6905" width="9.88671875" style="14" customWidth="1"/>
    <col min="6906" max="6906" width="14.44140625" style="14" customWidth="1"/>
    <col min="6907" max="6907" width="7.33203125" style="14" customWidth="1"/>
    <col min="6908" max="6908" width="5.5546875" style="14" customWidth="1"/>
    <col min="6909" max="6909" width="9" style="14" customWidth="1"/>
    <col min="6910" max="6911" width="9.88671875" style="14" customWidth="1"/>
    <col min="6912" max="6912" width="11.109375" style="14" customWidth="1"/>
    <col min="6913" max="6913" width="2.88671875" style="14" customWidth="1"/>
    <col min="6914" max="6914" width="3.5546875" style="14" customWidth="1"/>
    <col min="6915" max="7159" width="9.109375" style="14"/>
    <col min="7160" max="7160" width="8.6640625" style="14" customWidth="1"/>
    <col min="7161" max="7161" width="9.88671875" style="14" customWidth="1"/>
    <col min="7162" max="7162" width="14.44140625" style="14" customWidth="1"/>
    <col min="7163" max="7163" width="7.33203125" style="14" customWidth="1"/>
    <col min="7164" max="7164" width="5.5546875" style="14" customWidth="1"/>
    <col min="7165" max="7165" width="9" style="14" customWidth="1"/>
    <col min="7166" max="7167" width="9.88671875" style="14" customWidth="1"/>
    <col min="7168" max="7168" width="11.109375" style="14" customWidth="1"/>
    <col min="7169" max="7169" width="2.88671875" style="14" customWidth="1"/>
    <col min="7170" max="7170" width="3.5546875" style="14" customWidth="1"/>
    <col min="7171" max="7415" width="9.109375" style="14"/>
    <col min="7416" max="7416" width="8.6640625" style="14" customWidth="1"/>
    <col min="7417" max="7417" width="9.88671875" style="14" customWidth="1"/>
    <col min="7418" max="7418" width="14.44140625" style="14" customWidth="1"/>
    <col min="7419" max="7419" width="7.33203125" style="14" customWidth="1"/>
    <col min="7420" max="7420" width="5.5546875" style="14" customWidth="1"/>
    <col min="7421" max="7421" width="9" style="14" customWidth="1"/>
    <col min="7422" max="7423" width="9.88671875" style="14" customWidth="1"/>
    <col min="7424" max="7424" width="11.109375" style="14" customWidth="1"/>
    <col min="7425" max="7425" width="2.88671875" style="14" customWidth="1"/>
    <col min="7426" max="7426" width="3.5546875" style="14" customWidth="1"/>
    <col min="7427" max="7671" width="9.109375" style="14"/>
    <col min="7672" max="7672" width="8.6640625" style="14" customWidth="1"/>
    <col min="7673" max="7673" width="9.88671875" style="14" customWidth="1"/>
    <col min="7674" max="7674" width="14.44140625" style="14" customWidth="1"/>
    <col min="7675" max="7675" width="7.33203125" style="14" customWidth="1"/>
    <col min="7676" max="7676" width="5.5546875" style="14" customWidth="1"/>
    <col min="7677" max="7677" width="9" style="14" customWidth="1"/>
    <col min="7678" max="7679" width="9.88671875" style="14" customWidth="1"/>
    <col min="7680" max="7680" width="11.109375" style="14" customWidth="1"/>
    <col min="7681" max="7681" width="2.88671875" style="14" customWidth="1"/>
    <col min="7682" max="7682" width="3.5546875" style="14" customWidth="1"/>
    <col min="7683" max="7927" width="9.109375" style="14"/>
    <col min="7928" max="7928" width="8.6640625" style="14" customWidth="1"/>
    <col min="7929" max="7929" width="9.88671875" style="14" customWidth="1"/>
    <col min="7930" max="7930" width="14.44140625" style="14" customWidth="1"/>
    <col min="7931" max="7931" width="7.33203125" style="14" customWidth="1"/>
    <col min="7932" max="7932" width="5.5546875" style="14" customWidth="1"/>
    <col min="7933" max="7933" width="9" style="14" customWidth="1"/>
    <col min="7934" max="7935" width="9.88671875" style="14" customWidth="1"/>
    <col min="7936" max="7936" width="11.109375" style="14" customWidth="1"/>
    <col min="7937" max="7937" width="2.88671875" style="14" customWidth="1"/>
    <col min="7938" max="7938" width="3.5546875" style="14" customWidth="1"/>
    <col min="7939" max="8183" width="9.109375" style="14"/>
    <col min="8184" max="8184" width="8.6640625" style="14" customWidth="1"/>
    <col min="8185" max="8185" width="9.88671875" style="14" customWidth="1"/>
    <col min="8186" max="8186" width="14.44140625" style="14" customWidth="1"/>
    <col min="8187" max="8187" width="7.33203125" style="14" customWidth="1"/>
    <col min="8188" max="8188" width="5.5546875" style="14" customWidth="1"/>
    <col min="8189" max="8189" width="9" style="14" customWidth="1"/>
    <col min="8190" max="8191" width="9.88671875" style="14" customWidth="1"/>
    <col min="8192" max="8192" width="11.109375" style="14" customWidth="1"/>
    <col min="8193" max="8193" width="2.88671875" style="14" customWidth="1"/>
    <col min="8194" max="8194" width="3.5546875" style="14" customWidth="1"/>
    <col min="8195" max="8439" width="9.109375" style="14"/>
    <col min="8440" max="8440" width="8.6640625" style="14" customWidth="1"/>
    <col min="8441" max="8441" width="9.88671875" style="14" customWidth="1"/>
    <col min="8442" max="8442" width="14.44140625" style="14" customWidth="1"/>
    <col min="8443" max="8443" width="7.33203125" style="14" customWidth="1"/>
    <col min="8444" max="8444" width="5.5546875" style="14" customWidth="1"/>
    <col min="8445" max="8445" width="9" style="14" customWidth="1"/>
    <col min="8446" max="8447" width="9.88671875" style="14" customWidth="1"/>
    <col min="8448" max="8448" width="11.109375" style="14" customWidth="1"/>
    <col min="8449" max="8449" width="2.88671875" style="14" customWidth="1"/>
    <col min="8450" max="8450" width="3.5546875" style="14" customWidth="1"/>
    <col min="8451" max="8695" width="9.109375" style="14"/>
    <col min="8696" max="8696" width="8.6640625" style="14" customWidth="1"/>
    <col min="8697" max="8697" width="9.88671875" style="14" customWidth="1"/>
    <col min="8698" max="8698" width="14.44140625" style="14" customWidth="1"/>
    <col min="8699" max="8699" width="7.33203125" style="14" customWidth="1"/>
    <col min="8700" max="8700" width="5.5546875" style="14" customWidth="1"/>
    <col min="8701" max="8701" width="9" style="14" customWidth="1"/>
    <col min="8702" max="8703" width="9.88671875" style="14" customWidth="1"/>
    <col min="8704" max="8704" width="11.109375" style="14" customWidth="1"/>
    <col min="8705" max="8705" width="2.88671875" style="14" customWidth="1"/>
    <col min="8706" max="8706" width="3.5546875" style="14" customWidth="1"/>
    <col min="8707" max="8951" width="9.109375" style="14"/>
    <col min="8952" max="8952" width="8.6640625" style="14" customWidth="1"/>
    <col min="8953" max="8953" width="9.88671875" style="14" customWidth="1"/>
    <col min="8954" max="8954" width="14.44140625" style="14" customWidth="1"/>
    <col min="8955" max="8955" width="7.33203125" style="14" customWidth="1"/>
    <col min="8956" max="8956" width="5.5546875" style="14" customWidth="1"/>
    <col min="8957" max="8957" width="9" style="14" customWidth="1"/>
    <col min="8958" max="8959" width="9.88671875" style="14" customWidth="1"/>
    <col min="8960" max="8960" width="11.109375" style="14" customWidth="1"/>
    <col min="8961" max="8961" width="2.88671875" style="14" customWidth="1"/>
    <col min="8962" max="8962" width="3.5546875" style="14" customWidth="1"/>
    <col min="8963" max="9207" width="9.109375" style="14"/>
    <col min="9208" max="9208" width="8.6640625" style="14" customWidth="1"/>
    <col min="9209" max="9209" width="9.88671875" style="14" customWidth="1"/>
    <col min="9210" max="9210" width="14.44140625" style="14" customWidth="1"/>
    <col min="9211" max="9211" width="7.33203125" style="14" customWidth="1"/>
    <col min="9212" max="9212" width="5.5546875" style="14" customWidth="1"/>
    <col min="9213" max="9213" width="9" style="14" customWidth="1"/>
    <col min="9214" max="9215" width="9.88671875" style="14" customWidth="1"/>
    <col min="9216" max="9216" width="11.109375" style="14" customWidth="1"/>
    <col min="9217" max="9217" width="2.88671875" style="14" customWidth="1"/>
    <col min="9218" max="9218" width="3.5546875" style="14" customWidth="1"/>
    <col min="9219" max="9463" width="9.109375" style="14"/>
    <col min="9464" max="9464" width="8.6640625" style="14" customWidth="1"/>
    <col min="9465" max="9465" width="9.88671875" style="14" customWidth="1"/>
    <col min="9466" max="9466" width="14.44140625" style="14" customWidth="1"/>
    <col min="9467" max="9467" width="7.33203125" style="14" customWidth="1"/>
    <col min="9468" max="9468" width="5.5546875" style="14" customWidth="1"/>
    <col min="9469" max="9469" width="9" style="14" customWidth="1"/>
    <col min="9470" max="9471" width="9.88671875" style="14" customWidth="1"/>
    <col min="9472" max="9472" width="11.109375" style="14" customWidth="1"/>
    <col min="9473" max="9473" width="2.88671875" style="14" customWidth="1"/>
    <col min="9474" max="9474" width="3.5546875" style="14" customWidth="1"/>
    <col min="9475" max="9719" width="9.109375" style="14"/>
    <col min="9720" max="9720" width="8.6640625" style="14" customWidth="1"/>
    <col min="9721" max="9721" width="9.88671875" style="14" customWidth="1"/>
    <col min="9722" max="9722" width="14.44140625" style="14" customWidth="1"/>
    <col min="9723" max="9723" width="7.33203125" style="14" customWidth="1"/>
    <col min="9724" max="9724" width="5.5546875" style="14" customWidth="1"/>
    <col min="9725" max="9725" width="9" style="14" customWidth="1"/>
    <col min="9726" max="9727" width="9.88671875" style="14" customWidth="1"/>
    <col min="9728" max="9728" width="11.109375" style="14" customWidth="1"/>
    <col min="9729" max="9729" width="2.88671875" style="14" customWidth="1"/>
    <col min="9730" max="9730" width="3.5546875" style="14" customWidth="1"/>
    <col min="9731" max="9975" width="9.109375" style="14"/>
    <col min="9976" max="9976" width="8.6640625" style="14" customWidth="1"/>
    <col min="9977" max="9977" width="9.88671875" style="14" customWidth="1"/>
    <col min="9978" max="9978" width="14.44140625" style="14" customWidth="1"/>
    <col min="9979" max="9979" width="7.33203125" style="14" customWidth="1"/>
    <col min="9980" max="9980" width="5.5546875" style="14" customWidth="1"/>
    <col min="9981" max="9981" width="9" style="14" customWidth="1"/>
    <col min="9982" max="9983" width="9.88671875" style="14" customWidth="1"/>
    <col min="9984" max="9984" width="11.109375" style="14" customWidth="1"/>
    <col min="9985" max="9985" width="2.88671875" style="14" customWidth="1"/>
    <col min="9986" max="9986" width="3.5546875" style="14" customWidth="1"/>
    <col min="9987" max="10231" width="9.109375" style="14"/>
    <col min="10232" max="10232" width="8.6640625" style="14" customWidth="1"/>
    <col min="10233" max="10233" width="9.88671875" style="14" customWidth="1"/>
    <col min="10234" max="10234" width="14.44140625" style="14" customWidth="1"/>
    <col min="10235" max="10235" width="7.33203125" style="14" customWidth="1"/>
    <col min="10236" max="10236" width="5.5546875" style="14" customWidth="1"/>
    <col min="10237" max="10237" width="9" style="14" customWidth="1"/>
    <col min="10238" max="10239" width="9.88671875" style="14" customWidth="1"/>
    <col min="10240" max="10240" width="11.109375" style="14" customWidth="1"/>
    <col min="10241" max="10241" width="2.88671875" style="14" customWidth="1"/>
    <col min="10242" max="10242" width="3.5546875" style="14" customWidth="1"/>
    <col min="10243" max="10487" width="9.109375" style="14"/>
    <col min="10488" max="10488" width="8.6640625" style="14" customWidth="1"/>
    <col min="10489" max="10489" width="9.88671875" style="14" customWidth="1"/>
    <col min="10490" max="10490" width="14.44140625" style="14" customWidth="1"/>
    <col min="10491" max="10491" width="7.33203125" style="14" customWidth="1"/>
    <col min="10492" max="10492" width="5.5546875" style="14" customWidth="1"/>
    <col min="10493" max="10493" width="9" style="14" customWidth="1"/>
    <col min="10494" max="10495" width="9.88671875" style="14" customWidth="1"/>
    <col min="10496" max="10496" width="11.109375" style="14" customWidth="1"/>
    <col min="10497" max="10497" width="2.88671875" style="14" customWidth="1"/>
    <col min="10498" max="10498" width="3.5546875" style="14" customWidth="1"/>
    <col min="10499" max="10743" width="9.109375" style="14"/>
    <col min="10744" max="10744" width="8.6640625" style="14" customWidth="1"/>
    <col min="10745" max="10745" width="9.88671875" style="14" customWidth="1"/>
    <col min="10746" max="10746" width="14.44140625" style="14" customWidth="1"/>
    <col min="10747" max="10747" width="7.33203125" style="14" customWidth="1"/>
    <col min="10748" max="10748" width="5.5546875" style="14" customWidth="1"/>
    <col min="10749" max="10749" width="9" style="14" customWidth="1"/>
    <col min="10750" max="10751" width="9.88671875" style="14" customWidth="1"/>
    <col min="10752" max="10752" width="11.109375" style="14" customWidth="1"/>
    <col min="10753" max="10753" width="2.88671875" style="14" customWidth="1"/>
    <col min="10754" max="10754" width="3.5546875" style="14" customWidth="1"/>
    <col min="10755" max="10999" width="9.109375" style="14"/>
    <col min="11000" max="11000" width="8.6640625" style="14" customWidth="1"/>
    <col min="11001" max="11001" width="9.88671875" style="14" customWidth="1"/>
    <col min="11002" max="11002" width="14.44140625" style="14" customWidth="1"/>
    <col min="11003" max="11003" width="7.33203125" style="14" customWidth="1"/>
    <col min="11004" max="11004" width="5.5546875" style="14" customWidth="1"/>
    <col min="11005" max="11005" width="9" style="14" customWidth="1"/>
    <col min="11006" max="11007" width="9.88671875" style="14" customWidth="1"/>
    <col min="11008" max="11008" width="11.109375" style="14" customWidth="1"/>
    <col min="11009" max="11009" width="2.88671875" style="14" customWidth="1"/>
    <col min="11010" max="11010" width="3.5546875" style="14" customWidth="1"/>
    <col min="11011" max="11255" width="9.109375" style="14"/>
    <col min="11256" max="11256" width="8.6640625" style="14" customWidth="1"/>
    <col min="11257" max="11257" width="9.88671875" style="14" customWidth="1"/>
    <col min="11258" max="11258" width="14.44140625" style="14" customWidth="1"/>
    <col min="11259" max="11259" width="7.33203125" style="14" customWidth="1"/>
    <col min="11260" max="11260" width="5.5546875" style="14" customWidth="1"/>
    <col min="11261" max="11261" width="9" style="14" customWidth="1"/>
    <col min="11262" max="11263" width="9.88671875" style="14" customWidth="1"/>
    <col min="11264" max="11264" width="11.109375" style="14" customWidth="1"/>
    <col min="11265" max="11265" width="2.88671875" style="14" customWidth="1"/>
    <col min="11266" max="11266" width="3.5546875" style="14" customWidth="1"/>
    <col min="11267" max="11511" width="9.109375" style="14"/>
    <col min="11512" max="11512" width="8.6640625" style="14" customWidth="1"/>
    <col min="11513" max="11513" width="9.88671875" style="14" customWidth="1"/>
    <col min="11514" max="11514" width="14.44140625" style="14" customWidth="1"/>
    <col min="11515" max="11515" width="7.33203125" style="14" customWidth="1"/>
    <col min="11516" max="11516" width="5.5546875" style="14" customWidth="1"/>
    <col min="11517" max="11517" width="9" style="14" customWidth="1"/>
    <col min="11518" max="11519" width="9.88671875" style="14" customWidth="1"/>
    <col min="11520" max="11520" width="11.109375" style="14" customWidth="1"/>
    <col min="11521" max="11521" width="2.88671875" style="14" customWidth="1"/>
    <col min="11522" max="11522" width="3.5546875" style="14" customWidth="1"/>
    <col min="11523" max="11767" width="9.109375" style="14"/>
    <col min="11768" max="11768" width="8.6640625" style="14" customWidth="1"/>
    <col min="11769" max="11769" width="9.88671875" style="14" customWidth="1"/>
    <col min="11770" max="11770" width="14.44140625" style="14" customWidth="1"/>
    <col min="11771" max="11771" width="7.33203125" style="14" customWidth="1"/>
    <col min="11772" max="11772" width="5.5546875" style="14" customWidth="1"/>
    <col min="11773" max="11773" width="9" style="14" customWidth="1"/>
    <col min="11774" max="11775" width="9.88671875" style="14" customWidth="1"/>
    <col min="11776" max="11776" width="11.109375" style="14" customWidth="1"/>
    <col min="11777" max="11777" width="2.88671875" style="14" customWidth="1"/>
    <col min="11778" max="11778" width="3.5546875" style="14" customWidth="1"/>
    <col min="11779" max="12023" width="9.109375" style="14"/>
    <col min="12024" max="12024" width="8.6640625" style="14" customWidth="1"/>
    <col min="12025" max="12025" width="9.88671875" style="14" customWidth="1"/>
    <col min="12026" max="12026" width="14.44140625" style="14" customWidth="1"/>
    <col min="12027" max="12027" width="7.33203125" style="14" customWidth="1"/>
    <col min="12028" max="12028" width="5.5546875" style="14" customWidth="1"/>
    <col min="12029" max="12029" width="9" style="14" customWidth="1"/>
    <col min="12030" max="12031" width="9.88671875" style="14" customWidth="1"/>
    <col min="12032" max="12032" width="11.109375" style="14" customWidth="1"/>
    <col min="12033" max="12033" width="2.88671875" style="14" customWidth="1"/>
    <col min="12034" max="12034" width="3.5546875" style="14" customWidth="1"/>
    <col min="12035" max="12279" width="9.109375" style="14"/>
    <col min="12280" max="12280" width="8.6640625" style="14" customWidth="1"/>
    <col min="12281" max="12281" width="9.88671875" style="14" customWidth="1"/>
    <col min="12282" max="12282" width="14.44140625" style="14" customWidth="1"/>
    <col min="12283" max="12283" width="7.33203125" style="14" customWidth="1"/>
    <col min="12284" max="12284" width="5.5546875" style="14" customWidth="1"/>
    <col min="12285" max="12285" width="9" style="14" customWidth="1"/>
    <col min="12286" max="12287" width="9.88671875" style="14" customWidth="1"/>
    <col min="12288" max="12288" width="11.109375" style="14" customWidth="1"/>
    <col min="12289" max="12289" width="2.88671875" style="14" customWidth="1"/>
    <col min="12290" max="12290" width="3.5546875" style="14" customWidth="1"/>
    <col min="12291" max="12535" width="9.109375" style="14"/>
    <col min="12536" max="12536" width="8.6640625" style="14" customWidth="1"/>
    <col min="12537" max="12537" width="9.88671875" style="14" customWidth="1"/>
    <col min="12538" max="12538" width="14.44140625" style="14" customWidth="1"/>
    <col min="12539" max="12539" width="7.33203125" style="14" customWidth="1"/>
    <col min="12540" max="12540" width="5.5546875" style="14" customWidth="1"/>
    <col min="12541" max="12541" width="9" style="14" customWidth="1"/>
    <col min="12542" max="12543" width="9.88671875" style="14" customWidth="1"/>
    <col min="12544" max="12544" width="11.109375" style="14" customWidth="1"/>
    <col min="12545" max="12545" width="2.88671875" style="14" customWidth="1"/>
    <col min="12546" max="12546" width="3.5546875" style="14" customWidth="1"/>
    <col min="12547" max="12791" width="9.109375" style="14"/>
    <col min="12792" max="12792" width="8.6640625" style="14" customWidth="1"/>
    <col min="12793" max="12793" width="9.88671875" style="14" customWidth="1"/>
    <col min="12794" max="12794" width="14.44140625" style="14" customWidth="1"/>
    <col min="12795" max="12795" width="7.33203125" style="14" customWidth="1"/>
    <col min="12796" max="12796" width="5.5546875" style="14" customWidth="1"/>
    <col min="12797" max="12797" width="9" style="14" customWidth="1"/>
    <col min="12798" max="12799" width="9.88671875" style="14" customWidth="1"/>
    <col min="12800" max="12800" width="11.109375" style="14" customWidth="1"/>
    <col min="12801" max="12801" width="2.88671875" style="14" customWidth="1"/>
    <col min="12802" max="12802" width="3.5546875" style="14" customWidth="1"/>
    <col min="12803" max="13047" width="9.109375" style="14"/>
    <col min="13048" max="13048" width="8.6640625" style="14" customWidth="1"/>
    <col min="13049" max="13049" width="9.88671875" style="14" customWidth="1"/>
    <col min="13050" max="13050" width="14.44140625" style="14" customWidth="1"/>
    <col min="13051" max="13051" width="7.33203125" style="14" customWidth="1"/>
    <col min="13052" max="13052" width="5.5546875" style="14" customWidth="1"/>
    <col min="13053" max="13053" width="9" style="14" customWidth="1"/>
    <col min="13054" max="13055" width="9.88671875" style="14" customWidth="1"/>
    <col min="13056" max="13056" width="11.109375" style="14" customWidth="1"/>
    <col min="13057" max="13057" width="2.88671875" style="14" customWidth="1"/>
    <col min="13058" max="13058" width="3.5546875" style="14" customWidth="1"/>
    <col min="13059" max="13303" width="9.109375" style="14"/>
    <col min="13304" max="13304" width="8.6640625" style="14" customWidth="1"/>
    <col min="13305" max="13305" width="9.88671875" style="14" customWidth="1"/>
    <col min="13306" max="13306" width="14.44140625" style="14" customWidth="1"/>
    <col min="13307" max="13307" width="7.33203125" style="14" customWidth="1"/>
    <col min="13308" max="13308" width="5.5546875" style="14" customWidth="1"/>
    <col min="13309" max="13309" width="9" style="14" customWidth="1"/>
    <col min="13310" max="13311" width="9.88671875" style="14" customWidth="1"/>
    <col min="13312" max="13312" width="11.109375" style="14" customWidth="1"/>
    <col min="13313" max="13313" width="2.88671875" style="14" customWidth="1"/>
    <col min="13314" max="13314" width="3.5546875" style="14" customWidth="1"/>
    <col min="13315" max="13559" width="9.109375" style="14"/>
    <col min="13560" max="13560" width="8.6640625" style="14" customWidth="1"/>
    <col min="13561" max="13561" width="9.88671875" style="14" customWidth="1"/>
    <col min="13562" max="13562" width="14.44140625" style="14" customWidth="1"/>
    <col min="13563" max="13563" width="7.33203125" style="14" customWidth="1"/>
    <col min="13564" max="13564" width="5.5546875" style="14" customWidth="1"/>
    <col min="13565" max="13565" width="9" style="14" customWidth="1"/>
    <col min="13566" max="13567" width="9.88671875" style="14" customWidth="1"/>
    <col min="13568" max="13568" width="11.109375" style="14" customWidth="1"/>
    <col min="13569" max="13569" width="2.88671875" style="14" customWidth="1"/>
    <col min="13570" max="13570" width="3.5546875" style="14" customWidth="1"/>
    <col min="13571" max="13815" width="9.109375" style="14"/>
    <col min="13816" max="13816" width="8.6640625" style="14" customWidth="1"/>
    <col min="13817" max="13817" width="9.88671875" style="14" customWidth="1"/>
    <col min="13818" max="13818" width="14.44140625" style="14" customWidth="1"/>
    <col min="13819" max="13819" width="7.33203125" style="14" customWidth="1"/>
    <col min="13820" max="13820" width="5.5546875" style="14" customWidth="1"/>
    <col min="13821" max="13821" width="9" style="14" customWidth="1"/>
    <col min="13822" max="13823" width="9.88671875" style="14" customWidth="1"/>
    <col min="13824" max="13824" width="11.109375" style="14" customWidth="1"/>
    <col min="13825" max="13825" width="2.88671875" style="14" customWidth="1"/>
    <col min="13826" max="13826" width="3.5546875" style="14" customWidth="1"/>
    <col min="13827" max="14071" width="9.109375" style="14"/>
    <col min="14072" max="14072" width="8.6640625" style="14" customWidth="1"/>
    <col min="14073" max="14073" width="9.88671875" style="14" customWidth="1"/>
    <col min="14074" max="14074" width="14.44140625" style="14" customWidth="1"/>
    <col min="14075" max="14075" width="7.33203125" style="14" customWidth="1"/>
    <col min="14076" max="14076" width="5.5546875" style="14" customWidth="1"/>
    <col min="14077" max="14077" width="9" style="14" customWidth="1"/>
    <col min="14078" max="14079" width="9.88671875" style="14" customWidth="1"/>
    <col min="14080" max="14080" width="11.109375" style="14" customWidth="1"/>
    <col min="14081" max="14081" width="2.88671875" style="14" customWidth="1"/>
    <col min="14082" max="14082" width="3.5546875" style="14" customWidth="1"/>
    <col min="14083" max="14327" width="9.109375" style="14"/>
    <col min="14328" max="14328" width="8.6640625" style="14" customWidth="1"/>
    <col min="14329" max="14329" width="9.88671875" style="14" customWidth="1"/>
    <col min="14330" max="14330" width="14.44140625" style="14" customWidth="1"/>
    <col min="14331" max="14331" width="7.33203125" style="14" customWidth="1"/>
    <col min="14332" max="14332" width="5.5546875" style="14" customWidth="1"/>
    <col min="14333" max="14333" width="9" style="14" customWidth="1"/>
    <col min="14334" max="14335" width="9.88671875" style="14" customWidth="1"/>
    <col min="14336" max="14336" width="11.109375" style="14" customWidth="1"/>
    <col min="14337" max="14337" width="2.88671875" style="14" customWidth="1"/>
    <col min="14338" max="14338" width="3.5546875" style="14" customWidth="1"/>
    <col min="14339" max="14583" width="9.109375" style="14"/>
    <col min="14584" max="14584" width="8.6640625" style="14" customWidth="1"/>
    <col min="14585" max="14585" width="9.88671875" style="14" customWidth="1"/>
    <col min="14586" max="14586" width="14.44140625" style="14" customWidth="1"/>
    <col min="14587" max="14587" width="7.33203125" style="14" customWidth="1"/>
    <col min="14588" max="14588" width="5.5546875" style="14" customWidth="1"/>
    <col min="14589" max="14589" width="9" style="14" customWidth="1"/>
    <col min="14590" max="14591" width="9.88671875" style="14" customWidth="1"/>
    <col min="14592" max="14592" width="11.109375" style="14" customWidth="1"/>
    <col min="14593" max="14593" width="2.88671875" style="14" customWidth="1"/>
    <col min="14594" max="14594" width="3.5546875" style="14" customWidth="1"/>
    <col min="14595" max="14839" width="9.109375" style="14"/>
    <col min="14840" max="14840" width="8.6640625" style="14" customWidth="1"/>
    <col min="14841" max="14841" width="9.88671875" style="14" customWidth="1"/>
    <col min="14842" max="14842" width="14.44140625" style="14" customWidth="1"/>
    <col min="14843" max="14843" width="7.33203125" style="14" customWidth="1"/>
    <col min="14844" max="14844" width="5.5546875" style="14" customWidth="1"/>
    <col min="14845" max="14845" width="9" style="14" customWidth="1"/>
    <col min="14846" max="14847" width="9.88671875" style="14" customWidth="1"/>
    <col min="14848" max="14848" width="11.109375" style="14" customWidth="1"/>
    <col min="14849" max="14849" width="2.88671875" style="14" customWidth="1"/>
    <col min="14850" max="14850" width="3.5546875" style="14" customWidth="1"/>
    <col min="14851" max="15095" width="9.109375" style="14"/>
    <col min="15096" max="15096" width="8.6640625" style="14" customWidth="1"/>
    <col min="15097" max="15097" width="9.88671875" style="14" customWidth="1"/>
    <col min="15098" max="15098" width="14.44140625" style="14" customWidth="1"/>
    <col min="15099" max="15099" width="7.33203125" style="14" customWidth="1"/>
    <col min="15100" max="15100" width="5.5546875" style="14" customWidth="1"/>
    <col min="15101" max="15101" width="9" style="14" customWidth="1"/>
    <col min="15102" max="15103" width="9.88671875" style="14" customWidth="1"/>
    <col min="15104" max="15104" width="11.109375" style="14" customWidth="1"/>
    <col min="15105" max="15105" width="2.88671875" style="14" customWidth="1"/>
    <col min="15106" max="15106" width="3.5546875" style="14" customWidth="1"/>
    <col min="15107" max="15351" width="9.109375" style="14"/>
    <col min="15352" max="15352" width="8.6640625" style="14" customWidth="1"/>
    <col min="15353" max="15353" width="9.88671875" style="14" customWidth="1"/>
    <col min="15354" max="15354" width="14.44140625" style="14" customWidth="1"/>
    <col min="15355" max="15355" width="7.33203125" style="14" customWidth="1"/>
    <col min="15356" max="15356" width="5.5546875" style="14" customWidth="1"/>
    <col min="15357" max="15357" width="9" style="14" customWidth="1"/>
    <col min="15358" max="15359" width="9.88671875" style="14" customWidth="1"/>
    <col min="15360" max="15360" width="11.109375" style="14" customWidth="1"/>
    <col min="15361" max="15361" width="2.88671875" style="14" customWidth="1"/>
    <col min="15362" max="15362" width="3.5546875" style="14" customWidth="1"/>
    <col min="15363" max="15607" width="9.109375" style="14"/>
    <col min="15608" max="15608" width="8.6640625" style="14" customWidth="1"/>
    <col min="15609" max="15609" width="9.88671875" style="14" customWidth="1"/>
    <col min="15610" max="15610" width="14.44140625" style="14" customWidth="1"/>
    <col min="15611" max="15611" width="7.33203125" style="14" customWidth="1"/>
    <col min="15612" max="15612" width="5.5546875" style="14" customWidth="1"/>
    <col min="15613" max="15613" width="9" style="14" customWidth="1"/>
    <col min="15614" max="15615" width="9.88671875" style="14" customWidth="1"/>
    <col min="15616" max="15616" width="11.109375" style="14" customWidth="1"/>
    <col min="15617" max="15617" width="2.88671875" style="14" customWidth="1"/>
    <col min="15618" max="15618" width="3.5546875" style="14" customWidth="1"/>
    <col min="15619" max="15863" width="9.109375" style="14"/>
    <col min="15864" max="15864" width="8.6640625" style="14" customWidth="1"/>
    <col min="15865" max="15865" width="9.88671875" style="14" customWidth="1"/>
    <col min="15866" max="15866" width="14.44140625" style="14" customWidth="1"/>
    <col min="15867" max="15867" width="7.33203125" style="14" customWidth="1"/>
    <col min="15868" max="15868" width="5.5546875" style="14" customWidth="1"/>
    <col min="15869" max="15869" width="9" style="14" customWidth="1"/>
    <col min="15870" max="15871" width="9.88671875" style="14" customWidth="1"/>
    <col min="15872" max="15872" width="11.109375" style="14" customWidth="1"/>
    <col min="15873" max="15873" width="2.88671875" style="14" customWidth="1"/>
    <col min="15874" max="15874" width="3.5546875" style="14" customWidth="1"/>
    <col min="15875" max="16119" width="9.109375" style="14"/>
    <col min="16120" max="16120" width="8.6640625" style="14" customWidth="1"/>
    <col min="16121" max="16121" width="9.88671875" style="14" customWidth="1"/>
    <col min="16122" max="16122" width="14.44140625" style="14" customWidth="1"/>
    <col min="16123" max="16123" width="7.33203125" style="14" customWidth="1"/>
    <col min="16124" max="16124" width="5.5546875" style="14" customWidth="1"/>
    <col min="16125" max="16125" width="9" style="14" customWidth="1"/>
    <col min="16126" max="16127" width="9.88671875" style="14" customWidth="1"/>
    <col min="16128" max="16128" width="11.109375" style="14" customWidth="1"/>
    <col min="16129" max="16129" width="2.88671875" style="14" customWidth="1"/>
    <col min="16130" max="16130" width="3.5546875" style="14" customWidth="1"/>
    <col min="16131" max="16384" width="9.109375" style="14"/>
  </cols>
  <sheetData>
    <row r="1" spans="1:26" ht="46.5" customHeight="1" x14ac:dyDescent="0.3">
      <c r="A1" s="213" t="s">
        <v>164</v>
      </c>
      <c r="B1" s="213"/>
      <c r="C1" s="213"/>
      <c r="D1" s="213"/>
      <c r="E1" s="213"/>
      <c r="F1" s="213"/>
      <c r="G1" s="213"/>
      <c r="H1" s="213"/>
    </row>
    <row r="2" spans="1:26" ht="16.5" customHeight="1" x14ac:dyDescent="0.3">
      <c r="A2" s="214" t="s">
        <v>0</v>
      </c>
      <c r="B2" s="214"/>
      <c r="C2" s="214"/>
      <c r="D2" s="214"/>
      <c r="E2" s="214"/>
      <c r="F2" s="214"/>
      <c r="G2" s="214"/>
      <c r="H2" s="214"/>
    </row>
    <row r="3" spans="1:26" x14ac:dyDescent="0.3">
      <c r="A3" s="182" t="s">
        <v>1</v>
      </c>
      <c r="B3" s="182"/>
      <c r="C3" s="182"/>
      <c r="D3" s="182"/>
      <c r="E3" s="182" t="str">
        <f ca="1">TEXT(TODAY(),"DD/MM/YYYY")</f>
        <v>14/07/2025</v>
      </c>
      <c r="F3" s="182"/>
      <c r="G3" s="182"/>
      <c r="H3" s="182"/>
    </row>
    <row r="4" spans="1:26" ht="15" customHeight="1" x14ac:dyDescent="0.3">
      <c r="A4" s="182" t="s">
        <v>2</v>
      </c>
      <c r="B4" s="182"/>
      <c r="C4" s="182"/>
      <c r="D4" s="182"/>
      <c r="E4" s="182" t="s">
        <v>233</v>
      </c>
      <c r="F4" s="182"/>
      <c r="G4" s="182"/>
      <c r="H4" s="182"/>
    </row>
    <row r="5" spans="1:26" x14ac:dyDescent="0.3">
      <c r="A5" s="182" t="s">
        <v>3</v>
      </c>
      <c r="B5" s="182"/>
      <c r="C5" s="182"/>
      <c r="D5" s="182"/>
      <c r="E5" s="215">
        <v>45849</v>
      </c>
      <c r="F5" s="216"/>
      <c r="G5" s="216"/>
      <c r="H5" s="216"/>
    </row>
    <row r="6" spans="1:26" ht="16.5" customHeight="1" x14ac:dyDescent="0.3">
      <c r="A6" s="182" t="s">
        <v>4</v>
      </c>
      <c r="B6" s="182"/>
      <c r="C6" s="182"/>
      <c r="D6" s="182"/>
      <c r="E6" s="182" t="s">
        <v>234</v>
      </c>
      <c r="F6" s="182"/>
      <c r="G6" s="182"/>
      <c r="H6" s="182"/>
    </row>
    <row r="7" spans="1:26" ht="15" customHeight="1" x14ac:dyDescent="0.3">
      <c r="A7" s="182" t="s">
        <v>5</v>
      </c>
      <c r="B7" s="182"/>
      <c r="C7" s="182"/>
      <c r="D7" s="182"/>
      <c r="E7" s="182" t="str">
        <f>E6</f>
        <v>Balaji Corporation</v>
      </c>
      <c r="F7" s="182"/>
      <c r="G7" s="182"/>
      <c r="H7" s="182"/>
    </row>
    <row r="8" spans="1:26" x14ac:dyDescent="0.3">
      <c r="A8" s="182" t="s">
        <v>6</v>
      </c>
      <c r="B8" s="182"/>
      <c r="C8" s="182"/>
      <c r="D8" s="182"/>
      <c r="E8" s="101" t="s">
        <v>235</v>
      </c>
      <c r="F8" s="101"/>
      <c r="G8" s="101"/>
      <c r="H8" s="101"/>
    </row>
    <row r="9" spans="1:26" x14ac:dyDescent="0.3">
      <c r="A9" s="182" t="s">
        <v>167</v>
      </c>
      <c r="B9" s="182"/>
      <c r="C9" s="182"/>
      <c r="D9" s="182"/>
      <c r="E9" s="182" t="s">
        <v>236</v>
      </c>
      <c r="F9" s="182"/>
      <c r="G9" s="182"/>
      <c r="H9" s="182"/>
    </row>
    <row r="10" spans="1:26" x14ac:dyDescent="0.3">
      <c r="A10" s="182" t="s">
        <v>168</v>
      </c>
      <c r="B10" s="182"/>
      <c r="C10" s="182"/>
      <c r="D10" s="182"/>
      <c r="E10" s="217" t="s">
        <v>340</v>
      </c>
      <c r="F10" s="217"/>
      <c r="G10" s="217"/>
      <c r="H10" s="217"/>
    </row>
    <row r="11" spans="1:26" x14ac:dyDescent="0.3">
      <c r="A11" s="182" t="s">
        <v>7</v>
      </c>
      <c r="B11" s="182"/>
      <c r="C11" s="182"/>
      <c r="D11" s="182"/>
      <c r="E11" s="182" t="s">
        <v>331</v>
      </c>
      <c r="F11" s="182"/>
      <c r="G11" s="182"/>
      <c r="H11" s="182"/>
    </row>
    <row r="12" spans="1:26" x14ac:dyDescent="0.3">
      <c r="A12" s="182" t="s">
        <v>170</v>
      </c>
      <c r="B12" s="182"/>
      <c r="C12" s="182"/>
      <c r="D12" s="182"/>
      <c r="E12" s="182" t="s">
        <v>29</v>
      </c>
      <c r="F12" s="182"/>
      <c r="G12" s="182"/>
      <c r="H12" s="182"/>
      <c r="S12" s="34" t="s">
        <v>177</v>
      </c>
      <c r="T12" s="34" t="s">
        <v>187</v>
      </c>
      <c r="U12" s="34" t="s">
        <v>171</v>
      </c>
      <c r="V12" s="34" t="s">
        <v>192</v>
      </c>
      <c r="W12" s="34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x14ac:dyDescent="0.3">
      <c r="A13" s="128" t="s">
        <v>8</v>
      </c>
      <c r="B13" s="128"/>
      <c r="C13" s="128"/>
      <c r="D13" s="128"/>
      <c r="E13" s="130" t="s">
        <v>237</v>
      </c>
      <c r="F13" s="130"/>
      <c r="G13" s="130"/>
      <c r="H13" s="130"/>
      <c r="S13" s="34" t="s">
        <v>178</v>
      </c>
      <c r="T13" s="34" t="s">
        <v>185</v>
      </c>
      <c r="U13" s="34" t="s">
        <v>207</v>
      </c>
      <c r="V13" s="34" t="s">
        <v>193</v>
      </c>
      <c r="W13" s="34" t="s">
        <v>211</v>
      </c>
      <c r="X13"/>
      <c r="Y13"/>
      <c r="Z13"/>
    </row>
    <row r="14" spans="1:26" x14ac:dyDescent="0.3">
      <c r="A14" s="128" t="s">
        <v>9</v>
      </c>
      <c r="B14" s="128"/>
      <c r="C14" s="128"/>
      <c r="D14" s="128"/>
      <c r="E14" s="130" t="s">
        <v>238</v>
      </c>
      <c r="F14" s="182"/>
      <c r="G14" s="182"/>
      <c r="H14" s="182"/>
      <c r="I14" s="250" t="e">
        <f ca="1">OFFSET($D$4,1,MATCH($J12,$D$4:$H$4,0)-1,15,1)</f>
        <v>#N/A</v>
      </c>
      <c r="J14" s="251"/>
      <c r="K14" s="251"/>
      <c r="L14" s="251"/>
      <c r="M14" s="251"/>
      <c r="N14" s="251"/>
      <c r="O14" s="251"/>
      <c r="P14" s="251"/>
      <c r="S14" s="34" t="s">
        <v>179</v>
      </c>
      <c r="T14" s="34" t="s">
        <v>186</v>
      </c>
      <c r="U14" s="34" t="s">
        <v>208</v>
      </c>
      <c r="V14" s="34" t="s">
        <v>194</v>
      </c>
      <c r="W14" s="34" t="s">
        <v>224</v>
      </c>
      <c r="X14"/>
      <c r="Y14"/>
      <c r="Z14"/>
    </row>
    <row r="15" spans="1:26" ht="32.25" customHeight="1" x14ac:dyDescent="0.3">
      <c r="A15" s="207" t="s">
        <v>10</v>
      </c>
      <c r="B15" s="207"/>
      <c r="C15" s="20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Delta Palm Beach, Plot No.05, Sector- 46A, near Galhot Majesty, Pandurang Shastri Athawale Marg, Karave Nagar, Nerul, Nerul, Thane, Thane  - 400706.</v>
      </c>
      <c r="D15" s="207"/>
      <c r="E15" s="207"/>
      <c r="F15" s="207"/>
      <c r="G15" s="207"/>
      <c r="H15" s="207"/>
      <c r="S15" s="34" t="s">
        <v>180</v>
      </c>
      <c r="T15" s="34" t="s">
        <v>188</v>
      </c>
      <c r="U15" s="34" t="s">
        <v>209</v>
      </c>
      <c r="V15" s="34" t="s">
        <v>195</v>
      </c>
      <c r="W15" s="34" t="s">
        <v>212</v>
      </c>
      <c r="X15"/>
      <c r="Y15"/>
      <c r="Z15"/>
    </row>
    <row r="16" spans="1:26" x14ac:dyDescent="0.3">
      <c r="A16" s="130" t="s">
        <v>239</v>
      </c>
      <c r="B16" s="130"/>
      <c r="C16" s="130" t="s">
        <v>240</v>
      </c>
      <c r="D16" s="130"/>
      <c r="E16" s="130"/>
      <c r="F16" s="130"/>
      <c r="G16" s="130"/>
      <c r="H16" s="130"/>
      <c r="S16" s="34" t="s">
        <v>181</v>
      </c>
      <c r="T16" s="34" t="s">
        <v>189</v>
      </c>
      <c r="U16" s="34"/>
      <c r="V16" s="34" t="s">
        <v>196</v>
      </c>
      <c r="W16" s="34" t="s">
        <v>213</v>
      </c>
      <c r="X16"/>
      <c r="Y16"/>
      <c r="Z16"/>
    </row>
    <row r="17" spans="1:26" ht="15.75" customHeight="1" x14ac:dyDescent="0.3">
      <c r="A17" s="130" t="s">
        <v>162</v>
      </c>
      <c r="B17" s="130"/>
      <c r="C17" s="130" t="s">
        <v>243</v>
      </c>
      <c r="D17" s="130"/>
      <c r="E17" s="130"/>
      <c r="F17" s="130"/>
      <c r="G17" s="130"/>
      <c r="H17" s="130"/>
      <c r="S17" s="34" t="s">
        <v>182</v>
      </c>
      <c r="T17" s="34" t="s">
        <v>187</v>
      </c>
      <c r="U17" s="34"/>
      <c r="V17" s="34" t="s">
        <v>197</v>
      </c>
      <c r="W17" s="34" t="s">
        <v>214</v>
      </c>
      <c r="X17"/>
      <c r="Y17"/>
      <c r="Z17"/>
    </row>
    <row r="18" spans="1:26" ht="33.75" customHeight="1" x14ac:dyDescent="0.3">
      <c r="A18" s="130" t="s">
        <v>11</v>
      </c>
      <c r="B18" s="130"/>
      <c r="C18" s="130" t="s">
        <v>244</v>
      </c>
      <c r="D18" s="182"/>
      <c r="E18" s="130" t="s">
        <v>73</v>
      </c>
      <c r="F18" s="130"/>
      <c r="G18" s="130" t="s">
        <v>245</v>
      </c>
      <c r="H18" s="130"/>
      <c r="S18" s="34" t="s">
        <v>183</v>
      </c>
      <c r="T18" s="34" t="s">
        <v>190</v>
      </c>
      <c r="U18" s="34"/>
      <c r="V18" s="34" t="s">
        <v>198</v>
      </c>
      <c r="W18" s="34" t="s">
        <v>215</v>
      </c>
      <c r="X18"/>
      <c r="Y18"/>
      <c r="Z18"/>
    </row>
    <row r="19" spans="1:26" x14ac:dyDescent="0.3">
      <c r="A19" s="182" t="s">
        <v>13</v>
      </c>
      <c r="B19" s="182"/>
      <c r="C19" s="130" t="s">
        <v>245</v>
      </c>
      <c r="D19" s="130"/>
      <c r="E19" s="130" t="s">
        <v>12</v>
      </c>
      <c r="F19" s="130"/>
      <c r="G19" s="208" t="s">
        <v>177</v>
      </c>
      <c r="H19" s="208"/>
      <c r="S19" s="34" t="s">
        <v>184</v>
      </c>
      <c r="T19" s="34" t="s">
        <v>191</v>
      </c>
      <c r="U19" s="34"/>
      <c r="V19" s="34" t="s">
        <v>199</v>
      </c>
      <c r="W19" s="34" t="s">
        <v>216</v>
      </c>
      <c r="X19"/>
      <c r="Y19"/>
      <c r="Z19"/>
    </row>
    <row r="20" spans="1:26" x14ac:dyDescent="0.3">
      <c r="A20" s="182" t="s">
        <v>74</v>
      </c>
      <c r="B20" s="182"/>
      <c r="C20" s="130" t="s">
        <v>178</v>
      </c>
      <c r="D20" s="130"/>
      <c r="E20" s="130" t="s">
        <v>14</v>
      </c>
      <c r="F20" s="130"/>
      <c r="G20" s="130">
        <v>400706</v>
      </c>
      <c r="H20" s="130"/>
      <c r="S20" s="34"/>
      <c r="T20" s="34"/>
      <c r="U20" s="34"/>
      <c r="V20" s="34" t="s">
        <v>200</v>
      </c>
      <c r="W20" s="34" t="s">
        <v>217</v>
      </c>
      <c r="X20"/>
      <c r="Y20"/>
      <c r="Z20"/>
    </row>
    <row r="21" spans="1:26" ht="32.25" customHeight="1" x14ac:dyDescent="0.3">
      <c r="A21" s="182" t="s">
        <v>122</v>
      </c>
      <c r="B21" s="182"/>
      <c r="C21" s="130" t="s">
        <v>246</v>
      </c>
      <c r="D21" s="130"/>
      <c r="E21" s="130" t="s">
        <v>15</v>
      </c>
      <c r="F21" s="130"/>
      <c r="G21" s="130" t="s">
        <v>306</v>
      </c>
      <c r="H21" s="130"/>
      <c r="S21" s="34"/>
      <c r="T21" s="34"/>
      <c r="U21" s="34"/>
      <c r="V21" s="34" t="s">
        <v>201</v>
      </c>
      <c r="W21" s="34" t="s">
        <v>218</v>
      </c>
      <c r="X21"/>
      <c r="Y21"/>
      <c r="Z21"/>
    </row>
    <row r="22" spans="1:26" ht="15" customHeight="1" x14ac:dyDescent="0.3">
      <c r="A22" s="207" t="s">
        <v>76</v>
      </c>
      <c r="B22" s="207"/>
      <c r="C22" s="207"/>
      <c r="D22" s="207"/>
      <c r="E22" s="182" t="s">
        <v>16</v>
      </c>
      <c r="F22" s="182"/>
      <c r="G22" s="182"/>
      <c r="H22" s="182"/>
      <c r="S22" s="34"/>
      <c r="T22" s="34"/>
      <c r="U22" s="34"/>
      <c r="V22" s="34" t="s">
        <v>202</v>
      </c>
      <c r="W22" s="34" t="s">
        <v>219</v>
      </c>
      <c r="X22"/>
      <c r="Y22"/>
      <c r="Z22"/>
    </row>
    <row r="23" spans="1:26" ht="18.75" customHeight="1" x14ac:dyDescent="0.3">
      <c r="A23" s="207"/>
      <c r="B23" s="207"/>
      <c r="C23" s="207"/>
      <c r="D23" s="207"/>
      <c r="E23" s="182"/>
      <c r="F23" s="182"/>
      <c r="G23" s="182"/>
      <c r="H23" s="182"/>
      <c r="S23" s="34"/>
      <c r="T23" s="34"/>
      <c r="U23" s="34"/>
      <c r="V23" s="34" t="s">
        <v>203</v>
      </c>
      <c r="W23" s="34" t="s">
        <v>220</v>
      </c>
      <c r="X23"/>
      <c r="Y23"/>
      <c r="Z23"/>
    </row>
    <row r="24" spans="1:26" ht="15" customHeight="1" x14ac:dyDescent="0.3">
      <c r="A24" s="207" t="s">
        <v>17</v>
      </c>
      <c r="B24" s="207"/>
      <c r="C24" s="207"/>
      <c r="D24" s="207"/>
      <c r="E24" s="130" t="s">
        <v>18</v>
      </c>
      <c r="F24" s="130"/>
      <c r="G24" s="130"/>
      <c r="H24" s="130"/>
      <c r="S24" s="34"/>
      <c r="T24" s="34"/>
      <c r="U24" s="34"/>
      <c r="V24" s="34" t="s">
        <v>204</v>
      </c>
      <c r="W24" s="34" t="s">
        <v>221</v>
      </c>
      <c r="X24"/>
      <c r="Y24"/>
      <c r="Z24"/>
    </row>
    <row r="25" spans="1:26" ht="15" customHeight="1" x14ac:dyDescent="0.3">
      <c r="A25" s="128" t="s">
        <v>19</v>
      </c>
      <c r="B25" s="128"/>
      <c r="C25" s="128"/>
      <c r="D25" s="128"/>
      <c r="E25" s="130" t="str">
        <f>IF(AND(G19="Mumbai"),"Upper Class","Middle Class")</f>
        <v>Middle Class</v>
      </c>
      <c r="F25" s="130"/>
      <c r="G25" s="130"/>
      <c r="H25" s="130"/>
      <c r="S25" s="34"/>
      <c r="T25" s="34"/>
      <c r="U25" s="34"/>
      <c r="V25" s="34" t="s">
        <v>205</v>
      </c>
      <c r="W25" s="34" t="s">
        <v>222</v>
      </c>
      <c r="X25"/>
      <c r="Y25"/>
      <c r="Z25"/>
    </row>
    <row r="26" spans="1:26" x14ac:dyDescent="0.3">
      <c r="A26" s="128" t="s">
        <v>20</v>
      </c>
      <c r="B26" s="128"/>
      <c r="C26" s="128"/>
      <c r="D26" s="128"/>
      <c r="E26" s="130" t="s">
        <v>21</v>
      </c>
      <c r="F26" s="130"/>
      <c r="G26" s="130"/>
      <c r="H26" s="130"/>
      <c r="S26" s="34"/>
      <c r="T26" s="34"/>
      <c r="U26" s="34"/>
      <c r="V26" s="34" t="s">
        <v>206</v>
      </c>
      <c r="W26" s="34" t="s">
        <v>223</v>
      </c>
      <c r="X26"/>
      <c r="Y26"/>
      <c r="Z26"/>
    </row>
    <row r="27" spans="1:26" ht="15.75" customHeight="1" x14ac:dyDescent="0.3">
      <c r="A27" s="128" t="s">
        <v>22</v>
      </c>
      <c r="B27" s="128"/>
      <c r="C27" s="128"/>
      <c r="D27" s="128"/>
      <c r="E27" s="130" t="str">
        <f>IF(AND(G19="Mumbai"),"Developed","Developing")</f>
        <v>Developing</v>
      </c>
      <c r="F27" s="130"/>
      <c r="G27" s="130"/>
      <c r="H27" s="130"/>
    </row>
    <row r="28" spans="1:26" x14ac:dyDescent="0.3">
      <c r="A28" s="128" t="s">
        <v>23</v>
      </c>
      <c r="B28" s="128"/>
      <c r="C28" s="128"/>
      <c r="D28" s="128"/>
      <c r="E28" s="130" t="s">
        <v>24</v>
      </c>
      <c r="F28" s="130"/>
      <c r="G28" s="130"/>
      <c r="H28" s="130"/>
    </row>
    <row r="29" spans="1:26" ht="15.75" customHeight="1" x14ac:dyDescent="0.3">
      <c r="A29" s="128" t="s">
        <v>81</v>
      </c>
      <c r="B29" s="128"/>
      <c r="C29" s="128"/>
      <c r="D29" s="128"/>
      <c r="E29" s="130" t="s">
        <v>82</v>
      </c>
      <c r="F29" s="130"/>
      <c r="G29" s="130"/>
      <c r="H29" s="130"/>
    </row>
    <row r="30" spans="1:26" ht="15" customHeight="1" x14ac:dyDescent="0.3">
      <c r="A30" s="128" t="s">
        <v>32</v>
      </c>
      <c r="B30" s="128"/>
      <c r="C30" s="128"/>
      <c r="D30" s="128"/>
      <c r="E30" s="13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30"/>
      <c r="G30" s="130"/>
      <c r="H30" s="130"/>
    </row>
    <row r="31" spans="1:26" ht="15.75" customHeight="1" x14ac:dyDescent="0.3">
      <c r="A31" s="128" t="s">
        <v>93</v>
      </c>
      <c r="B31" s="128"/>
      <c r="C31" s="128"/>
      <c r="D31" s="128"/>
      <c r="E31" s="130" t="s">
        <v>33</v>
      </c>
      <c r="F31" s="130"/>
      <c r="G31" s="130"/>
      <c r="H31" s="130"/>
    </row>
    <row r="32" spans="1:26" s="15" customFormat="1" x14ac:dyDescent="0.3">
      <c r="A32" s="203" t="s">
        <v>94</v>
      </c>
      <c r="B32" s="203"/>
      <c r="C32" s="199" t="s">
        <v>172</v>
      </c>
      <c r="D32" s="200"/>
      <c r="E32" s="201"/>
      <c r="F32" s="199" t="s">
        <v>30</v>
      </c>
      <c r="G32" s="200"/>
      <c r="H32" s="201"/>
    </row>
    <row r="33" spans="1:8" s="15" customFormat="1" x14ac:dyDescent="0.3">
      <c r="A33" s="202" t="s">
        <v>25</v>
      </c>
      <c r="B33" s="202" t="s">
        <v>29</v>
      </c>
      <c r="C33" s="204" t="s">
        <v>248</v>
      </c>
      <c r="D33" s="205"/>
      <c r="E33" s="206"/>
      <c r="F33" s="190" t="s">
        <v>251</v>
      </c>
      <c r="G33" s="191"/>
      <c r="H33" s="192"/>
    </row>
    <row r="34" spans="1:8" ht="31.5" customHeight="1" x14ac:dyDescent="0.3">
      <c r="A34" s="202" t="s">
        <v>26</v>
      </c>
      <c r="B34" s="202" t="s">
        <v>29</v>
      </c>
      <c r="C34" s="204" t="s">
        <v>247</v>
      </c>
      <c r="D34" s="205"/>
      <c r="E34" s="206"/>
      <c r="F34" s="209" t="s">
        <v>308</v>
      </c>
      <c r="G34" s="210"/>
      <c r="H34" s="211"/>
    </row>
    <row r="35" spans="1:8" s="15" customFormat="1" x14ac:dyDescent="0.3">
      <c r="A35" s="189" t="s">
        <v>28</v>
      </c>
      <c r="B35" s="189" t="s">
        <v>29</v>
      </c>
      <c r="C35" s="190" t="s">
        <v>247</v>
      </c>
      <c r="D35" s="191"/>
      <c r="E35" s="192"/>
      <c r="F35" s="190" t="s">
        <v>249</v>
      </c>
      <c r="G35" s="191"/>
      <c r="H35" s="192"/>
    </row>
    <row r="36" spans="1:8" x14ac:dyDescent="0.3">
      <c r="A36" s="189" t="s">
        <v>27</v>
      </c>
      <c r="B36" s="189" t="s">
        <v>29</v>
      </c>
      <c r="C36" s="190" t="s">
        <v>247</v>
      </c>
      <c r="D36" s="191"/>
      <c r="E36" s="192"/>
      <c r="F36" s="190" t="s">
        <v>250</v>
      </c>
      <c r="G36" s="191"/>
      <c r="H36" s="192"/>
    </row>
    <row r="37" spans="1:8" x14ac:dyDescent="0.3">
      <c r="A37" s="128" t="s">
        <v>31</v>
      </c>
      <c r="B37" s="128"/>
      <c r="C37" s="128"/>
      <c r="D37" s="128"/>
      <c r="E37" s="128"/>
      <c r="F37" s="128"/>
      <c r="G37" s="128"/>
      <c r="H37" s="128"/>
    </row>
    <row r="38" spans="1:8" ht="15.75" customHeight="1" x14ac:dyDescent="0.3">
      <c r="A38" s="128" t="s">
        <v>165</v>
      </c>
      <c r="B38" s="128"/>
      <c r="C38" s="170" t="s">
        <v>241</v>
      </c>
      <c r="D38" s="171"/>
      <c r="E38" s="171"/>
      <c r="F38" s="171"/>
      <c r="G38" s="171"/>
      <c r="H38" s="171"/>
    </row>
    <row r="39" spans="1:8" x14ac:dyDescent="0.3">
      <c r="A39" s="128" t="s">
        <v>161</v>
      </c>
      <c r="B39" s="128"/>
      <c r="C39" s="129" t="s">
        <v>242</v>
      </c>
      <c r="D39" s="130"/>
      <c r="E39" s="130"/>
      <c r="F39" s="130"/>
      <c r="G39" s="130"/>
      <c r="H39" s="130"/>
    </row>
    <row r="40" spans="1:8" x14ac:dyDescent="0.3">
      <c r="A40" s="171" t="s">
        <v>34</v>
      </c>
      <c r="B40" s="171"/>
      <c r="C40" s="171"/>
      <c r="D40" s="171"/>
      <c r="E40" s="171"/>
      <c r="F40" s="171"/>
      <c r="G40" s="171"/>
      <c r="H40" s="171"/>
    </row>
    <row r="41" spans="1:8" x14ac:dyDescent="0.3">
      <c r="A41" s="128" t="s">
        <v>35</v>
      </c>
      <c r="B41" s="128"/>
      <c r="C41" s="128"/>
      <c r="D41" s="128"/>
      <c r="E41" s="194">
        <v>24000.01</v>
      </c>
      <c r="F41" s="194"/>
      <c r="G41" s="194"/>
      <c r="H41" s="194"/>
    </row>
    <row r="42" spans="1:8" x14ac:dyDescent="0.3">
      <c r="A42" s="128" t="s">
        <v>36</v>
      </c>
      <c r="B42" s="128"/>
      <c r="C42" s="128"/>
      <c r="D42" s="128"/>
      <c r="E42" s="197">
        <v>1.1000000000000001</v>
      </c>
      <c r="F42" s="197"/>
      <c r="G42" s="197"/>
      <c r="H42" s="197"/>
    </row>
    <row r="43" spans="1:8" x14ac:dyDescent="0.3">
      <c r="A43" s="128" t="s">
        <v>37</v>
      </c>
      <c r="B43" s="128"/>
      <c r="C43" s="128"/>
      <c r="D43" s="128"/>
      <c r="E43" s="197">
        <f>E45/E41-E42</f>
        <v>4.5157959934183367</v>
      </c>
      <c r="F43" s="197"/>
      <c r="G43" s="197"/>
      <c r="H43" s="197"/>
    </row>
    <row r="44" spans="1:8" x14ac:dyDescent="0.3">
      <c r="A44" s="128" t="s">
        <v>38</v>
      </c>
      <c r="B44" s="128"/>
      <c r="C44" s="128"/>
      <c r="D44" s="128"/>
      <c r="E44" s="197">
        <f>E42+E43</f>
        <v>5.6157959934183364</v>
      </c>
      <c r="F44" s="197"/>
      <c r="G44" s="197"/>
      <c r="H44" s="197"/>
    </row>
    <row r="45" spans="1:8" x14ac:dyDescent="0.3">
      <c r="A45" s="128" t="s">
        <v>92</v>
      </c>
      <c r="B45" s="128"/>
      <c r="C45" s="128"/>
      <c r="D45" s="128"/>
      <c r="E45" s="198">
        <v>134779.16</v>
      </c>
      <c r="F45" s="198"/>
      <c r="G45" s="198"/>
      <c r="H45" s="198"/>
    </row>
    <row r="46" spans="1:8" x14ac:dyDescent="0.3">
      <c r="A46" s="182" t="s">
        <v>39</v>
      </c>
      <c r="B46" s="182"/>
      <c r="C46" s="182"/>
      <c r="D46" s="182"/>
      <c r="E46" s="182" t="s">
        <v>252</v>
      </c>
      <c r="F46" s="182"/>
      <c r="G46" s="182"/>
      <c r="H46" s="182"/>
    </row>
    <row r="47" spans="1:8" x14ac:dyDescent="0.3">
      <c r="A47" s="171" t="s">
        <v>40</v>
      </c>
      <c r="B47" s="171"/>
      <c r="C47" s="171"/>
      <c r="D47" s="171"/>
      <c r="E47" s="171"/>
      <c r="F47" s="171"/>
      <c r="G47" s="171"/>
      <c r="H47" s="171"/>
    </row>
    <row r="48" spans="1:8" ht="33.75" customHeight="1" x14ac:dyDescent="0.3">
      <c r="A48" s="134" t="s">
        <v>150</v>
      </c>
      <c r="B48" s="135"/>
      <c r="C48" s="136" t="s">
        <v>253</v>
      </c>
      <c r="D48" s="137"/>
      <c r="E48" s="137"/>
      <c r="F48" s="137"/>
      <c r="G48" s="137"/>
      <c r="H48" s="138"/>
    </row>
    <row r="49" spans="1:14" ht="15.75" customHeight="1" x14ac:dyDescent="0.3">
      <c r="A49" s="134" t="s">
        <v>41</v>
      </c>
      <c r="B49" s="135"/>
      <c r="C49" s="134" t="s">
        <v>254</v>
      </c>
      <c r="D49" s="183"/>
      <c r="E49" s="135"/>
      <c r="F49" s="13" t="s">
        <v>42</v>
      </c>
      <c r="G49" s="241">
        <v>45083</v>
      </c>
      <c r="H49" s="135"/>
    </row>
    <row r="50" spans="1:14" x14ac:dyDescent="0.3">
      <c r="A50" s="134" t="s">
        <v>43</v>
      </c>
      <c r="B50" s="135"/>
      <c r="C50" s="134" t="str">
        <f>C49</f>
        <v>NRV/A-/17870</v>
      </c>
      <c r="D50" s="183"/>
      <c r="E50" s="135"/>
      <c r="F50" s="13" t="s">
        <v>42</v>
      </c>
      <c r="G50" s="241">
        <f>G49</f>
        <v>45083</v>
      </c>
      <c r="H50" s="255"/>
    </row>
    <row r="51" spans="1:14" s="16" customFormat="1" ht="15.75" customHeight="1" x14ac:dyDescent="0.3">
      <c r="A51" s="134" t="s">
        <v>230</v>
      </c>
      <c r="B51" s="135"/>
      <c r="C51" s="134" t="s">
        <v>309</v>
      </c>
      <c r="D51" s="183"/>
      <c r="E51" s="135"/>
      <c r="F51" s="13" t="s">
        <v>42</v>
      </c>
      <c r="G51" s="241">
        <v>45083</v>
      </c>
      <c r="H51" s="135"/>
    </row>
    <row r="52" spans="1:14" s="16" customFormat="1" ht="81" customHeight="1" x14ac:dyDescent="0.3">
      <c r="A52" s="242" t="s">
        <v>231</v>
      </c>
      <c r="B52" s="243"/>
      <c r="C52" s="134" t="s">
        <v>335</v>
      </c>
      <c r="D52" s="183"/>
      <c r="E52" s="183"/>
      <c r="F52" s="183"/>
      <c r="G52" s="183"/>
      <c r="H52" s="135"/>
    </row>
    <row r="53" spans="1:14" x14ac:dyDescent="0.3">
      <c r="A53" s="256" t="s">
        <v>44</v>
      </c>
      <c r="B53" s="257"/>
      <c r="C53" s="256" t="s">
        <v>106</v>
      </c>
      <c r="D53" s="258"/>
      <c r="E53" s="257"/>
      <c r="F53" s="31" t="s">
        <v>42</v>
      </c>
      <c r="G53" s="180" t="s">
        <v>29</v>
      </c>
      <c r="H53" s="181"/>
    </row>
    <row r="54" spans="1:14" x14ac:dyDescent="0.3">
      <c r="A54" s="226" t="s">
        <v>46</v>
      </c>
      <c r="B54" s="226"/>
      <c r="C54" s="226"/>
      <c r="D54" s="226"/>
      <c r="E54" s="226"/>
      <c r="F54" s="226"/>
      <c r="G54" s="226"/>
      <c r="H54" s="226"/>
    </row>
    <row r="55" spans="1:14" x14ac:dyDescent="0.3">
      <c r="A55" s="207" t="s">
        <v>91</v>
      </c>
      <c r="B55" s="207"/>
      <c r="C55" s="207"/>
      <c r="D55" s="128">
        <f>E45</f>
        <v>134779.16</v>
      </c>
      <c r="E55" s="128"/>
      <c r="F55" s="128"/>
      <c r="G55" s="128"/>
      <c r="H55" s="128"/>
    </row>
    <row r="56" spans="1:14" x14ac:dyDescent="0.3">
      <c r="A56" s="130" t="s">
        <v>47</v>
      </c>
      <c r="B56" s="182"/>
      <c r="C56" s="182"/>
      <c r="D56" s="182" t="s">
        <v>304</v>
      </c>
      <c r="E56" s="182"/>
      <c r="F56" s="182"/>
      <c r="G56" s="182"/>
      <c r="H56" s="182"/>
      <c r="I56" s="17"/>
    </row>
    <row r="57" spans="1:14" ht="48.75" customHeight="1" x14ac:dyDescent="0.3">
      <c r="A57" s="244" t="s">
        <v>48</v>
      </c>
      <c r="B57" s="245"/>
      <c r="C57" s="246"/>
      <c r="D57" s="179" t="s">
        <v>326</v>
      </c>
      <c r="E57" s="254"/>
      <c r="F57" s="254"/>
      <c r="G57" s="254"/>
      <c r="H57" s="254"/>
    </row>
    <row r="58" spans="1:14" ht="15.75" customHeight="1" x14ac:dyDescent="0.3">
      <c r="A58" s="244" t="s">
        <v>89</v>
      </c>
      <c r="B58" s="245"/>
      <c r="C58" s="246"/>
      <c r="D58" s="182" t="s">
        <v>327</v>
      </c>
      <c r="E58" s="182"/>
      <c r="F58" s="182"/>
      <c r="G58" s="182"/>
      <c r="H58" s="182"/>
      <c r="I58" s="252"/>
      <c r="J58" s="253"/>
      <c r="K58" s="253"/>
      <c r="L58" s="253"/>
    </row>
    <row r="59" spans="1:14" ht="15.75" customHeight="1" x14ac:dyDescent="0.3">
      <c r="A59" s="247"/>
      <c r="B59" s="248"/>
      <c r="C59" s="249"/>
      <c r="D59" s="182" t="s">
        <v>328</v>
      </c>
      <c r="E59" s="182"/>
      <c r="F59" s="182"/>
      <c r="G59" s="182"/>
      <c r="H59" s="182"/>
    </row>
    <row r="60" spans="1:14" ht="15.75" customHeight="1" x14ac:dyDescent="0.3">
      <c r="A60" s="247"/>
      <c r="B60" s="248"/>
      <c r="C60" s="249"/>
      <c r="D60" s="182" t="s">
        <v>329</v>
      </c>
      <c r="E60" s="182"/>
      <c r="F60" s="182"/>
      <c r="G60" s="182"/>
      <c r="H60" s="182"/>
    </row>
    <row r="61" spans="1:14" ht="15.75" customHeight="1" x14ac:dyDescent="0.3">
      <c r="A61" s="128" t="s">
        <v>45</v>
      </c>
      <c r="B61" s="128"/>
      <c r="C61" s="128"/>
      <c r="D61" s="195" t="s">
        <v>255</v>
      </c>
      <c r="E61" s="195"/>
      <c r="F61" s="195"/>
      <c r="G61" s="195"/>
      <c r="H61" s="195"/>
      <c r="J61" s="18"/>
      <c r="K61" s="17"/>
      <c r="N61" s="17"/>
    </row>
    <row r="62" spans="1:14" ht="15.75" customHeight="1" x14ac:dyDescent="0.3">
      <c r="A62" s="128" t="s">
        <v>87</v>
      </c>
      <c r="B62" s="128"/>
      <c r="C62" s="128"/>
      <c r="D62" s="196" t="str">
        <f>(IF(G53="NA","60 Years After Completion",IF(G53&lt;&gt;"NA",""&amp;60-ROUNDDOWN((E3-G53)/360,0)&amp;" Years"," ")))</f>
        <v>60 Years After Completion</v>
      </c>
      <c r="E62" s="196"/>
      <c r="F62" s="196"/>
      <c r="G62" s="196"/>
      <c r="H62" s="196"/>
      <c r="N62" s="17"/>
    </row>
    <row r="63" spans="1:14" ht="15.75" customHeight="1" x14ac:dyDescent="0.3">
      <c r="A63" s="128" t="s">
        <v>88</v>
      </c>
      <c r="B63" s="128"/>
      <c r="C63" s="128"/>
      <c r="D63" s="207" t="s">
        <v>24</v>
      </c>
      <c r="E63" s="207"/>
      <c r="F63" s="207"/>
      <c r="G63" s="207"/>
      <c r="H63" s="207"/>
      <c r="J63" s="19"/>
      <c r="K63" s="19"/>
    </row>
    <row r="64" spans="1:14" ht="80.099999999999994" customHeight="1" x14ac:dyDescent="0.3">
      <c r="A64" s="182" t="s">
        <v>232</v>
      </c>
      <c r="B64" s="182"/>
      <c r="C64" s="182"/>
      <c r="D64" s="130" t="s">
        <v>311</v>
      </c>
      <c r="E64" s="207"/>
      <c r="F64" s="207"/>
      <c r="G64" s="207"/>
      <c r="H64" s="207"/>
      <c r="I64" s="60" t="s">
        <v>310</v>
      </c>
    </row>
    <row r="65" spans="1:14" x14ac:dyDescent="0.3">
      <c r="A65" s="207" t="s">
        <v>148</v>
      </c>
      <c r="B65" s="207"/>
      <c r="C65" s="207"/>
      <c r="D65" s="207" t="s">
        <v>29</v>
      </c>
      <c r="E65" s="207"/>
      <c r="F65" s="207"/>
      <c r="G65" s="207"/>
      <c r="H65" s="207"/>
      <c r="I65" s="20"/>
      <c r="J65" s="20"/>
      <c r="K65" s="20"/>
      <c r="L65" s="20"/>
      <c r="M65" s="20"/>
      <c r="N65" s="20"/>
    </row>
    <row r="66" spans="1:14" ht="15.75" customHeight="1" x14ac:dyDescent="0.3">
      <c r="A66" s="260" t="s">
        <v>86</v>
      </c>
      <c r="B66" s="260"/>
      <c r="C66" s="260"/>
      <c r="D66" s="179" t="str">
        <f ca="1">(IF(G72&gt;95%,"Nothing",IF(G72&gt;0%,"Cement, Aggregate, Steel, etc",IF(G72=0%,"Work not yet Started"))))</f>
        <v>Cement, Aggregate, Steel, etc</v>
      </c>
      <c r="E66" s="179"/>
      <c r="F66" s="179"/>
      <c r="G66" s="179"/>
      <c r="H66" s="179"/>
      <c r="J66" s="19"/>
    </row>
    <row r="67" spans="1:14" ht="33.75" customHeight="1" thickBot="1" x14ac:dyDescent="0.35">
      <c r="A67" s="178" t="s">
        <v>119</v>
      </c>
      <c r="B67" s="178"/>
      <c r="C67" s="178"/>
      <c r="D67" s="179" t="str">
        <f ca="1">(IF(D66="Nothing","Yes",IF(D66="Cement, Aggregate, Steel, etc","Under Construction",IF(D66="Work not yet Started","Work not yet Started"))))</f>
        <v>Under Construction</v>
      </c>
      <c r="E67" s="179"/>
      <c r="F67" s="179" t="str">
        <f ca="1">(IF(D66="Nothing","Yes",IF(D66="Cement, Aggregate, Steel, etc","Under Construction",IF(D66="Work not yet Started","Work not yet Started"))))</f>
        <v>Under Construction</v>
      </c>
      <c r="G67" s="179"/>
      <c r="H67" s="179"/>
    </row>
    <row r="68" spans="1:14" ht="15.75" customHeight="1" x14ac:dyDescent="0.3">
      <c r="A68" s="173" t="s">
        <v>140</v>
      </c>
      <c r="B68" s="174"/>
      <c r="C68" s="97" t="s">
        <v>337</v>
      </c>
      <c r="D68" s="98"/>
      <c r="E68" s="98"/>
      <c r="F68" s="98"/>
      <c r="G68" s="98"/>
      <c r="H68" s="99"/>
      <c r="I68" s="71" t="str">
        <f ca="1">IF(D81=100%,"All work Completed. Possession granted to the Building.",IF(D80=100%,"All work Completed, Waiting for OC",I69&amp;""&amp;I70&amp;""&amp;J69&amp;""&amp;J68&amp;" "&amp;J70))</f>
        <v>Excavation, Plinth Completed, RCC upto 1 Slab Completed</v>
      </c>
      <c r="J68" s="72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 Slab</v>
      </c>
    </row>
    <row r="69" spans="1:14" x14ac:dyDescent="0.3">
      <c r="A69" s="73" t="s">
        <v>142</v>
      </c>
      <c r="B69" s="74">
        <f>IF(AND(ISNUMBER(SEARCH("1B",C68))),1,IF(AND(ISNUMBER(SEARCH("2B",C68))),2,IF(AND(ISNUMBER(SEARCH("3B",C68))),3,IF(AND(ISNUMBER(SEARCH("4B",C68))),4,IF(ISNUMBER(SEARCH("5B",C68)),5,0)))))</f>
        <v>3</v>
      </c>
      <c r="C69" s="74" t="s">
        <v>72</v>
      </c>
      <c r="D69" s="74">
        <v>1</v>
      </c>
      <c r="E69" s="74" t="s">
        <v>71</v>
      </c>
      <c r="F69" s="74">
        <v>0</v>
      </c>
      <c r="G69" s="75" t="s">
        <v>80</v>
      </c>
      <c r="H69" s="76">
        <f ca="1">--TRIM(RIGHT(SUBSTITUTE(LEFT(C68,_xlfn.AGGREGATE(16,6,FIND({0,1,2,3,4,5,6,7,8,9},C68,ROW(INDIRECT("1:"&amp;LEN(C68)))),1))," ",REPT(" ",LEN(C68))),LEN(C68)))</f>
        <v>15</v>
      </c>
      <c r="I69" s="77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78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">
      <c r="A70" s="100" t="s">
        <v>90</v>
      </c>
      <c r="B70" s="101"/>
      <c r="C70" s="102" t="str">
        <f ca="1">I68</f>
        <v>Excavation, Plinth Completed, RCC upto 1 Slab Completed</v>
      </c>
      <c r="D70" s="102"/>
      <c r="E70" s="102"/>
      <c r="F70" s="102"/>
      <c r="G70" s="102"/>
      <c r="H70" s="103"/>
      <c r="I70" s="77" t="str">
        <f ca="1">IF(I69&lt;&gt;""," Completed","")</f>
        <v xml:space="preserve"> Completed</v>
      </c>
      <c r="J70" s="78" t="str">
        <f ca="1">IF(J68&lt;&gt;"","Completed","")</f>
        <v>Completed</v>
      </c>
    </row>
    <row r="71" spans="1:14" ht="15.75" customHeight="1" x14ac:dyDescent="0.3">
      <c r="A71" s="104" t="s">
        <v>49</v>
      </c>
      <c r="B71" s="105"/>
      <c r="C71" s="79" t="s">
        <v>139</v>
      </c>
      <c r="D71" s="79" t="s">
        <v>83</v>
      </c>
      <c r="E71" s="105" t="s">
        <v>85</v>
      </c>
      <c r="F71" s="105"/>
      <c r="G71" s="105" t="s">
        <v>84</v>
      </c>
      <c r="H71" s="106"/>
      <c r="I71" s="80" t="s">
        <v>141</v>
      </c>
      <c r="J71" s="81">
        <f ca="1">H69*25%</f>
        <v>3.75</v>
      </c>
    </row>
    <row r="72" spans="1:14" x14ac:dyDescent="0.3">
      <c r="A72" s="104" t="s">
        <v>128</v>
      </c>
      <c r="B72" s="105"/>
      <c r="C72" s="79">
        <f ca="1">J73</f>
        <v>15</v>
      </c>
      <c r="D72" s="82">
        <f ca="1">((100/H69)*C72)/100</f>
        <v>1</v>
      </c>
      <c r="E72" s="107">
        <f ca="1">(((C73/H69*10)+(40/(D69+F69+H69)*C74)+(7.5/(H69)*C75)+(7.5/(H69)*C76)+(10/H69*C77)+(10/H69*C78)+(5/H69*C79)+(5/H69*C80)+(5/H69*C81))/100)</f>
        <v>0.125</v>
      </c>
      <c r="F72" s="108"/>
      <c r="G72" s="107">
        <f ca="1">((((C72/H69)*20)+((C73/H69)*25)+(30/(H69+F69+D69)*C74)+(5/H69*C75)+(5/H69*C76)+(5/H69*C77)+(5/H69*C78)+(0/H69*C79)+(0/H69*C80)+(5/H69*C81))/100)</f>
        <v>0.46875</v>
      </c>
      <c r="H72" s="113"/>
      <c r="I72" s="80" t="s">
        <v>101</v>
      </c>
      <c r="J72" s="83">
        <f ca="1">H69*50%</f>
        <v>7.5</v>
      </c>
    </row>
    <row r="73" spans="1:14" x14ac:dyDescent="0.3">
      <c r="A73" s="104" t="s">
        <v>50</v>
      </c>
      <c r="B73" s="105"/>
      <c r="C73" s="90">
        <f ca="1">J81</f>
        <v>15</v>
      </c>
      <c r="D73" s="82">
        <f ca="1">((100/H69)*C73)/100</f>
        <v>1</v>
      </c>
      <c r="E73" s="109"/>
      <c r="F73" s="110"/>
      <c r="G73" s="109"/>
      <c r="H73" s="114"/>
      <c r="I73" s="80" t="s">
        <v>102</v>
      </c>
      <c r="J73" s="83">
        <f ca="1">H69</f>
        <v>15</v>
      </c>
    </row>
    <row r="74" spans="1:14" ht="15.75" customHeight="1" x14ac:dyDescent="0.3">
      <c r="A74" s="104" t="s">
        <v>129</v>
      </c>
      <c r="B74" s="105"/>
      <c r="C74" s="79">
        <v>1</v>
      </c>
      <c r="D74" s="82">
        <f ca="1">((100/(D69+F69+H69))*C74)/100</f>
        <v>6.25E-2</v>
      </c>
      <c r="E74" s="109"/>
      <c r="F74" s="110"/>
      <c r="G74" s="109"/>
      <c r="H74" s="114"/>
      <c r="I74" s="80" t="s">
        <v>103</v>
      </c>
      <c r="J74" s="84">
        <f ca="1">(IF(B69&gt;1,(H69/(B69+2)),H69/4))</f>
        <v>3</v>
      </c>
    </row>
    <row r="75" spans="1:14" ht="15.75" customHeight="1" x14ac:dyDescent="0.3">
      <c r="A75" s="104" t="s">
        <v>136</v>
      </c>
      <c r="B75" s="105" t="s">
        <v>130</v>
      </c>
      <c r="C75" s="79">
        <v>0</v>
      </c>
      <c r="D75" s="82">
        <f ca="1">((100/H69)*C75)/100</f>
        <v>0</v>
      </c>
      <c r="E75" s="109"/>
      <c r="F75" s="110"/>
      <c r="G75" s="109"/>
      <c r="H75" s="114"/>
      <c r="I75" s="80" t="s">
        <v>104</v>
      </c>
      <c r="J75" s="84">
        <f ca="1">(IF(B69&gt;1,(H69/(B69+2)+J74),H69/4+J74))</f>
        <v>6</v>
      </c>
    </row>
    <row r="76" spans="1:14" ht="15.75" customHeight="1" x14ac:dyDescent="0.3">
      <c r="A76" s="104" t="s">
        <v>137</v>
      </c>
      <c r="B76" s="105" t="s">
        <v>130</v>
      </c>
      <c r="C76" s="79">
        <v>0</v>
      </c>
      <c r="D76" s="82">
        <f ca="1">((100/H69)*C76)/100</f>
        <v>0</v>
      </c>
      <c r="E76" s="109"/>
      <c r="F76" s="110"/>
      <c r="G76" s="109"/>
      <c r="H76" s="114"/>
      <c r="I76" s="80" t="s">
        <v>146</v>
      </c>
      <c r="J76" s="84">
        <f ca="1">(IF(B69&gt;1,(H69/(B69+2)+J75),0))</f>
        <v>9</v>
      </c>
    </row>
    <row r="77" spans="1:14" ht="15" customHeight="1" x14ac:dyDescent="0.3">
      <c r="A77" s="104" t="s">
        <v>135</v>
      </c>
      <c r="B77" s="105" t="s">
        <v>132</v>
      </c>
      <c r="C77" s="79">
        <v>0</v>
      </c>
      <c r="D77" s="82">
        <f ca="1">((100/(H69))*C77)/100</f>
        <v>0</v>
      </c>
      <c r="E77" s="109"/>
      <c r="F77" s="110"/>
      <c r="G77" s="109"/>
      <c r="H77" s="114"/>
      <c r="I77" s="80" t="s">
        <v>143</v>
      </c>
      <c r="J77" s="84">
        <f ca="1">(IF(B69&gt;2,(H69/(B69+2)+J76),0))</f>
        <v>12</v>
      </c>
    </row>
    <row r="78" spans="1:14" ht="15.75" customHeight="1" x14ac:dyDescent="0.3">
      <c r="A78" s="104" t="s">
        <v>131</v>
      </c>
      <c r="B78" s="105" t="s">
        <v>131</v>
      </c>
      <c r="C78" s="79">
        <v>0</v>
      </c>
      <c r="D78" s="82">
        <f ca="1">((100/H69)*C78)/100</f>
        <v>0</v>
      </c>
      <c r="E78" s="109"/>
      <c r="F78" s="110"/>
      <c r="G78" s="109"/>
      <c r="H78" s="114"/>
      <c r="I78" s="80" t="s">
        <v>144</v>
      </c>
      <c r="J78" s="85">
        <f>(IF(B69&gt;3,(H69/(B69+2)+J77),0))</f>
        <v>0</v>
      </c>
    </row>
    <row r="79" spans="1:14" ht="15.75" customHeight="1" x14ac:dyDescent="0.3">
      <c r="A79" s="104" t="s">
        <v>138</v>
      </c>
      <c r="B79" s="105"/>
      <c r="C79" s="79">
        <v>0</v>
      </c>
      <c r="D79" s="82">
        <f ca="1">((100/H69)*C79)/100</f>
        <v>0</v>
      </c>
      <c r="E79" s="109"/>
      <c r="F79" s="110"/>
      <c r="G79" s="109"/>
      <c r="H79" s="114"/>
      <c r="I79" s="80" t="s">
        <v>145</v>
      </c>
      <c r="J79" s="84">
        <f>(IF(B69&gt;4,(H69/(B69+2)+J78),0))</f>
        <v>0</v>
      </c>
    </row>
    <row r="80" spans="1:14" ht="15.75" customHeight="1" x14ac:dyDescent="0.3">
      <c r="A80" s="104" t="s">
        <v>133</v>
      </c>
      <c r="B80" s="105" t="s">
        <v>133</v>
      </c>
      <c r="C80" s="79">
        <v>0</v>
      </c>
      <c r="D80" s="82">
        <f ca="1">((100/(H69))*C80)/100</f>
        <v>0</v>
      </c>
      <c r="E80" s="109"/>
      <c r="F80" s="110"/>
      <c r="G80" s="109"/>
      <c r="H80" s="114"/>
      <c r="I80" s="80" t="s">
        <v>147</v>
      </c>
      <c r="J80" s="84">
        <f>(IF(B69=1,(H69/(B69+3)+J75),IF(B69=0,(H69/4+J75),IF(B69&gt;1,0))))</f>
        <v>0</v>
      </c>
    </row>
    <row r="81" spans="1:10" ht="16.2" thickBot="1" x14ac:dyDescent="0.35">
      <c r="A81" s="116" t="s">
        <v>134</v>
      </c>
      <c r="B81" s="117"/>
      <c r="C81" s="86">
        <v>0</v>
      </c>
      <c r="D81" s="87">
        <f ca="1">((100/(H69))*C81)/100</f>
        <v>0</v>
      </c>
      <c r="E81" s="111"/>
      <c r="F81" s="112"/>
      <c r="G81" s="111"/>
      <c r="H81" s="115"/>
      <c r="I81" s="88" t="s">
        <v>105</v>
      </c>
      <c r="J81" s="89">
        <f ca="1">(IF(B69&gt;1.5,(H69/(B69+2)+J75+MAX(0,J76-J75)+MAX(0,J77-J76)+MAX(0,J78-J77)+MAX(0,J79-J78)+MAX(0,J80-J79)),IF(B69=1,(H69/(B69+3)+J80),IF(B69=0,H69/4+J80))))</f>
        <v>15</v>
      </c>
    </row>
    <row r="82" spans="1:10" ht="15.75" customHeight="1" x14ac:dyDescent="0.3">
      <c r="A82" s="95" t="s">
        <v>140</v>
      </c>
      <c r="B82" s="96"/>
      <c r="C82" s="97" t="s">
        <v>341</v>
      </c>
      <c r="D82" s="98"/>
      <c r="E82" s="98"/>
      <c r="F82" s="98"/>
      <c r="G82" s="98"/>
      <c r="H82" s="99"/>
      <c r="I82" s="71" t="str">
        <f ca="1">IF(D95=100%,"All work Completed. Possession granted to the Building.",IF(D94=100%,"All work Completed, Waiting for OC",I83&amp;""&amp;I84&amp;""&amp;J83&amp;""&amp;J82&amp;" "&amp;J84))</f>
        <v>Excavation, Plinth Completed, RCC upto 6 Slab, Brickwork upto 5 Floor, Internal Plaster upto 3.25 Floor, External Plaster upto 3.25 Floor Completed</v>
      </c>
      <c r="J82" s="72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6 Slab, Brickwork upto 5 Floor, Internal Plaster upto 3.25 Floor, External Plaster upto 3.25 Floor</v>
      </c>
    </row>
    <row r="83" spans="1:10" x14ac:dyDescent="0.3">
      <c r="A83" s="73" t="s">
        <v>142</v>
      </c>
      <c r="B83" s="74">
        <f>IF(AND(ISNUMBER(SEARCH("1B",C82))),1,IF(AND(ISNUMBER(SEARCH("2B",C82))),2,IF(AND(ISNUMBER(SEARCH("3B",C82))),3,IF(AND(ISNUMBER(SEARCH("4B",C82))),4,IF(ISNUMBER(SEARCH("5B",C82)),5,0)))))</f>
        <v>3</v>
      </c>
      <c r="C83" s="74" t="s">
        <v>72</v>
      </c>
      <c r="D83" s="74">
        <v>1</v>
      </c>
      <c r="E83" s="74" t="s">
        <v>71</v>
      </c>
      <c r="F83" s="74">
        <v>0</v>
      </c>
      <c r="G83" s="75" t="s">
        <v>80</v>
      </c>
      <c r="H83" s="76">
        <f ca="1">--TRIM(RIGHT(SUBSTITUTE(LEFT(C82,_xlfn.AGGREGATE(16,6,FIND({0,1,2,3,4,5,6,7,8,9},C82,ROW(INDIRECT("1:"&amp;LEN(C82)))),1))," ",REPT(" ",LEN(C82))),LEN(C82)))</f>
        <v>15</v>
      </c>
      <c r="I83" s="77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78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8.4" customHeight="1" x14ac:dyDescent="0.3">
      <c r="A84" s="100" t="s">
        <v>90</v>
      </c>
      <c r="B84" s="101"/>
      <c r="C84" s="102" t="str">
        <f ca="1">I82</f>
        <v>Excavation, Plinth Completed, RCC upto 6 Slab, Brickwork upto 5 Floor, Internal Plaster upto 3.25 Floor, External Plaster upto 3.25 Floor Completed</v>
      </c>
      <c r="D84" s="102"/>
      <c r="E84" s="102"/>
      <c r="F84" s="102"/>
      <c r="G84" s="102"/>
      <c r="H84" s="103"/>
      <c r="I84" s="77" t="str">
        <f ca="1">IF(I83&lt;&gt;""," Completed","")</f>
        <v xml:space="preserve"> Completed</v>
      </c>
      <c r="J84" s="78" t="str">
        <f ca="1">IF(J82&lt;&gt;"","Completed","")</f>
        <v>Completed</v>
      </c>
    </row>
    <row r="85" spans="1:10" ht="15.75" customHeight="1" x14ac:dyDescent="0.3">
      <c r="A85" s="104" t="s">
        <v>49</v>
      </c>
      <c r="B85" s="105"/>
      <c r="C85" s="79" t="s">
        <v>139</v>
      </c>
      <c r="D85" s="79" t="s">
        <v>83</v>
      </c>
      <c r="E85" s="105" t="s">
        <v>85</v>
      </c>
      <c r="F85" s="105"/>
      <c r="G85" s="105" t="s">
        <v>84</v>
      </c>
      <c r="H85" s="106"/>
      <c r="I85" s="80" t="s">
        <v>141</v>
      </c>
      <c r="J85" s="81">
        <f ca="1">H83*25%</f>
        <v>3.75</v>
      </c>
    </row>
    <row r="86" spans="1:10" x14ac:dyDescent="0.3">
      <c r="A86" s="104" t="s">
        <v>128</v>
      </c>
      <c r="B86" s="105"/>
      <c r="C86" s="79">
        <f ca="1">J87</f>
        <v>15</v>
      </c>
      <c r="D86" s="82">
        <f ca="1">((100/H83)*C86)/100</f>
        <v>1</v>
      </c>
      <c r="E86" s="107">
        <f ca="1">(((C87/H83*10)+(40/(D83+F83+H83)*C88)+(7.5/(H83)*C89)+(7.5/(H83)*C90)+(10/H83*C91)+(10/H83*C92)+(5/H83*C93)+(5/H83*C94)+(5/H83*C95))/100)</f>
        <v>0.31291666666666668</v>
      </c>
      <c r="F86" s="108"/>
      <c r="G86" s="107">
        <f ca="1">((((C86/H83)*20)+((C87/H83)*25)+(30/(H83+F83+D83)*C88)+(5/H83*C89)+(5/H83*C90)+(5/H83*C91)+(5/H83*C92)+(0/H83*C93)+(0/H83*C94)+(5/H83*C95))/100)</f>
        <v>0.60083333333333333</v>
      </c>
      <c r="H86" s="113"/>
      <c r="I86" s="80" t="s">
        <v>101</v>
      </c>
      <c r="J86" s="83">
        <f ca="1">H83*50%</f>
        <v>7.5</v>
      </c>
    </row>
    <row r="87" spans="1:10" x14ac:dyDescent="0.3">
      <c r="A87" s="104" t="s">
        <v>50</v>
      </c>
      <c r="B87" s="105"/>
      <c r="C87" s="90">
        <f ca="1">J95</f>
        <v>15</v>
      </c>
      <c r="D87" s="82">
        <f ca="1">((100/H83)*C87)/100</f>
        <v>1</v>
      </c>
      <c r="E87" s="109"/>
      <c r="F87" s="110"/>
      <c r="G87" s="109"/>
      <c r="H87" s="114"/>
      <c r="I87" s="80" t="s">
        <v>102</v>
      </c>
      <c r="J87" s="83">
        <f ca="1">H83</f>
        <v>15</v>
      </c>
    </row>
    <row r="88" spans="1:10" ht="15.75" customHeight="1" x14ac:dyDescent="0.3">
      <c r="A88" s="104" t="s">
        <v>129</v>
      </c>
      <c r="B88" s="105"/>
      <c r="C88" s="79">
        <v>6</v>
      </c>
      <c r="D88" s="82">
        <f ca="1">((100/(D83+F83+H83))*C88)/100</f>
        <v>0.375</v>
      </c>
      <c r="E88" s="109"/>
      <c r="F88" s="110"/>
      <c r="G88" s="109"/>
      <c r="H88" s="114"/>
      <c r="I88" s="80" t="s">
        <v>103</v>
      </c>
      <c r="J88" s="84">
        <f ca="1">(IF(B83&gt;1,(H83/(B83+2)),H83/4))</f>
        <v>3</v>
      </c>
    </row>
    <row r="89" spans="1:10" ht="15.75" customHeight="1" x14ac:dyDescent="0.3">
      <c r="A89" s="104" t="s">
        <v>136</v>
      </c>
      <c r="B89" s="105" t="s">
        <v>130</v>
      </c>
      <c r="C89" s="79">
        <f>C88-F83-D83</f>
        <v>5</v>
      </c>
      <c r="D89" s="82">
        <f ca="1">((100/H83)*C89)/100</f>
        <v>0.33333333333333337</v>
      </c>
      <c r="E89" s="109"/>
      <c r="F89" s="110"/>
      <c r="G89" s="109"/>
      <c r="H89" s="114"/>
      <c r="I89" s="80" t="s">
        <v>104</v>
      </c>
      <c r="J89" s="84">
        <f ca="1">(IF(B83&gt;1,(H83/(B83+2)+J88),H83/4+J88))</f>
        <v>6</v>
      </c>
    </row>
    <row r="90" spans="1:10" ht="15.75" customHeight="1" x14ac:dyDescent="0.3">
      <c r="A90" s="104" t="s">
        <v>137</v>
      </c>
      <c r="B90" s="105" t="s">
        <v>130</v>
      </c>
      <c r="C90" s="90">
        <f>C89*0.65</f>
        <v>3.25</v>
      </c>
      <c r="D90" s="82">
        <f ca="1">((100/H83)*C90)/100</f>
        <v>0.21666666666666667</v>
      </c>
      <c r="E90" s="109"/>
      <c r="F90" s="110"/>
      <c r="G90" s="109"/>
      <c r="H90" s="114"/>
      <c r="I90" s="80" t="s">
        <v>146</v>
      </c>
      <c r="J90" s="84">
        <f ca="1">(IF(B83&gt;1,(H83/(B83+2)+J89),0))</f>
        <v>9</v>
      </c>
    </row>
    <row r="91" spans="1:10" ht="15" customHeight="1" x14ac:dyDescent="0.3">
      <c r="A91" s="104" t="s">
        <v>135</v>
      </c>
      <c r="B91" s="105" t="s">
        <v>132</v>
      </c>
      <c r="C91" s="90">
        <f>C90</f>
        <v>3.25</v>
      </c>
      <c r="D91" s="82">
        <f ca="1">((100/(H83))*C91)/100</f>
        <v>0.21666666666666667</v>
      </c>
      <c r="E91" s="109"/>
      <c r="F91" s="110"/>
      <c r="G91" s="109"/>
      <c r="H91" s="114"/>
      <c r="I91" s="80" t="s">
        <v>143</v>
      </c>
      <c r="J91" s="84">
        <f ca="1">(IF(B83&gt;2,(H83/(B83+2)+J90),0))</f>
        <v>12</v>
      </c>
    </row>
    <row r="92" spans="1:10" ht="15.75" customHeight="1" x14ac:dyDescent="0.3">
      <c r="A92" s="104" t="s">
        <v>131</v>
      </c>
      <c r="B92" s="105" t="s">
        <v>131</v>
      </c>
      <c r="C92" s="79">
        <v>0</v>
      </c>
      <c r="D92" s="82">
        <f ca="1">((100/H83)*C92)/100</f>
        <v>0</v>
      </c>
      <c r="E92" s="109"/>
      <c r="F92" s="110"/>
      <c r="G92" s="109"/>
      <c r="H92" s="114"/>
      <c r="I92" s="80" t="s">
        <v>144</v>
      </c>
      <c r="J92" s="85">
        <f>(IF(B83&gt;3,(H83/(B83+2)+J91),0))</f>
        <v>0</v>
      </c>
    </row>
    <row r="93" spans="1:10" ht="15.75" customHeight="1" x14ac:dyDescent="0.3">
      <c r="A93" s="104" t="s">
        <v>138</v>
      </c>
      <c r="B93" s="105"/>
      <c r="C93" s="79">
        <v>0</v>
      </c>
      <c r="D93" s="82">
        <f ca="1">((100/H83)*C93)/100</f>
        <v>0</v>
      </c>
      <c r="E93" s="109"/>
      <c r="F93" s="110"/>
      <c r="G93" s="109"/>
      <c r="H93" s="114"/>
      <c r="I93" s="80" t="s">
        <v>145</v>
      </c>
      <c r="J93" s="84">
        <f>(IF(B83&gt;4,(H83/(B83+2)+J92),0))</f>
        <v>0</v>
      </c>
    </row>
    <row r="94" spans="1:10" ht="15.75" customHeight="1" x14ac:dyDescent="0.3">
      <c r="A94" s="104" t="s">
        <v>133</v>
      </c>
      <c r="B94" s="105" t="s">
        <v>133</v>
      </c>
      <c r="C94" s="79">
        <v>0</v>
      </c>
      <c r="D94" s="82">
        <f ca="1">((100/(H83))*C94)/100</f>
        <v>0</v>
      </c>
      <c r="E94" s="109"/>
      <c r="F94" s="110"/>
      <c r="G94" s="109"/>
      <c r="H94" s="114"/>
      <c r="I94" s="80" t="s">
        <v>147</v>
      </c>
      <c r="J94" s="84">
        <f>(IF(B83=1,(H83/(B83+3)+J89),IF(B83=0,(H83/4+J89),IF(B83&gt;1,0))))</f>
        <v>0</v>
      </c>
    </row>
    <row r="95" spans="1:10" ht="16.2" thickBot="1" x14ac:dyDescent="0.35">
      <c r="A95" s="116" t="s">
        <v>134</v>
      </c>
      <c r="B95" s="117"/>
      <c r="C95" s="86">
        <v>0</v>
      </c>
      <c r="D95" s="87">
        <f ca="1">((100/(H83))*C95)/100</f>
        <v>0</v>
      </c>
      <c r="E95" s="111"/>
      <c r="F95" s="112"/>
      <c r="G95" s="111"/>
      <c r="H95" s="115"/>
      <c r="I95" s="88" t="s">
        <v>105</v>
      </c>
      <c r="J95" s="89">
        <f ca="1">(IF(B83&gt;1.5,(H83/(B83+2)+J89+MAX(0,J90-J89)+MAX(0,J91-J90)+MAX(0,J92-J91)+MAX(0,J93-J92)+MAX(0,J94-J93)),IF(B83=1,(H83/(B83+3)+J94),IF(B83=0,H83/4+J94))))</f>
        <v>15</v>
      </c>
    </row>
    <row r="96" spans="1:10" ht="15.75" customHeight="1" x14ac:dyDescent="0.3">
      <c r="A96" s="95" t="s">
        <v>140</v>
      </c>
      <c r="B96" s="96"/>
      <c r="C96" s="97" t="s">
        <v>333</v>
      </c>
      <c r="D96" s="98"/>
      <c r="E96" s="98"/>
      <c r="F96" s="98"/>
      <c r="G96" s="98"/>
      <c r="H96" s="99"/>
      <c r="I96" s="71" t="str">
        <f ca="1">IF(D109=100%,"All work Completed. Possession granted to the Building.",IF(D108=100%,"All work Completed, Waiting for OC",I97&amp;""&amp;I98&amp;""&amp;J97&amp;""&amp;J96&amp;" "&amp;J98))</f>
        <v>Excavation, Plinth Completed, RCC upto 6 Slab, Brickwork upto 5 Floor, Internal Plaster upto 3.25 Floor, External Plaster upto 3.25 Floor Completed</v>
      </c>
      <c r="J96" s="72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6 Slab, Brickwork upto 5 Floor, Internal Plaster upto 3.25 Floor, External Plaster upto 3.25 Floor</v>
      </c>
    </row>
    <row r="97" spans="1:10" x14ac:dyDescent="0.3">
      <c r="A97" s="73" t="s">
        <v>142</v>
      </c>
      <c r="B97" s="74">
        <f>IF(AND(ISNUMBER(SEARCH("1B",C96))),1,IF(AND(ISNUMBER(SEARCH("2B",C96))),2,IF(AND(ISNUMBER(SEARCH("3B",C96))),3,IF(AND(ISNUMBER(SEARCH("4B",C96))),4,IF(ISNUMBER(SEARCH("5B",C96)),5,0)))))</f>
        <v>3</v>
      </c>
      <c r="C97" s="74" t="s">
        <v>72</v>
      </c>
      <c r="D97" s="74">
        <v>1</v>
      </c>
      <c r="E97" s="74" t="s">
        <v>71</v>
      </c>
      <c r="F97" s="74">
        <v>0</v>
      </c>
      <c r="G97" s="75" t="s">
        <v>80</v>
      </c>
      <c r="H97" s="76">
        <f ca="1">--TRIM(RIGHT(SUBSTITUTE(LEFT(C96,_xlfn.AGGREGATE(16,6,FIND({0,1,2,3,4,5,6,7,8,9},C96,ROW(INDIRECT("1:"&amp;LEN(C96)))),1))," ",REPT(" ",LEN(C96))),LEN(C96)))</f>
        <v>15</v>
      </c>
      <c r="I97" s="77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78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9" customHeight="1" x14ac:dyDescent="0.3">
      <c r="A98" s="100" t="s">
        <v>90</v>
      </c>
      <c r="B98" s="101"/>
      <c r="C98" s="102" t="str">
        <f ca="1">I96</f>
        <v>Excavation, Plinth Completed, RCC upto 6 Slab, Brickwork upto 5 Floor, Internal Plaster upto 3.25 Floor, External Plaster upto 3.25 Floor Completed</v>
      </c>
      <c r="D98" s="102"/>
      <c r="E98" s="102"/>
      <c r="F98" s="102"/>
      <c r="G98" s="102"/>
      <c r="H98" s="103"/>
      <c r="I98" s="77" t="str">
        <f ca="1">IF(I97&lt;&gt;""," Completed","")</f>
        <v xml:space="preserve"> Completed</v>
      </c>
      <c r="J98" s="78" t="str">
        <f ca="1">IF(J96&lt;&gt;"","Completed","")</f>
        <v>Completed</v>
      </c>
    </row>
    <row r="99" spans="1:10" ht="15.75" customHeight="1" x14ac:dyDescent="0.3">
      <c r="A99" s="104" t="s">
        <v>49</v>
      </c>
      <c r="B99" s="105"/>
      <c r="C99" s="79" t="s">
        <v>139</v>
      </c>
      <c r="D99" s="79" t="s">
        <v>83</v>
      </c>
      <c r="E99" s="105" t="s">
        <v>85</v>
      </c>
      <c r="F99" s="105"/>
      <c r="G99" s="105" t="s">
        <v>84</v>
      </c>
      <c r="H99" s="106"/>
      <c r="I99" s="80" t="s">
        <v>141</v>
      </c>
      <c r="J99" s="81">
        <f ca="1">H97*25%</f>
        <v>3.75</v>
      </c>
    </row>
    <row r="100" spans="1:10" x14ac:dyDescent="0.3">
      <c r="A100" s="104" t="s">
        <v>128</v>
      </c>
      <c r="B100" s="105"/>
      <c r="C100" s="79">
        <f ca="1">J101</f>
        <v>15</v>
      </c>
      <c r="D100" s="82">
        <f ca="1">((100/H97)*C100)/100</f>
        <v>1</v>
      </c>
      <c r="E100" s="107">
        <f ca="1">(((C101/H97*10)+(40/(D97+F97+H97)*C102)+(7.5/(H97)*C103)+(7.5/(H97)*C104)+(10/H97*C105)+(10/H97*C106)+(5/H97*C107)+(5/H97*C108)+(5/H97*C109))/100)</f>
        <v>0.31291666666666668</v>
      </c>
      <c r="F100" s="108"/>
      <c r="G100" s="107">
        <f ca="1">((((C100/H97)*20)+((C101/H97)*25)+(30/(H97+F97+D97)*C102)+(5/H97*C103)+(5/H97*C104)+(5/H97*C105)+(5/H97*C106)+(0/H97*C107)+(0/H97*C108)+(5/H97*C109))/100)</f>
        <v>0.60083333333333333</v>
      </c>
      <c r="H100" s="113"/>
      <c r="I100" s="80" t="s">
        <v>101</v>
      </c>
      <c r="J100" s="83">
        <f ca="1">H97*50%</f>
        <v>7.5</v>
      </c>
    </row>
    <row r="101" spans="1:10" x14ac:dyDescent="0.3">
      <c r="A101" s="104" t="s">
        <v>50</v>
      </c>
      <c r="B101" s="105"/>
      <c r="C101" s="90">
        <f ca="1">J109</f>
        <v>15</v>
      </c>
      <c r="D101" s="82">
        <f ca="1">((100/H97)*C101)/100</f>
        <v>1</v>
      </c>
      <c r="E101" s="109"/>
      <c r="F101" s="110"/>
      <c r="G101" s="109"/>
      <c r="H101" s="114"/>
      <c r="I101" s="80" t="s">
        <v>102</v>
      </c>
      <c r="J101" s="83">
        <f ca="1">H97</f>
        <v>15</v>
      </c>
    </row>
    <row r="102" spans="1:10" ht="15.75" customHeight="1" x14ac:dyDescent="0.3">
      <c r="A102" s="104" t="s">
        <v>129</v>
      </c>
      <c r="B102" s="105"/>
      <c r="C102" s="79">
        <v>6</v>
      </c>
      <c r="D102" s="82">
        <f ca="1">((100/(D97+F97+H97))*C102)/100</f>
        <v>0.375</v>
      </c>
      <c r="E102" s="109"/>
      <c r="F102" s="110"/>
      <c r="G102" s="109"/>
      <c r="H102" s="114"/>
      <c r="I102" s="80" t="s">
        <v>103</v>
      </c>
      <c r="J102" s="84">
        <f ca="1">(IF(B97&gt;1,(H97/(B97+2)),H97/4))</f>
        <v>3</v>
      </c>
    </row>
    <row r="103" spans="1:10" ht="15.75" customHeight="1" x14ac:dyDescent="0.3">
      <c r="A103" s="104" t="s">
        <v>136</v>
      </c>
      <c r="B103" s="105" t="s">
        <v>130</v>
      </c>
      <c r="C103" s="79">
        <f>C102-F97-D97</f>
        <v>5</v>
      </c>
      <c r="D103" s="82">
        <f ca="1">((100/H97)*C103)/100</f>
        <v>0.33333333333333337</v>
      </c>
      <c r="E103" s="109"/>
      <c r="F103" s="110"/>
      <c r="G103" s="109"/>
      <c r="H103" s="114"/>
      <c r="I103" s="80" t="s">
        <v>104</v>
      </c>
      <c r="J103" s="84">
        <f ca="1">(IF(B97&gt;1,(H97/(B97+2)+J102),H97/4+J102))</f>
        <v>6</v>
      </c>
    </row>
    <row r="104" spans="1:10" ht="15.75" customHeight="1" x14ac:dyDescent="0.3">
      <c r="A104" s="104" t="s">
        <v>137</v>
      </c>
      <c r="B104" s="105" t="s">
        <v>130</v>
      </c>
      <c r="C104" s="90">
        <f>C103*0.65</f>
        <v>3.25</v>
      </c>
      <c r="D104" s="82">
        <f ca="1">((100/H97)*C104)/100</f>
        <v>0.21666666666666667</v>
      </c>
      <c r="E104" s="109"/>
      <c r="F104" s="110"/>
      <c r="G104" s="109"/>
      <c r="H104" s="114"/>
      <c r="I104" s="80" t="s">
        <v>146</v>
      </c>
      <c r="J104" s="84">
        <f ca="1">(IF(B97&gt;1,(H97/(B97+2)+J103),0))</f>
        <v>9</v>
      </c>
    </row>
    <row r="105" spans="1:10" ht="15" customHeight="1" x14ac:dyDescent="0.3">
      <c r="A105" s="104" t="s">
        <v>135</v>
      </c>
      <c r="B105" s="105" t="s">
        <v>132</v>
      </c>
      <c r="C105" s="90">
        <f>C104</f>
        <v>3.25</v>
      </c>
      <c r="D105" s="82">
        <f ca="1">((100/(H97))*C105)/100</f>
        <v>0.21666666666666667</v>
      </c>
      <c r="E105" s="109"/>
      <c r="F105" s="110"/>
      <c r="G105" s="109"/>
      <c r="H105" s="114"/>
      <c r="I105" s="80" t="s">
        <v>143</v>
      </c>
      <c r="J105" s="84">
        <f ca="1">(IF(B97&gt;2,(H97/(B97+2)+J104),0))</f>
        <v>12</v>
      </c>
    </row>
    <row r="106" spans="1:10" ht="15.75" customHeight="1" x14ac:dyDescent="0.3">
      <c r="A106" s="104" t="s">
        <v>131</v>
      </c>
      <c r="B106" s="105" t="s">
        <v>131</v>
      </c>
      <c r="C106" s="79">
        <v>0</v>
      </c>
      <c r="D106" s="82">
        <f ca="1">((100/H97)*C106)/100</f>
        <v>0</v>
      </c>
      <c r="E106" s="109"/>
      <c r="F106" s="110"/>
      <c r="G106" s="109"/>
      <c r="H106" s="114"/>
      <c r="I106" s="80" t="s">
        <v>144</v>
      </c>
      <c r="J106" s="85">
        <f>(IF(B97&gt;3,(H97/(B97+2)+J105),0))</f>
        <v>0</v>
      </c>
    </row>
    <row r="107" spans="1:10" ht="15.75" customHeight="1" x14ac:dyDescent="0.3">
      <c r="A107" s="104" t="s">
        <v>138</v>
      </c>
      <c r="B107" s="105"/>
      <c r="C107" s="79">
        <v>0</v>
      </c>
      <c r="D107" s="82">
        <f ca="1">((100/H97)*C107)/100</f>
        <v>0</v>
      </c>
      <c r="E107" s="109"/>
      <c r="F107" s="110"/>
      <c r="G107" s="109"/>
      <c r="H107" s="114"/>
      <c r="I107" s="80" t="s">
        <v>145</v>
      </c>
      <c r="J107" s="84">
        <f>(IF(B97&gt;4,(H97/(B97+2)+J106),0))</f>
        <v>0</v>
      </c>
    </row>
    <row r="108" spans="1:10" ht="15.75" customHeight="1" x14ac:dyDescent="0.3">
      <c r="A108" s="104" t="s">
        <v>133</v>
      </c>
      <c r="B108" s="105" t="s">
        <v>133</v>
      </c>
      <c r="C108" s="79">
        <v>0</v>
      </c>
      <c r="D108" s="82">
        <f ca="1">((100/(H97))*C108)/100</f>
        <v>0</v>
      </c>
      <c r="E108" s="109"/>
      <c r="F108" s="110"/>
      <c r="G108" s="109"/>
      <c r="H108" s="114"/>
      <c r="I108" s="80" t="s">
        <v>147</v>
      </c>
      <c r="J108" s="84">
        <f>(IF(B97=1,(H97/(B97+3)+J103),IF(B97=0,(H97/4+J103),IF(B97&gt;1,0))))</f>
        <v>0</v>
      </c>
    </row>
    <row r="109" spans="1:10" ht="16.2" thickBot="1" x14ac:dyDescent="0.35">
      <c r="A109" s="116" t="s">
        <v>134</v>
      </c>
      <c r="B109" s="117"/>
      <c r="C109" s="86">
        <v>0</v>
      </c>
      <c r="D109" s="87">
        <f ca="1">((100/(H97))*C109)/100</f>
        <v>0</v>
      </c>
      <c r="E109" s="111"/>
      <c r="F109" s="112"/>
      <c r="G109" s="111"/>
      <c r="H109" s="115"/>
      <c r="I109" s="88" t="s">
        <v>105</v>
      </c>
      <c r="J109" s="89">
        <f ca="1">(IF(B97&gt;1.5,(H97/(B97+2)+J103+MAX(0,J104-J103)+MAX(0,J105-J104)+MAX(0,J106-J105)+MAX(0,J107-J106)+MAX(0,J108-J107)),IF(B97=1,(H97/(B97+3)+J108),IF(B97=0,H97/4+J108))))</f>
        <v>15</v>
      </c>
    </row>
    <row r="110" spans="1:10" ht="15.75" hidden="1" customHeight="1" x14ac:dyDescent="0.3">
      <c r="A110" s="95" t="s">
        <v>140</v>
      </c>
      <c r="B110" s="96"/>
      <c r="C110" s="97" t="s">
        <v>333</v>
      </c>
      <c r="D110" s="98"/>
      <c r="E110" s="98"/>
      <c r="F110" s="98"/>
      <c r="G110" s="98"/>
      <c r="H110" s="99"/>
      <c r="I110" s="71" t="str">
        <f ca="1">IF(D123=100%,"All work Completed. Possession granted to the Building.",IF(D122=100%,"All work Completed, Waiting for OC",I111&amp;""&amp;I112&amp;""&amp;J111&amp;""&amp;J110&amp;" "&amp;J112))</f>
        <v xml:space="preserve">Excavation Completed, 1st Basement Completed </v>
      </c>
      <c r="J110" s="72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/>
      </c>
    </row>
    <row r="111" spans="1:10" hidden="1" x14ac:dyDescent="0.3">
      <c r="A111" s="73" t="s">
        <v>142</v>
      </c>
      <c r="B111" s="74">
        <f>IF(AND(ISNUMBER(SEARCH("1B",C110))),1,IF(AND(ISNUMBER(SEARCH("2B",C110))),2,IF(AND(ISNUMBER(SEARCH("3B",C110))),3,IF(AND(ISNUMBER(SEARCH("4B",C110))),4,IF(ISNUMBER(SEARCH("5B",C110)),5,0)))))</f>
        <v>3</v>
      </c>
      <c r="C111" s="74" t="s">
        <v>72</v>
      </c>
      <c r="D111" s="74">
        <v>1</v>
      </c>
      <c r="E111" s="74" t="s">
        <v>71</v>
      </c>
      <c r="F111" s="74">
        <v>0</v>
      </c>
      <c r="G111" s="75" t="s">
        <v>80</v>
      </c>
      <c r="H111" s="76">
        <f ca="1">--TRIM(RIGHT(SUBSTITUTE(LEFT(C110,_xlfn.AGGREGATE(16,6,FIND({0,1,2,3,4,5,6,7,8,9},C110,ROW(INDIRECT("1:"&amp;LEN(C110)))),1))," ",REPT(" ",LEN(C110))),LEN(C110)))</f>
        <v>15</v>
      </c>
      <c r="I111" s="77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</v>
      </c>
      <c r="J111" s="78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>, 1st Basement Completed</v>
      </c>
    </row>
    <row r="112" spans="1:10" hidden="1" x14ac:dyDescent="0.3">
      <c r="A112" s="100" t="s">
        <v>90</v>
      </c>
      <c r="B112" s="101"/>
      <c r="C112" s="102" t="str">
        <f ca="1">I110</f>
        <v xml:space="preserve">Excavation Completed, 1st Basement Completed </v>
      </c>
      <c r="D112" s="102"/>
      <c r="E112" s="102"/>
      <c r="F112" s="102"/>
      <c r="G112" s="102"/>
      <c r="H112" s="103"/>
      <c r="I112" s="77" t="str">
        <f ca="1">IF(I111&lt;&gt;""," Completed","")</f>
        <v xml:space="preserve"> Completed</v>
      </c>
      <c r="J112" s="78" t="str">
        <f ca="1">IF(J110&lt;&gt;"","Completed","")</f>
        <v/>
      </c>
    </row>
    <row r="113" spans="1:11" ht="15.75" hidden="1" customHeight="1" x14ac:dyDescent="0.3">
      <c r="A113" s="104" t="s">
        <v>49</v>
      </c>
      <c r="B113" s="105"/>
      <c r="C113" s="79" t="s">
        <v>139</v>
      </c>
      <c r="D113" s="79" t="s">
        <v>83</v>
      </c>
      <c r="E113" s="105" t="s">
        <v>85</v>
      </c>
      <c r="F113" s="105"/>
      <c r="G113" s="105" t="s">
        <v>84</v>
      </c>
      <c r="H113" s="106"/>
      <c r="I113" s="80" t="s">
        <v>141</v>
      </c>
      <c r="J113" s="81">
        <f ca="1">H111*25%</f>
        <v>3.75</v>
      </c>
    </row>
    <row r="114" spans="1:11" hidden="1" x14ac:dyDescent="0.3">
      <c r="A114" s="104" t="s">
        <v>128</v>
      </c>
      <c r="B114" s="105"/>
      <c r="C114" s="79">
        <f ca="1">J115</f>
        <v>15</v>
      </c>
      <c r="D114" s="82">
        <f ca="1">((100/H111)*C114)/100</f>
        <v>1</v>
      </c>
      <c r="E114" s="107">
        <f ca="1">(((C115/H111*10)+(40/(D111+F111+H111)*C116)+(7.5/(H111)*C117)+(7.5/(H111)*C118)+(10/H111*C119)+(10/H111*C120)+(5/H111*C121)+(5/H111*C122)+(5/H111*C123))/100)</f>
        <v>0.06</v>
      </c>
      <c r="F114" s="108"/>
      <c r="G114" s="107">
        <f ca="1">((((C114/H111)*20)+((C115/H111)*25)+(30/(H111+F111+D111)*C116)+(5/H111*C117)+(5/H111*C118)+(5/H111*C119)+(5/H111*C120)+(0/H111*C121)+(0/H111*C122)+(5/H111*C123))/100)</f>
        <v>0.35</v>
      </c>
      <c r="H114" s="113"/>
      <c r="I114" s="80" t="s">
        <v>101</v>
      </c>
      <c r="J114" s="83">
        <f ca="1">H111*50%</f>
        <v>7.5</v>
      </c>
    </row>
    <row r="115" spans="1:11" hidden="1" x14ac:dyDescent="0.3">
      <c r="A115" s="104" t="s">
        <v>50</v>
      </c>
      <c r="B115" s="105"/>
      <c r="C115" s="90">
        <f ca="1">J118</f>
        <v>9</v>
      </c>
      <c r="D115" s="82">
        <f ca="1">((100/H111)*C115)/100</f>
        <v>0.6</v>
      </c>
      <c r="E115" s="109"/>
      <c r="F115" s="110"/>
      <c r="G115" s="109"/>
      <c r="H115" s="114"/>
      <c r="I115" s="80" t="s">
        <v>102</v>
      </c>
      <c r="J115" s="83">
        <f ca="1">H111</f>
        <v>15</v>
      </c>
    </row>
    <row r="116" spans="1:11" ht="15.75" hidden="1" customHeight="1" x14ac:dyDescent="0.3">
      <c r="A116" s="104" t="s">
        <v>129</v>
      </c>
      <c r="B116" s="105"/>
      <c r="C116" s="79">
        <v>0</v>
      </c>
      <c r="D116" s="82">
        <f ca="1">((100/(D111+F111+H111))*C116)/100</f>
        <v>0</v>
      </c>
      <c r="E116" s="109"/>
      <c r="F116" s="110"/>
      <c r="G116" s="109"/>
      <c r="H116" s="114"/>
      <c r="I116" s="80" t="s">
        <v>103</v>
      </c>
      <c r="J116" s="84">
        <f ca="1">(IF(B111&gt;1,(H111/(B111+2)),H111/4))</f>
        <v>3</v>
      </c>
    </row>
    <row r="117" spans="1:11" ht="15.75" hidden="1" customHeight="1" x14ac:dyDescent="0.3">
      <c r="A117" s="104" t="s">
        <v>136</v>
      </c>
      <c r="B117" s="105" t="s">
        <v>130</v>
      </c>
      <c r="C117" s="79">
        <v>0</v>
      </c>
      <c r="D117" s="82">
        <f ca="1">((100/H111)*C117)/100</f>
        <v>0</v>
      </c>
      <c r="E117" s="109"/>
      <c r="F117" s="110"/>
      <c r="G117" s="109"/>
      <c r="H117" s="114"/>
      <c r="I117" s="80" t="s">
        <v>104</v>
      </c>
      <c r="J117" s="84">
        <f ca="1">(IF(B111&gt;1,(H111/(B111+2)+J116),H111/4+J116))</f>
        <v>6</v>
      </c>
    </row>
    <row r="118" spans="1:11" ht="15.75" hidden="1" customHeight="1" x14ac:dyDescent="0.3">
      <c r="A118" s="104" t="s">
        <v>137</v>
      </c>
      <c r="B118" s="105" t="s">
        <v>130</v>
      </c>
      <c r="C118" s="79">
        <v>0</v>
      </c>
      <c r="D118" s="82">
        <f ca="1">((100/H111)*C118)/100</f>
        <v>0</v>
      </c>
      <c r="E118" s="109"/>
      <c r="F118" s="110"/>
      <c r="G118" s="109"/>
      <c r="H118" s="114"/>
      <c r="I118" s="80" t="s">
        <v>146</v>
      </c>
      <c r="J118" s="84">
        <f ca="1">(IF(B111&gt;1,(H111/(B111+2)+J117),0))</f>
        <v>9</v>
      </c>
    </row>
    <row r="119" spans="1:11" ht="15" hidden="1" customHeight="1" x14ac:dyDescent="0.3">
      <c r="A119" s="104" t="s">
        <v>135</v>
      </c>
      <c r="B119" s="105" t="s">
        <v>132</v>
      </c>
      <c r="C119" s="79">
        <v>0</v>
      </c>
      <c r="D119" s="82">
        <f ca="1">((100/(H111))*C119)/100</f>
        <v>0</v>
      </c>
      <c r="E119" s="109"/>
      <c r="F119" s="110"/>
      <c r="G119" s="109"/>
      <c r="H119" s="114"/>
      <c r="I119" s="80" t="s">
        <v>143</v>
      </c>
      <c r="J119" s="84">
        <f ca="1">(IF(B111&gt;2,(H111/(B111+2)+J118),0))</f>
        <v>12</v>
      </c>
    </row>
    <row r="120" spans="1:11" ht="15.75" hidden="1" customHeight="1" x14ac:dyDescent="0.3">
      <c r="A120" s="104" t="s">
        <v>131</v>
      </c>
      <c r="B120" s="105" t="s">
        <v>131</v>
      </c>
      <c r="C120" s="79">
        <v>0</v>
      </c>
      <c r="D120" s="82">
        <f ca="1">((100/H111)*C120)/100</f>
        <v>0</v>
      </c>
      <c r="E120" s="109"/>
      <c r="F120" s="110"/>
      <c r="G120" s="109"/>
      <c r="H120" s="114"/>
      <c r="I120" s="80" t="s">
        <v>144</v>
      </c>
      <c r="J120" s="85">
        <f>(IF(B111&gt;3,(H111/(B111+2)+J119),0))</f>
        <v>0</v>
      </c>
    </row>
    <row r="121" spans="1:11" ht="15.75" hidden="1" customHeight="1" x14ac:dyDescent="0.3">
      <c r="A121" s="104" t="s">
        <v>138</v>
      </c>
      <c r="B121" s="105"/>
      <c r="C121" s="79">
        <v>0</v>
      </c>
      <c r="D121" s="82">
        <f ca="1">((100/H111)*C121)/100</f>
        <v>0</v>
      </c>
      <c r="E121" s="109"/>
      <c r="F121" s="110"/>
      <c r="G121" s="109"/>
      <c r="H121" s="114"/>
      <c r="I121" s="80" t="s">
        <v>145</v>
      </c>
      <c r="J121" s="84">
        <f>(IF(B111&gt;4,(H111/(B111+2)+J120),0))</f>
        <v>0</v>
      </c>
    </row>
    <row r="122" spans="1:11" ht="15.75" hidden="1" customHeight="1" x14ac:dyDescent="0.3">
      <c r="A122" s="104" t="s">
        <v>133</v>
      </c>
      <c r="B122" s="105" t="s">
        <v>133</v>
      </c>
      <c r="C122" s="79">
        <v>0</v>
      </c>
      <c r="D122" s="82">
        <f ca="1">((100/(H111))*C122)/100</f>
        <v>0</v>
      </c>
      <c r="E122" s="109"/>
      <c r="F122" s="110"/>
      <c r="G122" s="109"/>
      <c r="H122" s="114"/>
      <c r="I122" s="80" t="s">
        <v>147</v>
      </c>
      <c r="J122" s="84">
        <f>(IF(B111=1,(H111/(B111+3)+J117),IF(B111=0,(H111/4+J117),IF(B111&gt;1,0))))</f>
        <v>0</v>
      </c>
    </row>
    <row r="123" spans="1:11" ht="16.2" hidden="1" thickBot="1" x14ac:dyDescent="0.35">
      <c r="A123" s="116" t="s">
        <v>134</v>
      </c>
      <c r="B123" s="117"/>
      <c r="C123" s="86">
        <v>0</v>
      </c>
      <c r="D123" s="87">
        <f ca="1">((100/(H111))*C123)/100</f>
        <v>0</v>
      </c>
      <c r="E123" s="111"/>
      <c r="F123" s="112"/>
      <c r="G123" s="111"/>
      <c r="H123" s="115"/>
      <c r="I123" s="88" t="s">
        <v>105</v>
      </c>
      <c r="J123" s="89">
        <f ca="1">(IF(B111&gt;1.5,(H111/(B111+2)+J117+MAX(0,J118-J117)+MAX(0,J119-J118)+MAX(0,J120-J119)+MAX(0,J121-J120)+MAX(0,J122-J121)),IF(B111=1,(H111/(B111+3)+J122),IF(B111=0,H111/4+J122))))</f>
        <v>15</v>
      </c>
    </row>
    <row r="124" spans="1:11" x14ac:dyDescent="0.3">
      <c r="A124" s="95" t="s">
        <v>140</v>
      </c>
      <c r="B124" s="96"/>
      <c r="C124" s="97" t="s">
        <v>336</v>
      </c>
      <c r="D124" s="98"/>
      <c r="E124" s="98"/>
      <c r="F124" s="98"/>
      <c r="G124" s="98"/>
      <c r="H124" s="99"/>
      <c r="I124" s="71" t="str">
        <f ca="1">IF(D137=100%,"All work Completed. Possession granted to the Building.",IF(D136=100%,"All work Completed, Waiting for OC",I125&amp;""&amp;I126&amp;""&amp;J125&amp;""&amp;J124&amp;" "&amp;J126))</f>
        <v>Excavation, Plinth Completed, RCC upto 9 Slab, Brickwork upto 8 Floor, Internal Plaster upto 5.2 Floor, External Plaster upto 5.2 Floor Completed</v>
      </c>
      <c r="J124" s="72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RCC upto 9 Slab, Brickwork upto 8 Floor, Internal Plaster upto 5.2 Floor, External Plaster upto 5.2 Floor</v>
      </c>
    </row>
    <row r="125" spans="1:11" x14ac:dyDescent="0.3">
      <c r="A125" s="73" t="s">
        <v>142</v>
      </c>
      <c r="B125" s="74">
        <f>IF(AND(ISNUMBER(SEARCH("1B",C124))),1,IF(AND(ISNUMBER(SEARCH("2B",C124))),2,IF(AND(ISNUMBER(SEARCH("3B",C124))),3,IF(AND(ISNUMBER(SEARCH("4B",C124))),4,IF(ISNUMBER(SEARCH("5B",C124)),5,0)))))</f>
        <v>3</v>
      </c>
      <c r="C125" s="74" t="s">
        <v>72</v>
      </c>
      <c r="D125" s="74">
        <v>1</v>
      </c>
      <c r="E125" s="74" t="s">
        <v>71</v>
      </c>
      <c r="F125" s="74">
        <v>0</v>
      </c>
      <c r="G125" s="75" t="s">
        <v>80</v>
      </c>
      <c r="H125" s="76">
        <f ca="1">--TRIM(RIGHT(SUBSTITUTE(LEFT(C124,_xlfn.AGGREGATE(16,6,FIND({0,1,2,3,4,5,6,7,8,9},C124,ROW(INDIRECT("1:"&amp;LEN(C124)))),1))," ",REPT(" ",LEN(C124))),LEN(C124)))</f>
        <v>15</v>
      </c>
      <c r="I125" s="77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</v>
      </c>
      <c r="J125" s="78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1" ht="31.5" customHeight="1" x14ac:dyDescent="0.3">
      <c r="A126" s="100" t="s">
        <v>90</v>
      </c>
      <c r="B126" s="101"/>
      <c r="C126" s="102" t="str">
        <f ca="1">I124</f>
        <v>Excavation, Plinth Completed, RCC upto 9 Slab, Brickwork upto 8 Floor, Internal Plaster upto 5.2 Floor, External Plaster upto 5.2 Floor Completed</v>
      </c>
      <c r="D126" s="102"/>
      <c r="E126" s="102"/>
      <c r="F126" s="102"/>
      <c r="G126" s="102"/>
      <c r="H126" s="103"/>
      <c r="I126" s="77" t="str">
        <f ca="1">IF(I125&lt;&gt;""," Completed","")</f>
        <v xml:space="preserve"> Completed</v>
      </c>
      <c r="J126" s="78" t="str">
        <f ca="1">IF(J124&lt;&gt;"","Completed","")</f>
        <v>Completed</v>
      </c>
    </row>
    <row r="127" spans="1:11" x14ac:dyDescent="0.3">
      <c r="A127" s="104" t="s">
        <v>49</v>
      </c>
      <c r="B127" s="105"/>
      <c r="C127" s="79" t="s">
        <v>139</v>
      </c>
      <c r="D127" s="79" t="s">
        <v>83</v>
      </c>
      <c r="E127" s="105" t="s">
        <v>85</v>
      </c>
      <c r="F127" s="105"/>
      <c r="G127" s="105" t="s">
        <v>84</v>
      </c>
      <c r="H127" s="106"/>
      <c r="I127" s="80" t="s">
        <v>141</v>
      </c>
      <c r="J127" s="81">
        <f ca="1">H125*25%</f>
        <v>3.75</v>
      </c>
    </row>
    <row r="128" spans="1:11" s="70" customFormat="1" x14ac:dyDescent="0.3">
      <c r="A128" s="104" t="s">
        <v>128</v>
      </c>
      <c r="B128" s="105"/>
      <c r="C128" s="79">
        <f ca="1">J129</f>
        <v>15</v>
      </c>
      <c r="D128" s="82">
        <f ca="1">((100/H125)*C128)/100</f>
        <v>1</v>
      </c>
      <c r="E128" s="107">
        <f ca="1">(((C129/H125*10)+(40/(D125+F125+H125)*C130)+(7.5/(H125)*C131)+(7.5/(H125)*C132)+(10/H125*C133)+(10/H125*C134)+(5/H125*C135)+(5/H125*C136)+(5/H125*C137))/100)</f>
        <v>0.42566666666666669</v>
      </c>
      <c r="F128" s="108"/>
      <c r="G128" s="107">
        <f ca="1">((((C128/H125)*20)+((C129/H125)*25)+(30/(H125+F125+D125)*C130)+(5/H125*C131)+(5/H125*C132)+(5/H125*C133)+(5/H125*C134)+(0/H125*C135)+(0/H125*C136)+(5/H125*C137))/100)</f>
        <v>0.68008333333333337</v>
      </c>
      <c r="H128" s="113"/>
      <c r="I128" s="80" t="s">
        <v>101</v>
      </c>
      <c r="J128" s="83">
        <f ca="1">H125*50%</f>
        <v>7.5</v>
      </c>
      <c r="K128" s="14"/>
    </row>
    <row r="129" spans="1:11" s="70" customFormat="1" x14ac:dyDescent="0.3">
      <c r="A129" s="104" t="s">
        <v>50</v>
      </c>
      <c r="B129" s="105"/>
      <c r="C129" s="90">
        <f ca="1">J137</f>
        <v>15</v>
      </c>
      <c r="D129" s="82">
        <f ca="1">((100/H125)*C129)/100</f>
        <v>1</v>
      </c>
      <c r="E129" s="109"/>
      <c r="F129" s="110"/>
      <c r="G129" s="109"/>
      <c r="H129" s="114"/>
      <c r="I129" s="80" t="s">
        <v>102</v>
      </c>
      <c r="J129" s="83">
        <f ca="1">H125</f>
        <v>15</v>
      </c>
      <c r="K129" s="14"/>
    </row>
    <row r="130" spans="1:11" s="70" customFormat="1" x14ac:dyDescent="0.3">
      <c r="A130" s="104" t="s">
        <v>129</v>
      </c>
      <c r="B130" s="105"/>
      <c r="C130" s="79">
        <v>9</v>
      </c>
      <c r="D130" s="82">
        <f ca="1">((100/(D125+F125+H125))*C130)/100</f>
        <v>0.5625</v>
      </c>
      <c r="E130" s="109"/>
      <c r="F130" s="110"/>
      <c r="G130" s="109"/>
      <c r="H130" s="114"/>
      <c r="I130" s="80" t="s">
        <v>103</v>
      </c>
      <c r="J130" s="84">
        <f ca="1">(IF(B125&gt;1,(H125/(B125+2)),H125/4))</f>
        <v>3</v>
      </c>
      <c r="K130" s="14"/>
    </row>
    <row r="131" spans="1:11" s="70" customFormat="1" x14ac:dyDescent="0.3">
      <c r="A131" s="104" t="s">
        <v>136</v>
      </c>
      <c r="B131" s="105" t="s">
        <v>130</v>
      </c>
      <c r="C131" s="79">
        <f>C130-F125-D125</f>
        <v>8</v>
      </c>
      <c r="D131" s="82">
        <f ca="1">((100/H125)*C131)/100</f>
        <v>0.53333333333333333</v>
      </c>
      <c r="E131" s="109"/>
      <c r="F131" s="110"/>
      <c r="G131" s="109"/>
      <c r="H131" s="114"/>
      <c r="I131" s="80" t="s">
        <v>104</v>
      </c>
      <c r="J131" s="84">
        <f ca="1">(IF(B125&gt;1,(H125/(B125+2)+J130),H125/4+J130))</f>
        <v>6</v>
      </c>
      <c r="K131" s="14"/>
    </row>
    <row r="132" spans="1:11" s="70" customFormat="1" x14ac:dyDescent="0.3">
      <c r="A132" s="104" t="s">
        <v>137</v>
      </c>
      <c r="B132" s="105" t="s">
        <v>130</v>
      </c>
      <c r="C132" s="90">
        <f>C131*0.65</f>
        <v>5.2</v>
      </c>
      <c r="D132" s="82">
        <f ca="1">((100/H125)*C132)/100</f>
        <v>0.34666666666666673</v>
      </c>
      <c r="E132" s="109"/>
      <c r="F132" s="110"/>
      <c r="G132" s="109"/>
      <c r="H132" s="114"/>
      <c r="I132" s="80" t="s">
        <v>146</v>
      </c>
      <c r="J132" s="84">
        <f ca="1">(IF(B125&gt;1,(H125/(B125+2)+J131),0))</f>
        <v>9</v>
      </c>
      <c r="K132" s="14"/>
    </row>
    <row r="133" spans="1:11" s="70" customFormat="1" x14ac:dyDescent="0.3">
      <c r="A133" s="104" t="s">
        <v>135</v>
      </c>
      <c r="B133" s="105" t="s">
        <v>132</v>
      </c>
      <c r="C133" s="90">
        <f>C132</f>
        <v>5.2</v>
      </c>
      <c r="D133" s="82">
        <f ca="1">((100/(H125))*C133)/100</f>
        <v>0.34666666666666673</v>
      </c>
      <c r="E133" s="109"/>
      <c r="F133" s="110"/>
      <c r="G133" s="109"/>
      <c r="H133" s="114"/>
      <c r="I133" s="80" t="s">
        <v>143</v>
      </c>
      <c r="J133" s="84">
        <f ca="1">(IF(B125&gt;2,(H125/(B125+2)+J132),0))</f>
        <v>12</v>
      </c>
      <c r="K133" s="14"/>
    </row>
    <row r="134" spans="1:11" s="70" customFormat="1" x14ac:dyDescent="0.3">
      <c r="A134" s="104" t="s">
        <v>131</v>
      </c>
      <c r="B134" s="105" t="s">
        <v>131</v>
      </c>
      <c r="C134" s="79">
        <v>0</v>
      </c>
      <c r="D134" s="82">
        <f ca="1">((100/H125)*C134)/100</f>
        <v>0</v>
      </c>
      <c r="E134" s="109"/>
      <c r="F134" s="110"/>
      <c r="G134" s="109"/>
      <c r="H134" s="114"/>
      <c r="I134" s="80" t="s">
        <v>144</v>
      </c>
      <c r="J134" s="85">
        <f>(IF(B125&gt;3,(H125/(B125+2)+J133),0))</f>
        <v>0</v>
      </c>
      <c r="K134" s="14"/>
    </row>
    <row r="135" spans="1:11" s="70" customFormat="1" x14ac:dyDescent="0.3">
      <c r="A135" s="104" t="s">
        <v>138</v>
      </c>
      <c r="B135" s="105"/>
      <c r="C135" s="79">
        <v>0</v>
      </c>
      <c r="D135" s="82">
        <f ca="1">((100/H125)*C135)/100</f>
        <v>0</v>
      </c>
      <c r="E135" s="109"/>
      <c r="F135" s="110"/>
      <c r="G135" s="109"/>
      <c r="H135" s="114"/>
      <c r="I135" s="80" t="s">
        <v>145</v>
      </c>
      <c r="J135" s="84">
        <f>(IF(B125&gt;4,(H125/(B125+2)+J134),0))</f>
        <v>0</v>
      </c>
      <c r="K135" s="14"/>
    </row>
    <row r="136" spans="1:11" x14ac:dyDescent="0.3">
      <c r="A136" s="104" t="s">
        <v>133</v>
      </c>
      <c r="B136" s="105" t="s">
        <v>133</v>
      </c>
      <c r="C136" s="79">
        <v>0</v>
      </c>
      <c r="D136" s="82">
        <f ca="1">((100/(H125))*C136)/100</f>
        <v>0</v>
      </c>
      <c r="E136" s="109"/>
      <c r="F136" s="110"/>
      <c r="G136" s="109"/>
      <c r="H136" s="114"/>
      <c r="I136" s="80" t="s">
        <v>147</v>
      </c>
      <c r="J136" s="84">
        <f>(IF(B125=1,(H125/(B125+3)+J131),IF(B125=0,(H125/4+J131),IF(B125&gt;1,0))))</f>
        <v>0</v>
      </c>
    </row>
    <row r="137" spans="1:11" s="21" customFormat="1" ht="16.2" thickBot="1" x14ac:dyDescent="0.35">
      <c r="A137" s="116" t="s">
        <v>134</v>
      </c>
      <c r="B137" s="117"/>
      <c r="C137" s="86">
        <v>0</v>
      </c>
      <c r="D137" s="87">
        <f ca="1">((100/(H125))*C137)/100</f>
        <v>0</v>
      </c>
      <c r="E137" s="111"/>
      <c r="F137" s="112"/>
      <c r="G137" s="111"/>
      <c r="H137" s="115"/>
      <c r="I137" s="88" t="s">
        <v>105</v>
      </c>
      <c r="J137" s="89">
        <f ca="1">(IF(B125&gt;1.5,(H125/(B125+2)+J131+MAX(0,J132-J131)+MAX(0,J133-J132)+MAX(0,J134-J133)+MAX(0,J135-J134)+MAX(0,J136-J135)),IF(B125=1,(H125/(B125+3)+J136),IF(B125=0,H125/4+J136))))</f>
        <v>15</v>
      </c>
      <c r="K137" s="14"/>
    </row>
    <row r="138" spans="1:11" s="22" customFormat="1" ht="15.75" customHeight="1" x14ac:dyDescent="0.3">
      <c r="A138" s="173" t="s">
        <v>140</v>
      </c>
      <c r="B138" s="174"/>
      <c r="C138" s="175" t="s">
        <v>339</v>
      </c>
      <c r="D138" s="176"/>
      <c r="E138" s="176"/>
      <c r="F138" s="176"/>
      <c r="G138" s="176"/>
      <c r="H138" s="177"/>
      <c r="I138" s="71" t="str">
        <f ca="1">IF(D151=100%,"All work Completed. Possession granted to the Building.",IF(D150=100%,"All work Completed, Waiting for OC",I139&amp;""&amp;I140&amp;""&amp;J139&amp;""&amp;J138&amp;" "&amp;J140))</f>
        <v xml:space="preserve">Excavation, Plinth Completed </v>
      </c>
      <c r="J138" s="72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/>
      </c>
      <c r="K138" s="14"/>
    </row>
    <row r="139" spans="1:11" s="22" customFormat="1" ht="15.75" customHeight="1" x14ac:dyDescent="0.3">
      <c r="A139" s="73" t="s">
        <v>142</v>
      </c>
      <c r="B139" s="74">
        <f>IF(AND(ISNUMBER(SEARCH("1B",C138))),1,IF(AND(ISNUMBER(SEARCH("2B",C138))),2,IF(AND(ISNUMBER(SEARCH("3B",C138))),3,IF(AND(ISNUMBER(SEARCH("4B",C138))),4,IF(ISNUMBER(SEARCH("5B",C138)),5,0)))))</f>
        <v>3</v>
      </c>
      <c r="C139" s="74" t="s">
        <v>72</v>
      </c>
      <c r="D139" s="74">
        <v>1</v>
      </c>
      <c r="E139" s="74" t="s">
        <v>71</v>
      </c>
      <c r="F139" s="74">
        <v>0</v>
      </c>
      <c r="G139" s="75" t="s">
        <v>80</v>
      </c>
      <c r="H139" s="76">
        <f ca="1">--TRIM(RIGHT(SUBSTITUTE(LEFT(C138,_xlfn.AGGREGATE(16,6,FIND({0,1,2,3,4,5,6,7,8,9},C138,ROW(INDIRECT("1:"&amp;LEN(C138)))),1))," ",REPT(" ",LEN(C138))),LEN(C138)))</f>
        <v>13</v>
      </c>
      <c r="I139" s="77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78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  <c r="K139" s="14"/>
    </row>
    <row r="140" spans="1:11" s="22" customFormat="1" x14ac:dyDescent="0.3">
      <c r="A140" s="100" t="s">
        <v>90</v>
      </c>
      <c r="B140" s="101"/>
      <c r="C140" s="102" t="str">
        <f ca="1">(IF($G$53="NA",I138,"All work Completed. OC Received."))</f>
        <v xml:space="preserve">Excavation, Plinth Completed </v>
      </c>
      <c r="D140" s="102"/>
      <c r="E140" s="102"/>
      <c r="F140" s="102"/>
      <c r="G140" s="102"/>
      <c r="H140" s="103"/>
      <c r="I140" s="77" t="str">
        <f ca="1">IF(I139&lt;&gt;""," Completed","")</f>
        <v xml:space="preserve"> Completed</v>
      </c>
      <c r="J140" s="78" t="str">
        <f ca="1">IF(J138&lt;&gt;"","Completed","")</f>
        <v/>
      </c>
      <c r="K140" s="14"/>
    </row>
    <row r="141" spans="1:11" s="22" customFormat="1" x14ac:dyDescent="0.3">
      <c r="A141" s="104" t="s">
        <v>49</v>
      </c>
      <c r="B141" s="105"/>
      <c r="C141" s="79" t="s">
        <v>139</v>
      </c>
      <c r="D141" s="79" t="s">
        <v>83</v>
      </c>
      <c r="E141" s="105" t="s">
        <v>85</v>
      </c>
      <c r="F141" s="105"/>
      <c r="G141" s="105" t="s">
        <v>84</v>
      </c>
      <c r="H141" s="106"/>
      <c r="I141" s="80" t="s">
        <v>141</v>
      </c>
      <c r="J141" s="81">
        <f ca="1">H139*25%</f>
        <v>3.25</v>
      </c>
      <c r="K141" s="14"/>
    </row>
    <row r="142" spans="1:11" s="22" customFormat="1" x14ac:dyDescent="0.25">
      <c r="A142" s="104" t="s">
        <v>128</v>
      </c>
      <c r="B142" s="105"/>
      <c r="C142" s="79">
        <f ca="1">J143</f>
        <v>13</v>
      </c>
      <c r="D142" s="82">
        <f ca="1">((100/H139)*C142)/100</f>
        <v>1</v>
      </c>
      <c r="E142" s="107">
        <f ca="1">(((C143/H139*10)+(40/(D139+F139+H139)*C144)+(7.5/(H139)*C145)+(7.5/(H139)*C146)+(10/H139*C147)+(10/H139*C148)+(5/H139*C149)+(5/H139*C150)+(5/H139*C151))/100)</f>
        <v>0.10000000000000002</v>
      </c>
      <c r="F142" s="108"/>
      <c r="G142" s="107">
        <f ca="1">((((C142/H139)*20)+((C143/H139)*25)+(30/(H139+F139+D139)*C144)+(5/H139*C145)+(5/H139*C146)+(5/H139*C147)+(5/H139*C148)+(0/H139*C149)+(0/H139*C150)+(5/H139*C151))/100)</f>
        <v>0.45000000000000007</v>
      </c>
      <c r="H142" s="113"/>
      <c r="I142" s="80" t="s">
        <v>101</v>
      </c>
      <c r="J142" s="83">
        <f ca="1">H139*50%</f>
        <v>6.5</v>
      </c>
      <c r="K142" s="70"/>
    </row>
    <row r="143" spans="1:11" s="22" customFormat="1" x14ac:dyDescent="0.25">
      <c r="A143" s="104" t="s">
        <v>50</v>
      </c>
      <c r="B143" s="105"/>
      <c r="C143" s="90">
        <f ca="1">J151</f>
        <v>13.000000000000002</v>
      </c>
      <c r="D143" s="82">
        <f ca="1">((100/H139)*C143)/100</f>
        <v>1.0000000000000002</v>
      </c>
      <c r="E143" s="109"/>
      <c r="F143" s="110"/>
      <c r="G143" s="109"/>
      <c r="H143" s="114"/>
      <c r="I143" s="80" t="s">
        <v>102</v>
      </c>
      <c r="J143" s="83">
        <f ca="1">H139</f>
        <v>13</v>
      </c>
      <c r="K143" s="70"/>
    </row>
    <row r="144" spans="1:11" s="22" customFormat="1" x14ac:dyDescent="0.3">
      <c r="A144" s="104" t="s">
        <v>129</v>
      </c>
      <c r="B144" s="105"/>
      <c r="C144" s="79">
        <v>0</v>
      </c>
      <c r="D144" s="82">
        <f ca="1">((100/(D139+F139+H139))*C144)/100</f>
        <v>0</v>
      </c>
      <c r="E144" s="109"/>
      <c r="F144" s="110"/>
      <c r="G144" s="109"/>
      <c r="H144" s="114"/>
      <c r="I144" s="80" t="s">
        <v>103</v>
      </c>
      <c r="J144" s="84">
        <f ca="1">(IF(B139&gt;1,(H139/(B139+2)),H139/4))</f>
        <v>2.6</v>
      </c>
      <c r="K144" s="70"/>
    </row>
    <row r="145" spans="1:11" s="22" customFormat="1" x14ac:dyDescent="0.3">
      <c r="A145" s="104" t="s">
        <v>136</v>
      </c>
      <c r="B145" s="105" t="s">
        <v>130</v>
      </c>
      <c r="C145" s="79">
        <v>0</v>
      </c>
      <c r="D145" s="82">
        <f ca="1">((100/H139)*C145)/100</f>
        <v>0</v>
      </c>
      <c r="E145" s="109"/>
      <c r="F145" s="110"/>
      <c r="G145" s="109"/>
      <c r="H145" s="114"/>
      <c r="I145" s="80" t="s">
        <v>104</v>
      </c>
      <c r="J145" s="84">
        <f ca="1">(IF(B139&gt;1,(H139/(B139+2)+J144),H139/4+J144))</f>
        <v>5.2</v>
      </c>
      <c r="K145" s="70"/>
    </row>
    <row r="146" spans="1:11" s="22" customFormat="1" x14ac:dyDescent="0.3">
      <c r="A146" s="104" t="s">
        <v>137</v>
      </c>
      <c r="B146" s="105" t="s">
        <v>130</v>
      </c>
      <c r="C146" s="79">
        <v>0</v>
      </c>
      <c r="D146" s="82">
        <f ca="1">((100/H139)*C146)/100</f>
        <v>0</v>
      </c>
      <c r="E146" s="109"/>
      <c r="F146" s="110"/>
      <c r="G146" s="109"/>
      <c r="H146" s="114"/>
      <c r="I146" s="80" t="s">
        <v>146</v>
      </c>
      <c r="J146" s="84">
        <f ca="1">(IF(B139&gt;1,(H139/(B139+2)+J145),0))</f>
        <v>7.8000000000000007</v>
      </c>
      <c r="K146" s="70"/>
    </row>
    <row r="147" spans="1:11" s="22" customFormat="1" x14ac:dyDescent="0.3">
      <c r="A147" s="104" t="s">
        <v>135</v>
      </c>
      <c r="B147" s="105" t="s">
        <v>132</v>
      </c>
      <c r="C147" s="79">
        <v>0</v>
      </c>
      <c r="D147" s="82">
        <f ca="1">((100/(H139))*C147)/100</f>
        <v>0</v>
      </c>
      <c r="E147" s="109"/>
      <c r="F147" s="110"/>
      <c r="G147" s="109"/>
      <c r="H147" s="114"/>
      <c r="I147" s="80" t="s">
        <v>143</v>
      </c>
      <c r="J147" s="84">
        <f ca="1">(IF(B139&gt;2,(H139/(B139+2)+J146),0))</f>
        <v>10.4</v>
      </c>
      <c r="K147" s="70"/>
    </row>
    <row r="148" spans="1:11" s="22" customFormat="1" x14ac:dyDescent="0.3">
      <c r="A148" s="104" t="s">
        <v>131</v>
      </c>
      <c r="B148" s="105" t="s">
        <v>131</v>
      </c>
      <c r="C148" s="79">
        <v>0</v>
      </c>
      <c r="D148" s="82">
        <f ca="1">((100/H139)*C148)/100</f>
        <v>0</v>
      </c>
      <c r="E148" s="109"/>
      <c r="F148" s="110"/>
      <c r="G148" s="109"/>
      <c r="H148" s="114"/>
      <c r="I148" s="80" t="s">
        <v>144</v>
      </c>
      <c r="J148" s="85">
        <f>(IF(B139&gt;3,(H139/(B139+2)+J147),0))</f>
        <v>0</v>
      </c>
      <c r="K148" s="70"/>
    </row>
    <row r="149" spans="1:11" s="22" customFormat="1" x14ac:dyDescent="0.3">
      <c r="A149" s="104" t="s">
        <v>138</v>
      </c>
      <c r="B149" s="105"/>
      <c r="C149" s="79">
        <v>0</v>
      </c>
      <c r="D149" s="82">
        <f ca="1">((100/H139)*C149)/100</f>
        <v>0</v>
      </c>
      <c r="E149" s="109"/>
      <c r="F149" s="110"/>
      <c r="G149" s="109"/>
      <c r="H149" s="114"/>
      <c r="I149" s="80" t="s">
        <v>145</v>
      </c>
      <c r="J149" s="84">
        <f>(IF(B139&gt;4,(H139/(B139+2)+J148),0))</f>
        <v>0</v>
      </c>
      <c r="K149" s="70"/>
    </row>
    <row r="150" spans="1:11" s="22" customFormat="1" x14ac:dyDescent="0.3">
      <c r="A150" s="104" t="s">
        <v>133</v>
      </c>
      <c r="B150" s="105" t="s">
        <v>133</v>
      </c>
      <c r="C150" s="79">
        <v>0</v>
      </c>
      <c r="D150" s="82">
        <f ca="1">((100/(H139))*C150)/100</f>
        <v>0</v>
      </c>
      <c r="E150" s="109"/>
      <c r="F150" s="110"/>
      <c r="G150" s="109"/>
      <c r="H150" s="114"/>
      <c r="I150" s="80" t="s">
        <v>147</v>
      </c>
      <c r="J150" s="84">
        <f>(IF(B139=1,(H139/(B139+3)+J145),IF(B139=0,(H139/4+J145),IF(B139&gt;1,0))))</f>
        <v>0</v>
      </c>
      <c r="K150" s="14"/>
    </row>
    <row r="151" spans="1:11" s="22" customFormat="1" ht="15.75" customHeight="1" thickBot="1" x14ac:dyDescent="0.35">
      <c r="A151" s="116" t="s">
        <v>134</v>
      </c>
      <c r="B151" s="117"/>
      <c r="C151" s="86">
        <v>0</v>
      </c>
      <c r="D151" s="87">
        <f ca="1">((100/(H139))*C151)/100</f>
        <v>0</v>
      </c>
      <c r="E151" s="111"/>
      <c r="F151" s="112"/>
      <c r="G151" s="111"/>
      <c r="H151" s="115"/>
      <c r="I151" s="88" t="s">
        <v>105</v>
      </c>
      <c r="J151" s="89">
        <f ca="1">(IF(B139&gt;1.5,(H139/(B139+2)+J145+MAX(0,J146-J145)+MAX(0,J147-J146)+MAX(0,J148-J147)+MAX(0,J149-J148)+MAX(0,J150-J149)),IF(B139=1,(H139/(B139+3)+J150),IF(B139=0,H139/4+J150))))</f>
        <v>13.000000000000002</v>
      </c>
      <c r="K151" s="21"/>
    </row>
    <row r="152" spans="1:11" s="22" customFormat="1" ht="15.75" customHeight="1" x14ac:dyDescent="0.3">
      <c r="A152" s="118" t="s">
        <v>140</v>
      </c>
      <c r="B152" s="119"/>
      <c r="C152" s="120" t="s">
        <v>338</v>
      </c>
      <c r="D152" s="121"/>
      <c r="E152" s="121"/>
      <c r="F152" s="121"/>
      <c r="G152" s="121"/>
      <c r="H152" s="122"/>
      <c r="I152" s="71" t="str">
        <f ca="1">IF(D165=100%,"All work Completed. Possession granted to the Building.",IF(D164=100%,"All work Completed, Waiting for OC",I153&amp;""&amp;I154&amp;""&amp;J153&amp;""&amp;J152&amp;" "&amp;J154))</f>
        <v xml:space="preserve">Excavation Completed, 1st Basement Completed </v>
      </c>
      <c r="J152" s="72" t="str">
        <f ca="1">(IF(C158=(D153+F153+H153),"",IF(C158&gt;0,", RCC upto "&amp;C158&amp;" Slab","")))&amp;(IF(C159=H153,"",IF(C159&gt;0,", Brickwork upto "&amp;C159&amp;" Floor","")))&amp;(IF(C160=H153,"",IF(C160&gt;0,", Internal Plaster upto "&amp;C160&amp;" Floor","")))&amp;(IF(C161=H153,"",IF(C161&gt;0,", External Plaster upto "&amp;C161&amp;" Floor","")))&amp;(IF(C162=H153,"",IF(C162&gt;0,", Flooring upto "&amp;C162&amp;" Floor","")))&amp;(IF(C163=H153,"",IF(C163&gt;0,", Painting upto "&amp;C163&amp;" Floor","")))&amp;(IF(C164=H153,"",IF(C164&gt;0,", Finishing upto "&amp;C164&amp;" Floor","")))&amp;(IF(C165=H153,"",IF(C165&gt;0,", Possession upto "&amp;C165&amp;" Floor","")))</f>
        <v/>
      </c>
      <c r="K152" s="14"/>
    </row>
    <row r="153" spans="1:11" s="22" customFormat="1" ht="15.75" customHeight="1" x14ac:dyDescent="0.3">
      <c r="A153" s="73" t="s">
        <v>142</v>
      </c>
      <c r="B153" s="74">
        <f>IF(AND(ISNUMBER(SEARCH("1B",C152))),1,IF(AND(ISNUMBER(SEARCH("2B",C152))),2,IF(AND(ISNUMBER(SEARCH("3B",C152))),3,IF(AND(ISNUMBER(SEARCH("4B",C152))),4,IF(ISNUMBER(SEARCH("5B",C152)),5,0)))))</f>
        <v>3</v>
      </c>
      <c r="C153" s="74" t="s">
        <v>72</v>
      </c>
      <c r="D153" s="74">
        <v>1</v>
      </c>
      <c r="E153" s="74" t="s">
        <v>71</v>
      </c>
      <c r="F153" s="74">
        <v>0</v>
      </c>
      <c r="G153" s="75" t="s">
        <v>80</v>
      </c>
      <c r="H153" s="76">
        <f ca="1">--TRIM(RIGHT(SUBSTITUTE(LEFT(C152,_xlfn.AGGREGATE(16,6,FIND({0,1,2,3,4,5,6,7,8,9},C152,ROW(INDIRECT("1:"&amp;LEN(C152)))),1))," ",REPT(" ",LEN(C152))),LEN(C152)))</f>
        <v>13</v>
      </c>
      <c r="I153" s="77" t="str">
        <f ca="1">IF(D156=100%,"Excavation","")&amp;IF(D157=100%,", Plinth","")&amp;IF(D158=100%,", RCC Slab","")&amp;IF(D159=100%,", Brickwork","")&amp;IF(D160=100%,", Internal Plaster","")&amp;IF(D161=100%,", External Plaster","")&amp;IF(D162=100%,", Flooring","")&amp;IF(D163=100%,", Painting","")&amp;IF(D164=100%,", Building common Amenities","")</f>
        <v>Excavation</v>
      </c>
      <c r="J153" s="78" t="str">
        <f ca="1">(IF(C156=0,"Work not yet Started.",IF(D156=25%,"Piling work in process",IF(D156=50%,"Excavation work in process",IF(D156=100%,"","0")))))&amp;(IF(C157=0%,"",IF(C157=J158,", Footing work is process",IF(C157=J159,", Footing work Completed",IF(C157=J160,", 1st Basement Completed",IF(C157=J161,", 1st &amp; 2nd Basement Completed",IF(C157=J162,", 1st to 3rd Basement Completed",IF(C157=J163,", 1st to 4th Basement Completed",IF(C157=J164,", Plinth work is process",IF(C157=J165,"","0"))))))))))</f>
        <v>, 1st Basement Completed</v>
      </c>
      <c r="K153" s="14"/>
    </row>
    <row r="154" spans="1:11" s="22" customFormat="1" x14ac:dyDescent="0.3">
      <c r="A154" s="100" t="s">
        <v>90</v>
      </c>
      <c r="B154" s="101"/>
      <c r="C154" s="102" t="str">
        <f ca="1">(IF($G$53="NA",I152,"All work Completed. OC Received."))</f>
        <v xml:space="preserve">Excavation Completed, 1st Basement Completed </v>
      </c>
      <c r="D154" s="102"/>
      <c r="E154" s="102"/>
      <c r="F154" s="102"/>
      <c r="G154" s="102"/>
      <c r="H154" s="103"/>
      <c r="I154" s="77" t="str">
        <f ca="1">IF(I153&lt;&gt;""," Completed","")</f>
        <v xml:space="preserve"> Completed</v>
      </c>
      <c r="J154" s="78" t="str">
        <f ca="1">IF(J152&lt;&gt;"","Completed","")</f>
        <v/>
      </c>
      <c r="K154" s="14"/>
    </row>
    <row r="155" spans="1:11" s="22" customFormat="1" x14ac:dyDescent="0.3">
      <c r="A155" s="104" t="s">
        <v>49</v>
      </c>
      <c r="B155" s="105"/>
      <c r="C155" s="79" t="s">
        <v>139</v>
      </c>
      <c r="D155" s="79" t="s">
        <v>83</v>
      </c>
      <c r="E155" s="105" t="s">
        <v>85</v>
      </c>
      <c r="F155" s="105"/>
      <c r="G155" s="105" t="s">
        <v>84</v>
      </c>
      <c r="H155" s="106"/>
      <c r="I155" s="80" t="s">
        <v>141</v>
      </c>
      <c r="J155" s="81">
        <f ca="1">H153*25%</f>
        <v>3.25</v>
      </c>
      <c r="K155" s="14"/>
    </row>
    <row r="156" spans="1:11" s="22" customFormat="1" x14ac:dyDescent="0.25">
      <c r="A156" s="104" t="s">
        <v>128</v>
      </c>
      <c r="B156" s="105"/>
      <c r="C156" s="79">
        <f ca="1">J157</f>
        <v>13</v>
      </c>
      <c r="D156" s="82">
        <f ca="1">((100/H153)*C156)/100</f>
        <v>1</v>
      </c>
      <c r="E156" s="107">
        <f ca="1">(((C157/H153*10)+(40/(D153+F153+H153)*C158)+(7.5/(H153)*C159)+(7.5/(H153)*C160)+(10/H153*C161)+(10/H153*C162)+(5/H153*C163)+(5/H153*C164)+(5/H153*C165))/100)</f>
        <v>6.0000000000000012E-2</v>
      </c>
      <c r="F156" s="108"/>
      <c r="G156" s="107">
        <f ca="1">((((C156/H153)*20)+((C157/H153)*25)+(30/(H153+F153+D153)*C158)+(5/H153*C159)+(5/H153*C160)+(5/H153*C161)+(5/H153*C162)+(0/H153*C163)+(0/H153*C164)+(5/H153*C165))/100)</f>
        <v>0.35</v>
      </c>
      <c r="H156" s="113"/>
      <c r="I156" s="80" t="s">
        <v>101</v>
      </c>
      <c r="J156" s="83">
        <f ca="1">H153*50%</f>
        <v>6.5</v>
      </c>
      <c r="K156" s="70"/>
    </row>
    <row r="157" spans="1:11" s="22" customFormat="1" x14ac:dyDescent="0.25">
      <c r="A157" s="104" t="s">
        <v>50</v>
      </c>
      <c r="B157" s="105"/>
      <c r="C157" s="90">
        <f ca="1">J160</f>
        <v>7.8000000000000007</v>
      </c>
      <c r="D157" s="82">
        <f ca="1">((100/H153)*C157)/100</f>
        <v>0.60000000000000009</v>
      </c>
      <c r="E157" s="109"/>
      <c r="F157" s="110"/>
      <c r="G157" s="109"/>
      <c r="H157" s="114"/>
      <c r="I157" s="80" t="s">
        <v>102</v>
      </c>
      <c r="J157" s="83">
        <f ca="1">H153</f>
        <v>13</v>
      </c>
      <c r="K157" s="70"/>
    </row>
    <row r="158" spans="1:11" s="22" customFormat="1" x14ac:dyDescent="0.3">
      <c r="A158" s="104" t="s">
        <v>129</v>
      </c>
      <c r="B158" s="105"/>
      <c r="C158" s="79">
        <v>0</v>
      </c>
      <c r="D158" s="82">
        <f ca="1">((100/(D153+F153+H153))*C158)/100</f>
        <v>0</v>
      </c>
      <c r="E158" s="109"/>
      <c r="F158" s="110"/>
      <c r="G158" s="109"/>
      <c r="H158" s="114"/>
      <c r="I158" s="80" t="s">
        <v>103</v>
      </c>
      <c r="J158" s="84">
        <f ca="1">(IF(B153&gt;1,(H153/(B153+2)),H153/4))</f>
        <v>2.6</v>
      </c>
      <c r="K158" s="70"/>
    </row>
    <row r="159" spans="1:11" s="22" customFormat="1" x14ac:dyDescent="0.3">
      <c r="A159" s="104" t="s">
        <v>136</v>
      </c>
      <c r="B159" s="105" t="s">
        <v>130</v>
      </c>
      <c r="C159" s="79">
        <v>0</v>
      </c>
      <c r="D159" s="82">
        <f ca="1">((100/H153)*C159)/100</f>
        <v>0</v>
      </c>
      <c r="E159" s="109"/>
      <c r="F159" s="110"/>
      <c r="G159" s="109"/>
      <c r="H159" s="114"/>
      <c r="I159" s="80" t="s">
        <v>104</v>
      </c>
      <c r="J159" s="84">
        <f ca="1">(IF(B153&gt;1,(H153/(B153+2)+J158),H153/4+J158))</f>
        <v>5.2</v>
      </c>
      <c r="K159" s="70"/>
    </row>
    <row r="160" spans="1:11" s="22" customFormat="1" x14ac:dyDescent="0.3">
      <c r="A160" s="104" t="s">
        <v>137</v>
      </c>
      <c r="B160" s="105" t="s">
        <v>130</v>
      </c>
      <c r="C160" s="79">
        <v>0</v>
      </c>
      <c r="D160" s="82">
        <f ca="1">((100/H153)*C160)/100</f>
        <v>0</v>
      </c>
      <c r="E160" s="109"/>
      <c r="F160" s="110"/>
      <c r="G160" s="109"/>
      <c r="H160" s="114"/>
      <c r="I160" s="80" t="s">
        <v>146</v>
      </c>
      <c r="J160" s="84">
        <f ca="1">(IF(B153&gt;1,(H153/(B153+2)+J159),0))</f>
        <v>7.8000000000000007</v>
      </c>
      <c r="K160" s="70"/>
    </row>
    <row r="161" spans="1:14" s="22" customFormat="1" x14ac:dyDescent="0.3">
      <c r="A161" s="104" t="s">
        <v>135</v>
      </c>
      <c r="B161" s="105" t="s">
        <v>132</v>
      </c>
      <c r="C161" s="79">
        <v>0</v>
      </c>
      <c r="D161" s="82">
        <f ca="1">((100/(H153))*C161)/100</f>
        <v>0</v>
      </c>
      <c r="E161" s="109"/>
      <c r="F161" s="110"/>
      <c r="G161" s="109"/>
      <c r="H161" s="114"/>
      <c r="I161" s="80" t="s">
        <v>143</v>
      </c>
      <c r="J161" s="84">
        <f ca="1">(IF(B153&gt;2,(H153/(B153+2)+J160),0))</f>
        <v>10.4</v>
      </c>
      <c r="K161" s="70"/>
    </row>
    <row r="162" spans="1:14" s="22" customFormat="1" x14ac:dyDescent="0.3">
      <c r="A162" s="104" t="s">
        <v>131</v>
      </c>
      <c r="B162" s="105" t="s">
        <v>131</v>
      </c>
      <c r="C162" s="79">
        <v>0</v>
      </c>
      <c r="D162" s="82">
        <f ca="1">((100/H153)*C162)/100</f>
        <v>0</v>
      </c>
      <c r="E162" s="109"/>
      <c r="F162" s="110"/>
      <c r="G162" s="109"/>
      <c r="H162" s="114"/>
      <c r="I162" s="80" t="s">
        <v>144</v>
      </c>
      <c r="J162" s="85">
        <f>(IF(B153&gt;3,(H153/(B153+2)+J161),0))</f>
        <v>0</v>
      </c>
      <c r="K162" s="70"/>
    </row>
    <row r="163" spans="1:14" s="22" customFormat="1" x14ac:dyDescent="0.3">
      <c r="A163" s="104" t="s">
        <v>138</v>
      </c>
      <c r="B163" s="105"/>
      <c r="C163" s="79">
        <v>0</v>
      </c>
      <c r="D163" s="82">
        <f ca="1">((100/H153)*C163)/100</f>
        <v>0</v>
      </c>
      <c r="E163" s="109"/>
      <c r="F163" s="110"/>
      <c r="G163" s="109"/>
      <c r="H163" s="114"/>
      <c r="I163" s="80" t="s">
        <v>145</v>
      </c>
      <c r="J163" s="84">
        <f>(IF(B153&gt;4,(H153/(B153+2)+J162),0))</f>
        <v>0</v>
      </c>
      <c r="K163" s="70"/>
    </row>
    <row r="164" spans="1:14" s="22" customFormat="1" x14ac:dyDescent="0.3">
      <c r="A164" s="104" t="s">
        <v>133</v>
      </c>
      <c r="B164" s="105" t="s">
        <v>133</v>
      </c>
      <c r="C164" s="79">
        <v>0</v>
      </c>
      <c r="D164" s="82">
        <f ca="1">((100/(H153))*C164)/100</f>
        <v>0</v>
      </c>
      <c r="E164" s="109"/>
      <c r="F164" s="110"/>
      <c r="G164" s="109"/>
      <c r="H164" s="114"/>
      <c r="I164" s="80" t="s">
        <v>147</v>
      </c>
      <c r="J164" s="84">
        <f>(IF(B153=1,(H153/(B153+3)+J159),IF(B153=0,(H153/4+J159),IF(B153&gt;1,0))))</f>
        <v>0</v>
      </c>
      <c r="K164" s="14"/>
    </row>
    <row r="165" spans="1:14" s="22" customFormat="1" ht="15.75" customHeight="1" thickBot="1" x14ac:dyDescent="0.35">
      <c r="A165" s="116" t="s">
        <v>134</v>
      </c>
      <c r="B165" s="117"/>
      <c r="C165" s="86">
        <v>0</v>
      </c>
      <c r="D165" s="87">
        <f ca="1">((100/(H153))*C165)/100</f>
        <v>0</v>
      </c>
      <c r="E165" s="111"/>
      <c r="F165" s="112"/>
      <c r="G165" s="111"/>
      <c r="H165" s="115"/>
      <c r="I165" s="88" t="s">
        <v>105</v>
      </c>
      <c r="J165" s="89">
        <f ca="1">(IF(B153&gt;1.5,(H153/(B153+2)+J159+MAX(0,J160-J159)+MAX(0,J161-J160)+MAX(0,J162-J161)+MAX(0,J163-J162)+MAX(0,J164-J163)),IF(B153=1,(H153/(B153+3)+J164),IF(B153=0,H153/4+J164))))</f>
        <v>13.000000000000002</v>
      </c>
      <c r="K165" s="21"/>
    </row>
    <row r="166" spans="1:14" s="22" customFormat="1" x14ac:dyDescent="0.3">
      <c r="A166" s="173" t="s">
        <v>140</v>
      </c>
      <c r="B166" s="174"/>
      <c r="C166" s="175" t="s">
        <v>329</v>
      </c>
      <c r="D166" s="176"/>
      <c r="E166" s="176"/>
      <c r="F166" s="176"/>
      <c r="G166" s="176"/>
      <c r="H166" s="177"/>
      <c r="I166" s="71" t="str">
        <f ca="1">IF(D179=100%,"All work Completed. Possession granted to the Building.",IF(D178=100%,"All work Completed, Waiting for OC",I167&amp;""&amp;I168&amp;""&amp;J167&amp;""&amp;J166&amp;" "&amp;J168))</f>
        <v xml:space="preserve">Excavation work in process </v>
      </c>
      <c r="J166" s="72" t="str">
        <f ca="1">(IF(C172=(D167+F167+H167),"",IF(C172&gt;0,", RCC upto "&amp;C172&amp;" Slab","")))&amp;(IF(C173=H167,"",IF(C173&gt;0,", Brickwork upto "&amp;C173&amp;" Floor","")))&amp;(IF(C174=H167,"",IF(C174&gt;0,", Internal Plaster upto "&amp;C174&amp;" Floor","")))&amp;(IF(C175=H167,"",IF(C175&gt;0,", External Plaster upto "&amp;C175&amp;" Floor","")))&amp;(IF(C176=H167,"",IF(C176&gt;0,", Flooring upto "&amp;C176&amp;" Floor","")))&amp;(IF(C177=H167,"",IF(C177&gt;0,", Painting upto "&amp;C177&amp;" Floor","")))&amp;(IF(C178=H167,"",IF(C178&gt;0,", Finishing upto "&amp;C178&amp;" Floor","")))&amp;(IF(C179=H167,"",IF(C179&gt;0,", Possession upto "&amp;C179&amp;" Floor","")))</f>
        <v/>
      </c>
      <c r="L166" s="66"/>
      <c r="M166" s="66"/>
      <c r="N166" s="66"/>
    </row>
    <row r="167" spans="1:14" s="21" customFormat="1" x14ac:dyDescent="0.3">
      <c r="A167" s="73" t="s">
        <v>142</v>
      </c>
      <c r="B167" s="74">
        <f>IF(AND(ISNUMBER(SEARCH("1B",C166))),1,IF(AND(ISNUMBER(SEARCH("2B",C166))),2,IF(AND(ISNUMBER(SEARCH("3B",C166))),3,IF(AND(ISNUMBER(SEARCH("4B",C166))),4,IF(ISNUMBER(SEARCH("5B",C166)),5,0)))))</f>
        <v>3</v>
      </c>
      <c r="C167" s="74" t="s">
        <v>72</v>
      </c>
      <c r="D167" s="74">
        <v>1</v>
      </c>
      <c r="E167" s="74" t="s">
        <v>71</v>
      </c>
      <c r="F167" s="74">
        <v>0</v>
      </c>
      <c r="G167" s="75" t="s">
        <v>80</v>
      </c>
      <c r="H167" s="76">
        <f ca="1">--TRIM(RIGHT(SUBSTITUTE(LEFT(C166,_xlfn.AGGREGATE(16,6,FIND({0,1,2,3,4,5,6,7,8,9},C166,ROW(INDIRECT("1:"&amp;LEN(C166)))),1))," ",REPT(" ",LEN(C166))),LEN(C166)))</f>
        <v>14</v>
      </c>
      <c r="I167" s="77" t="str">
        <f ca="1">IF(D170=100%,"Excavation","")&amp;IF(D171=100%,", Plinth","")&amp;IF(D172=100%,", RCC Slab","")&amp;IF(D173=100%,", Brickwork","")&amp;IF(D174=100%,", Internal Plaster","")&amp;IF(D175=100%,", External Plaster","")&amp;IF(D176=100%,", Flooring","")&amp;IF(D177=100%,", Painting","")&amp;IF(D178=100%,", Building common Amenities","")</f>
        <v/>
      </c>
      <c r="J167" s="78" t="str">
        <f ca="1">(IF(C170=0,"Work not yet Started.",IF(D170=25%,"Piling work in process",IF(D170=50%,"Excavation work in process",IF(D170=100%,"","0")))))&amp;(IF(C171=0%,"",IF(C171=J172,", Footing work is process",IF(C171=J173,", Footing work Completed",IF(C171=J174,", 1st Basement Completed",IF(C171=J175,", 1st &amp; 2nd Basement Completed",IF(C171=J176,", 1st to 3rd Basement Completed",IF(C171=J177,", 1st to 4th Basement Completed",IF(C171=J178,", Plinth work is process",IF(C171=J179,"","0"))))))))))</f>
        <v>Excavation work in process</v>
      </c>
      <c r="K167" s="22"/>
    </row>
    <row r="168" spans="1:14" x14ac:dyDescent="0.3">
      <c r="A168" s="100" t="s">
        <v>90</v>
      </c>
      <c r="B168" s="101"/>
      <c r="C168" s="102" t="str">
        <f ca="1">(IF($G$53="NA",I166,"All work Completed. OC Received."))</f>
        <v xml:space="preserve">Excavation work in process </v>
      </c>
      <c r="D168" s="102"/>
      <c r="E168" s="102"/>
      <c r="F168" s="102"/>
      <c r="G168" s="102"/>
      <c r="H168" s="103"/>
      <c r="I168" s="77" t="str">
        <f ca="1">IF(I167&lt;&gt;""," Completed","")</f>
        <v/>
      </c>
      <c r="J168" s="78" t="str">
        <f ca="1">IF(J166&lt;&gt;"","Completed","")</f>
        <v/>
      </c>
      <c r="K168" s="22"/>
    </row>
    <row r="169" spans="1:14" x14ac:dyDescent="0.3">
      <c r="A169" s="104" t="s">
        <v>49</v>
      </c>
      <c r="B169" s="105"/>
      <c r="C169" s="79" t="s">
        <v>139</v>
      </c>
      <c r="D169" s="79" t="s">
        <v>83</v>
      </c>
      <c r="E169" s="105" t="s">
        <v>85</v>
      </c>
      <c r="F169" s="105"/>
      <c r="G169" s="105" t="s">
        <v>84</v>
      </c>
      <c r="H169" s="106"/>
      <c r="I169" s="80" t="s">
        <v>141</v>
      </c>
      <c r="J169" s="81">
        <f ca="1">H167*25%</f>
        <v>3.5</v>
      </c>
      <c r="K169" s="22"/>
    </row>
    <row r="170" spans="1:14" s="24" customFormat="1" x14ac:dyDescent="0.25">
      <c r="A170" s="105" t="s">
        <v>128</v>
      </c>
      <c r="B170" s="105"/>
      <c r="C170" s="79">
        <f ca="1">J170</f>
        <v>7</v>
      </c>
      <c r="D170" s="82">
        <f ca="1">((100/H167)*C170)/100</f>
        <v>0.5</v>
      </c>
      <c r="E170" s="193">
        <f ca="1">(((C171/H167*10)+(40/(D167+F167+H167)*C172)+(7.5/(H167)*C173)+(7.5/(H167)*C174)+(10/H167*C175)+(10/H167*C176)+(5/H167*C177)+(5/H167*C178)+(5/H167*C179))/100)</f>
        <v>0</v>
      </c>
      <c r="F170" s="193"/>
      <c r="G170" s="193">
        <f ca="1">((((C170/H167)*20)+((C171/H167)*25)+(30/(H167+F167+D167)*C172)+(5/H167*C173)+(5/H167*C174)+(5/H167*C175)+(5/H167*C176)+(0/H167*C177)+(0/H167*C178)+(5/H167*C179))/100)</f>
        <v>0.1</v>
      </c>
      <c r="H170" s="193"/>
      <c r="I170" s="80" t="s">
        <v>101</v>
      </c>
      <c r="J170" s="83">
        <f ca="1">H167*50%</f>
        <v>7</v>
      </c>
      <c r="K170" s="22"/>
    </row>
    <row r="171" spans="1:14" s="24" customFormat="1" x14ac:dyDescent="0.25">
      <c r="A171" s="105" t="s">
        <v>50</v>
      </c>
      <c r="B171" s="105"/>
      <c r="C171" s="79">
        <v>0</v>
      </c>
      <c r="D171" s="82">
        <f ca="1">((100/H167)*C171)/100</f>
        <v>0</v>
      </c>
      <c r="E171" s="193"/>
      <c r="F171" s="193"/>
      <c r="G171" s="193"/>
      <c r="H171" s="193"/>
      <c r="I171" s="80" t="s">
        <v>102</v>
      </c>
      <c r="J171" s="83">
        <f ca="1">H167</f>
        <v>14</v>
      </c>
      <c r="K171" s="22"/>
    </row>
    <row r="172" spans="1:14" s="24" customFormat="1" x14ac:dyDescent="0.3">
      <c r="A172" s="105" t="s">
        <v>129</v>
      </c>
      <c r="B172" s="105"/>
      <c r="C172" s="79">
        <v>0</v>
      </c>
      <c r="D172" s="82">
        <f ca="1">((100/(D167+F167+H167))*C172)/100</f>
        <v>0</v>
      </c>
      <c r="E172" s="193"/>
      <c r="F172" s="193"/>
      <c r="G172" s="193"/>
      <c r="H172" s="193"/>
      <c r="I172" s="80" t="s">
        <v>103</v>
      </c>
      <c r="J172" s="84">
        <f ca="1">(IF(B167&gt;1,(H167/(B167+2)),H167/4))</f>
        <v>2.8</v>
      </c>
      <c r="K172" s="22"/>
    </row>
    <row r="173" spans="1:14" s="24" customFormat="1" x14ac:dyDescent="0.3">
      <c r="A173" s="105" t="s">
        <v>136</v>
      </c>
      <c r="B173" s="105" t="s">
        <v>130</v>
      </c>
      <c r="C173" s="79">
        <v>0</v>
      </c>
      <c r="D173" s="82">
        <f ca="1">((100/H167)*C173)/100</f>
        <v>0</v>
      </c>
      <c r="E173" s="193"/>
      <c r="F173" s="193"/>
      <c r="G173" s="193"/>
      <c r="H173" s="193"/>
      <c r="I173" s="80" t="s">
        <v>104</v>
      </c>
      <c r="J173" s="84">
        <f ca="1">(IF(B167&gt;1,(H167/(B167+2)+J172),H167/4+J172))</f>
        <v>5.6</v>
      </c>
      <c r="K173" s="22"/>
    </row>
    <row r="174" spans="1:14" s="24" customFormat="1" x14ac:dyDescent="0.3">
      <c r="A174" s="105" t="s">
        <v>137</v>
      </c>
      <c r="B174" s="105" t="s">
        <v>130</v>
      </c>
      <c r="C174" s="79">
        <v>0</v>
      </c>
      <c r="D174" s="82">
        <f ca="1">((100/H167)*C174)/100</f>
        <v>0</v>
      </c>
      <c r="E174" s="193"/>
      <c r="F174" s="193"/>
      <c r="G174" s="193"/>
      <c r="H174" s="193"/>
      <c r="I174" s="80" t="s">
        <v>146</v>
      </c>
      <c r="J174" s="84">
        <f ca="1">(IF(B167&gt;1,(H167/(B167+2)+J173),0))</f>
        <v>8.3999999999999986</v>
      </c>
      <c r="K174" s="22"/>
    </row>
    <row r="175" spans="1:14" s="24" customFormat="1" x14ac:dyDescent="0.3">
      <c r="A175" s="105" t="s">
        <v>135</v>
      </c>
      <c r="B175" s="105" t="s">
        <v>132</v>
      </c>
      <c r="C175" s="79">
        <v>0</v>
      </c>
      <c r="D175" s="82">
        <f ca="1">((100/(H167))*C175)/100</f>
        <v>0</v>
      </c>
      <c r="E175" s="193"/>
      <c r="F175" s="193"/>
      <c r="G175" s="193"/>
      <c r="H175" s="193"/>
      <c r="I175" s="80" t="s">
        <v>143</v>
      </c>
      <c r="J175" s="84">
        <f ca="1">(IF(B167&gt;2,(H167/(B167+2)+J174),0))</f>
        <v>11.2</v>
      </c>
      <c r="K175" s="22"/>
    </row>
    <row r="176" spans="1:14" s="24" customFormat="1" x14ac:dyDescent="0.3">
      <c r="A176" s="105" t="s">
        <v>131</v>
      </c>
      <c r="B176" s="105" t="s">
        <v>131</v>
      </c>
      <c r="C176" s="79">
        <v>0</v>
      </c>
      <c r="D176" s="82">
        <f ca="1">((100/H167)*C176)/100</f>
        <v>0</v>
      </c>
      <c r="E176" s="193"/>
      <c r="F176" s="193"/>
      <c r="G176" s="193"/>
      <c r="H176" s="193"/>
      <c r="I176" s="80" t="s">
        <v>144</v>
      </c>
      <c r="J176" s="85">
        <f>(IF(B167&gt;3,(H167/(B167+2)+J175),0))</f>
        <v>0</v>
      </c>
      <c r="K176" s="22"/>
      <c r="L176" s="125"/>
      <c r="M176" s="125"/>
      <c r="N176" s="23"/>
    </row>
    <row r="177" spans="1:14" s="24" customFormat="1" x14ac:dyDescent="0.3">
      <c r="A177" s="105" t="s">
        <v>138</v>
      </c>
      <c r="B177" s="105"/>
      <c r="C177" s="79">
        <v>0</v>
      </c>
      <c r="D177" s="82">
        <f ca="1">((100/H167)*C177)/100</f>
        <v>0</v>
      </c>
      <c r="E177" s="193"/>
      <c r="F177" s="193"/>
      <c r="G177" s="193"/>
      <c r="H177" s="193"/>
      <c r="I177" s="80" t="s">
        <v>145</v>
      </c>
      <c r="J177" s="84">
        <f>(IF(B167&gt;4,(H167/(B167+2)+J176),0))</f>
        <v>0</v>
      </c>
      <c r="K177" s="22"/>
      <c r="L177" s="125"/>
      <c r="M177" s="125"/>
      <c r="N177" s="23"/>
    </row>
    <row r="178" spans="1:14" s="24" customFormat="1" x14ac:dyDescent="0.3">
      <c r="A178" s="105" t="s">
        <v>133</v>
      </c>
      <c r="B178" s="105" t="s">
        <v>133</v>
      </c>
      <c r="C178" s="79">
        <v>0</v>
      </c>
      <c r="D178" s="82">
        <f ca="1">((100/(H167))*C178)/100</f>
        <v>0</v>
      </c>
      <c r="E178" s="193"/>
      <c r="F178" s="193"/>
      <c r="G178" s="193"/>
      <c r="H178" s="193"/>
      <c r="I178" s="80" t="s">
        <v>147</v>
      </c>
      <c r="J178" s="84">
        <f>(IF(B167=1,(H167/(B167+3)+J173),IF(B167=0,(H167/4+J173),IF(B167&gt;1,0))))</f>
        <v>0</v>
      </c>
      <c r="K178" s="22"/>
      <c r="L178" s="125"/>
      <c r="M178" s="125"/>
      <c r="N178" s="23"/>
    </row>
    <row r="179" spans="1:14" s="24" customFormat="1" ht="16.2" thickBot="1" x14ac:dyDescent="0.35">
      <c r="A179" s="105" t="s">
        <v>134</v>
      </c>
      <c r="B179" s="105"/>
      <c r="C179" s="79">
        <v>0</v>
      </c>
      <c r="D179" s="82">
        <f ca="1">((100/(H167))*C179)/100</f>
        <v>0</v>
      </c>
      <c r="E179" s="193"/>
      <c r="F179" s="193"/>
      <c r="G179" s="193"/>
      <c r="H179" s="193"/>
      <c r="I179" s="88" t="s">
        <v>105</v>
      </c>
      <c r="J179" s="89">
        <f ca="1">(IF(B167&gt;1.5,(H167/(B167+2)+J173+MAX(0,J174-J173)+MAX(0,J175-J174)+MAX(0,J176-J175)+MAX(0,J177-J176)+MAX(0,J178-J177)),IF(B167=1,(H167/(B167+3)+J178),IF(B167=0,H167/4+J178))))</f>
        <v>13.999999999999998</v>
      </c>
      <c r="K179" s="22"/>
      <c r="L179" s="125"/>
      <c r="M179" s="125"/>
      <c r="N179" s="23"/>
    </row>
    <row r="180" spans="1:14" s="24" customFormat="1" x14ac:dyDescent="0.3">
      <c r="A180" s="170" t="s">
        <v>140</v>
      </c>
      <c r="B180" s="170"/>
      <c r="C180" s="102" t="s">
        <v>332</v>
      </c>
      <c r="D180" s="102"/>
      <c r="E180" s="102"/>
      <c r="F180" s="102"/>
      <c r="G180" s="102"/>
      <c r="H180" s="102"/>
      <c r="I180" s="93" t="str">
        <f ca="1">IF(D193=100%,"All work Completed. Possession granted to the Building.",IF(D192=100%,"All work Completed, Waiting for OC",I181&amp;""&amp;I182&amp;""&amp;J181&amp;""&amp;J180&amp;" "&amp;J182))</f>
        <v xml:space="preserve">Excavation work in process </v>
      </c>
      <c r="J180" s="72" t="str">
        <f ca="1">(IF(C186=(D181+F181+H181),"",IF(C186&gt;0,", RCC upto "&amp;C186&amp;" Slab","")))&amp;(IF(C187=H181,"",IF(C187&gt;0,", Brickwork upto "&amp;C187&amp;" Floor","")))&amp;(IF(C188=H181,"",IF(C188&gt;0,", Internal Plaster upto "&amp;C188&amp;" Floor","")))&amp;(IF(C189=H181,"",IF(C189&gt;0,", External Plaster upto "&amp;C189&amp;" Floor","")))&amp;(IF(C190=H181,"",IF(C190&gt;0,", Flooring upto "&amp;C190&amp;" Floor","")))&amp;(IF(C191=H181,"",IF(C191&gt;0,", Painting upto "&amp;C191&amp;" Floor","")))&amp;(IF(C192=H181,"",IF(C192&gt;0,", Finishing upto "&amp;C192&amp;" Floor","")))&amp;(IF(C193=H181,"",IF(C193&gt;0,", Possession upto "&amp;C193&amp;" Floor","")))</f>
        <v/>
      </c>
      <c r="K180" s="66"/>
      <c r="L180" s="125"/>
      <c r="M180" s="125"/>
      <c r="N180" s="23"/>
    </row>
    <row r="181" spans="1:14" s="24" customFormat="1" ht="15.75" customHeight="1" x14ac:dyDescent="0.3">
      <c r="A181" s="74" t="s">
        <v>142</v>
      </c>
      <c r="B181" s="74">
        <f>IF(AND(ISNUMBER(SEARCH("1B",C180))),1,IF(AND(ISNUMBER(SEARCH("2B",C180))),2,IF(AND(ISNUMBER(SEARCH("3B",C180))),3,IF(AND(ISNUMBER(SEARCH("4B",C180))),4,IF(ISNUMBER(SEARCH("5B",C180)),5,0)))))</f>
        <v>3</v>
      </c>
      <c r="C181" s="74" t="s">
        <v>72</v>
      </c>
      <c r="D181" s="74">
        <v>1</v>
      </c>
      <c r="E181" s="74" t="s">
        <v>71</v>
      </c>
      <c r="F181" s="74">
        <v>0</v>
      </c>
      <c r="G181" s="75" t="s">
        <v>80</v>
      </c>
      <c r="H181" s="74">
        <f ca="1">--TRIM(RIGHT(SUBSTITUTE(LEFT(C180,_xlfn.AGGREGATE(16,6,FIND({0,1,2,3,4,5,6,7,8,9},C180,ROW(INDIRECT("1:"&amp;LEN(C180)))),1))," ",REPT(" ",LEN(C180))),LEN(C180)))</f>
        <v>13</v>
      </c>
      <c r="I181" s="94" t="str">
        <f ca="1">IF(D184=100%,"Excavation","")&amp;IF(D185=100%,", Plinth","")&amp;IF(D186=100%,", RCC Slab","")&amp;IF(D187=100%,", Brickwork","")&amp;IF(D188=100%,", Internal Plaster","")&amp;IF(D189=100%,", External Plaster","")&amp;IF(D190=100%,", Flooring","")&amp;IF(D191=100%,", Painting","")&amp;IF(D192=100%,", Building common Amenities","")</f>
        <v/>
      </c>
      <c r="J181" s="78" t="str">
        <f ca="1">(IF(C184=0,"Work not yet Started.",IF(D184=25%,"Piling work in process",IF(D184=50%,"Excavation work in process",IF(D184=100%,"","0")))))&amp;(IF(C185=0%,"",IF(C185=J186,", Footing work is process",IF(C185=J187,", Footing work Completed",IF(C185=J188,", 1st Basement Completed",IF(C185=J189,", 1st &amp; 2nd Basement Completed",IF(C185=J190,", 1st to 3rd Basement Completed",IF(C185=J191,", 1st to 4th Basement Completed",IF(C185=J192,", Plinth work is process",IF(C185=J193,"","0"))))))))))</f>
        <v>Excavation work in process</v>
      </c>
      <c r="K181" s="21"/>
      <c r="L181" s="125"/>
      <c r="M181" s="125"/>
      <c r="N181" s="23"/>
    </row>
    <row r="182" spans="1:14" s="24" customFormat="1" ht="15.75" customHeight="1" x14ac:dyDescent="0.3">
      <c r="A182" s="101" t="s">
        <v>90</v>
      </c>
      <c r="B182" s="101"/>
      <c r="C182" s="102" t="str">
        <f ca="1">(IF($G$53="NA",I180,"All work Completed. OC Received."))</f>
        <v xml:space="preserve">Excavation work in process </v>
      </c>
      <c r="D182" s="102"/>
      <c r="E182" s="102"/>
      <c r="F182" s="102"/>
      <c r="G182" s="102"/>
      <c r="H182" s="102"/>
      <c r="I182" s="94" t="str">
        <f ca="1">IF(I181&lt;&gt;""," Completed","")</f>
        <v/>
      </c>
      <c r="J182" s="78" t="str">
        <f ca="1">IF(J180&lt;&gt;"","Completed","")</f>
        <v/>
      </c>
      <c r="K182" s="14"/>
      <c r="L182" s="125"/>
      <c r="M182" s="125"/>
      <c r="N182" s="23"/>
    </row>
    <row r="183" spans="1:14" s="24" customFormat="1" x14ac:dyDescent="0.3">
      <c r="A183" s="104" t="s">
        <v>49</v>
      </c>
      <c r="B183" s="105"/>
      <c r="C183" s="79" t="s">
        <v>139</v>
      </c>
      <c r="D183" s="79" t="s">
        <v>83</v>
      </c>
      <c r="E183" s="105" t="s">
        <v>85</v>
      </c>
      <c r="F183" s="105"/>
      <c r="G183" s="105" t="s">
        <v>84</v>
      </c>
      <c r="H183" s="106"/>
      <c r="I183" s="80" t="s">
        <v>141</v>
      </c>
      <c r="J183" s="81">
        <f ca="1">H181*25%</f>
        <v>3.25</v>
      </c>
      <c r="K183" s="14"/>
    </row>
    <row r="184" spans="1:14" s="24" customFormat="1" x14ac:dyDescent="0.25">
      <c r="A184" s="104" t="s">
        <v>128</v>
      </c>
      <c r="B184" s="105"/>
      <c r="C184" s="79">
        <f ca="1">J184</f>
        <v>6.5</v>
      </c>
      <c r="D184" s="82">
        <f ca="1">((100/H181)*C184)/100</f>
        <v>0.5</v>
      </c>
      <c r="E184" s="107">
        <f ca="1">(((C185/H181*10)+(40/(D181+F181+H181)*C186)+(7.5/(H181)*C187)+(7.5/(H181)*C188)+(10/H181*C189)+(10/H181*C190)+(5/H181*C191)+(5/H181*C192)+(5/H181*C193))/100)</f>
        <v>0</v>
      </c>
      <c r="F184" s="108"/>
      <c r="G184" s="107">
        <f ca="1">((((C184/H181)*20)+((C185/H181)*25)+(30/(H181+F181+D181)*C186)+(5/H181*C187)+(5/H181*C188)+(5/H181*C189)+(5/H181*C190)+(0/H181*C191)+(0/H181*C192)+(5/H181*C193))/100)</f>
        <v>0.1</v>
      </c>
      <c r="H184" s="113"/>
      <c r="I184" s="80" t="s">
        <v>101</v>
      </c>
      <c r="J184" s="83">
        <f ca="1">H181*50%</f>
        <v>6.5</v>
      </c>
    </row>
    <row r="185" spans="1:14" s="24" customFormat="1" ht="15.75" customHeight="1" x14ac:dyDescent="0.25">
      <c r="A185" s="104" t="s">
        <v>50</v>
      </c>
      <c r="B185" s="105"/>
      <c r="C185" s="90">
        <v>0</v>
      </c>
      <c r="D185" s="82">
        <f ca="1">((100/H181)*C185)/100</f>
        <v>0</v>
      </c>
      <c r="E185" s="109"/>
      <c r="F185" s="110"/>
      <c r="G185" s="109"/>
      <c r="H185" s="114"/>
      <c r="I185" s="80" t="s">
        <v>102</v>
      </c>
      <c r="J185" s="83">
        <f ca="1">H181</f>
        <v>13</v>
      </c>
      <c r="L185" s="125"/>
      <c r="M185" s="125"/>
      <c r="N185" s="23"/>
    </row>
    <row r="186" spans="1:14" s="24" customFormat="1" ht="15.75" customHeight="1" x14ac:dyDescent="0.3">
      <c r="A186" s="104" t="s">
        <v>129</v>
      </c>
      <c r="B186" s="105"/>
      <c r="C186" s="79">
        <v>0</v>
      </c>
      <c r="D186" s="82">
        <f ca="1">((100/(D181+F181+H181))*C186)/100</f>
        <v>0</v>
      </c>
      <c r="E186" s="109"/>
      <c r="F186" s="110"/>
      <c r="G186" s="109"/>
      <c r="H186" s="114"/>
      <c r="I186" s="80" t="s">
        <v>103</v>
      </c>
      <c r="J186" s="84">
        <f ca="1">(IF(B181&gt;1,(H181/(B181+2)),H181/4))</f>
        <v>2.6</v>
      </c>
      <c r="L186" s="125"/>
      <c r="M186" s="125"/>
      <c r="N186" s="23"/>
    </row>
    <row r="187" spans="1:14" s="24" customFormat="1" ht="15.75" customHeight="1" x14ac:dyDescent="0.3">
      <c r="A187" s="104" t="s">
        <v>136</v>
      </c>
      <c r="B187" s="105" t="s">
        <v>130</v>
      </c>
      <c r="C187" s="79">
        <v>0</v>
      </c>
      <c r="D187" s="82">
        <f ca="1">((100/H181)*C187)/100</f>
        <v>0</v>
      </c>
      <c r="E187" s="109"/>
      <c r="F187" s="110"/>
      <c r="G187" s="109"/>
      <c r="H187" s="114"/>
      <c r="I187" s="80" t="s">
        <v>104</v>
      </c>
      <c r="J187" s="84">
        <f ca="1">(IF(B181&gt;1,(H181/(B181+2)+J186),H181/4+J186))</f>
        <v>5.2</v>
      </c>
      <c r="L187" s="125"/>
      <c r="M187" s="125"/>
      <c r="N187" s="23"/>
    </row>
    <row r="188" spans="1:14" s="24" customFormat="1" ht="15.75" customHeight="1" x14ac:dyDescent="0.3">
      <c r="A188" s="104" t="s">
        <v>137</v>
      </c>
      <c r="B188" s="105" t="s">
        <v>130</v>
      </c>
      <c r="C188" s="79">
        <v>0</v>
      </c>
      <c r="D188" s="82">
        <f ca="1">((100/H181)*C188)/100</f>
        <v>0</v>
      </c>
      <c r="E188" s="109"/>
      <c r="F188" s="110"/>
      <c r="G188" s="109"/>
      <c r="H188" s="114"/>
      <c r="I188" s="80" t="s">
        <v>146</v>
      </c>
      <c r="J188" s="84">
        <f ca="1">(IF(B181&gt;1,(H181/(B181+2)+J187),0))</f>
        <v>7.8000000000000007</v>
      </c>
      <c r="L188" s="125"/>
      <c r="M188" s="125"/>
      <c r="N188" s="23"/>
    </row>
    <row r="189" spans="1:14" s="24" customFormat="1" ht="15.75" customHeight="1" x14ac:dyDescent="0.3">
      <c r="A189" s="104" t="s">
        <v>135</v>
      </c>
      <c r="B189" s="105" t="s">
        <v>132</v>
      </c>
      <c r="C189" s="79">
        <v>0</v>
      </c>
      <c r="D189" s="82">
        <f ca="1">((100/(H181))*C189)/100</f>
        <v>0</v>
      </c>
      <c r="E189" s="109"/>
      <c r="F189" s="110"/>
      <c r="G189" s="109"/>
      <c r="H189" s="114"/>
      <c r="I189" s="80" t="s">
        <v>143</v>
      </c>
      <c r="J189" s="84">
        <f ca="1">(IF(B181&gt;2,(H181/(B181+2)+J188),0))</f>
        <v>10.4</v>
      </c>
      <c r="L189" s="125"/>
      <c r="M189" s="125"/>
      <c r="N189" s="23"/>
    </row>
    <row r="190" spans="1:14" s="24" customFormat="1" ht="15.75" customHeight="1" x14ac:dyDescent="0.3">
      <c r="A190" s="104" t="s">
        <v>131</v>
      </c>
      <c r="B190" s="105" t="s">
        <v>131</v>
      </c>
      <c r="C190" s="79">
        <v>0</v>
      </c>
      <c r="D190" s="82">
        <f ca="1">((100/H181)*C190)/100</f>
        <v>0</v>
      </c>
      <c r="E190" s="109"/>
      <c r="F190" s="110"/>
      <c r="G190" s="109"/>
      <c r="H190" s="114"/>
      <c r="I190" s="80" t="s">
        <v>144</v>
      </c>
      <c r="J190" s="85">
        <f>(IF(B181&gt;3,(H181/(B181+2)+J189),0))</f>
        <v>0</v>
      </c>
      <c r="K190" s="24">
        <f t="shared" ref="K190:K196" si="0">F246/D246</f>
        <v>2.0539980924339072</v>
      </c>
      <c r="L190" s="125"/>
      <c r="M190" s="125"/>
      <c r="N190" s="23"/>
    </row>
    <row r="191" spans="1:14" s="24" customFormat="1" ht="15.75" customHeight="1" x14ac:dyDescent="0.3">
      <c r="A191" s="104" t="s">
        <v>138</v>
      </c>
      <c r="B191" s="105"/>
      <c r="C191" s="79">
        <v>0</v>
      </c>
      <c r="D191" s="82">
        <f ca="1">((100/H181)*C191)/100</f>
        <v>0</v>
      </c>
      <c r="E191" s="109"/>
      <c r="F191" s="110"/>
      <c r="G191" s="109"/>
      <c r="H191" s="114"/>
      <c r="I191" s="80" t="s">
        <v>145</v>
      </c>
      <c r="J191" s="84">
        <f>(IF(B181&gt;4,(H181/(B181+2)+J190),0))</f>
        <v>0</v>
      </c>
      <c r="K191" s="24">
        <f t="shared" si="0"/>
        <v>2.0652968751569025</v>
      </c>
      <c r="L191" s="125"/>
      <c r="M191" s="125"/>
      <c r="N191" s="23"/>
    </row>
    <row r="192" spans="1:14" s="24" customFormat="1" ht="15.75" customHeight="1" x14ac:dyDescent="0.3">
      <c r="A192" s="104" t="s">
        <v>133</v>
      </c>
      <c r="B192" s="105" t="s">
        <v>133</v>
      </c>
      <c r="C192" s="79">
        <v>0</v>
      </c>
      <c r="D192" s="82">
        <f ca="1">((100/(H181))*C192)/100</f>
        <v>0</v>
      </c>
      <c r="E192" s="109"/>
      <c r="F192" s="110"/>
      <c r="G192" s="109"/>
      <c r="H192" s="114"/>
      <c r="I192" s="80" t="s">
        <v>147</v>
      </c>
      <c r="J192" s="84">
        <f>(IF(B181=1,(H181/(B181+3)+J187),IF(B181=0,(H181/4+J187),IF(B181&gt;1,0))))</f>
        <v>0</v>
      </c>
      <c r="K192" s="24">
        <f t="shared" si="0"/>
        <v>2.0718227309768427</v>
      </c>
      <c r="L192" s="125"/>
      <c r="M192" s="125"/>
      <c r="N192" s="23"/>
    </row>
    <row r="193" spans="1:14" s="24" customFormat="1" ht="16.2" thickBot="1" x14ac:dyDescent="0.35">
      <c r="A193" s="116" t="s">
        <v>134</v>
      </c>
      <c r="B193" s="117"/>
      <c r="C193" s="86">
        <v>0</v>
      </c>
      <c r="D193" s="87">
        <f ca="1">((100/(H181))*C193)/100</f>
        <v>0</v>
      </c>
      <c r="E193" s="111"/>
      <c r="F193" s="112"/>
      <c r="G193" s="111"/>
      <c r="H193" s="115"/>
      <c r="I193" s="88" t="s">
        <v>105</v>
      </c>
      <c r="J193" s="89">
        <f ca="1">(IF(B181&gt;1.5,(H181/(B181+2)+J187+MAX(0,J188-J187)+MAX(0,J189-J188)+MAX(0,J190-J189)+MAX(0,J191-J190)+MAX(0,J192-J191)),IF(B181=1,(H181/(B181+3)+J192),IF(B181=0,H181/4+J192))))</f>
        <v>13.000000000000002</v>
      </c>
      <c r="K193" s="24">
        <f t="shared" si="0"/>
        <v>2.0664178383285652</v>
      </c>
    </row>
    <row r="194" spans="1:14" s="24" customFormat="1" x14ac:dyDescent="0.3">
      <c r="A194" s="140" t="s">
        <v>155</v>
      </c>
      <c r="B194" s="140"/>
      <c r="C194" s="140"/>
      <c r="D194" s="140"/>
      <c r="E194" s="140"/>
      <c r="F194" s="184" t="s">
        <v>159</v>
      </c>
      <c r="G194" s="184"/>
      <c r="H194" s="184"/>
      <c r="I194" s="14"/>
      <c r="J194" s="14"/>
      <c r="K194" s="24">
        <f t="shared" si="0"/>
        <v>2.0636788122610428</v>
      </c>
    </row>
    <row r="195" spans="1:14" s="24" customFormat="1" ht="15.75" customHeight="1" x14ac:dyDescent="0.3">
      <c r="A195" s="128" t="s">
        <v>157</v>
      </c>
      <c r="B195" s="128"/>
      <c r="C195" s="128"/>
      <c r="D195" s="128"/>
      <c r="E195" s="128"/>
      <c r="F195" s="139">
        <v>15500</v>
      </c>
      <c r="G195" s="139"/>
      <c r="H195" s="139"/>
      <c r="I195" s="14"/>
      <c r="J195" s="14"/>
      <c r="K195" s="24">
        <f t="shared" si="0"/>
        <v>2.0565061054547149</v>
      </c>
      <c r="L195" s="125"/>
      <c r="M195" s="125"/>
      <c r="N195" s="23"/>
    </row>
    <row r="196" spans="1:14" s="24" customFormat="1" ht="15.75" customHeight="1" x14ac:dyDescent="0.3">
      <c r="A196" s="128" t="s">
        <v>156</v>
      </c>
      <c r="B196" s="128"/>
      <c r="C196" s="128"/>
      <c r="D196" s="128"/>
      <c r="E196" s="128"/>
      <c r="F196" s="139">
        <v>23000</v>
      </c>
      <c r="G196" s="139"/>
      <c r="H196" s="139"/>
      <c r="I196" s="14"/>
      <c r="J196" s="14"/>
      <c r="K196" s="24">
        <f t="shared" si="0"/>
        <v>2.0531210429678417</v>
      </c>
      <c r="L196" s="125"/>
      <c r="M196" s="125"/>
      <c r="N196" s="23"/>
    </row>
    <row r="197" spans="1:14" s="24" customFormat="1" ht="15.75" hidden="1" customHeight="1" x14ac:dyDescent="0.3">
      <c r="A197" s="128" t="s">
        <v>158</v>
      </c>
      <c r="B197" s="128"/>
      <c r="C197" s="128"/>
      <c r="D197" s="128"/>
      <c r="E197" s="128"/>
      <c r="F197" s="139"/>
      <c r="G197" s="139"/>
      <c r="H197" s="139"/>
      <c r="I197" s="14"/>
      <c r="J197" s="14"/>
      <c r="L197" s="125"/>
      <c r="M197" s="125"/>
      <c r="N197" s="23"/>
    </row>
    <row r="198" spans="1:14" s="24" customFormat="1" ht="15.75" hidden="1" customHeight="1" x14ac:dyDescent="0.25">
      <c r="A198" s="128" t="s">
        <v>174</v>
      </c>
      <c r="B198" s="128"/>
      <c r="C198" s="128"/>
      <c r="D198" s="128"/>
      <c r="E198" s="128"/>
      <c r="F198" s="139"/>
      <c r="G198" s="139"/>
      <c r="H198" s="139"/>
      <c r="I198" s="70"/>
      <c r="J198" s="70"/>
      <c r="L198" s="125"/>
      <c r="M198" s="125"/>
      <c r="N198" s="23"/>
    </row>
    <row r="199" spans="1:14" s="24" customFormat="1" ht="15.75" hidden="1" customHeight="1" x14ac:dyDescent="0.25">
      <c r="A199" s="128" t="s">
        <v>95</v>
      </c>
      <c r="B199" s="128"/>
      <c r="C199" s="128"/>
      <c r="D199" s="128"/>
      <c r="E199" s="128"/>
      <c r="F199" s="139"/>
      <c r="G199" s="139"/>
      <c r="H199" s="139"/>
      <c r="I199" s="70"/>
      <c r="J199" s="70"/>
      <c r="K199" s="24">
        <f t="shared" ref="K199:K206" si="1">F255/D255</f>
        <v>2.0539980924339072</v>
      </c>
      <c r="L199" s="125"/>
      <c r="M199" s="125"/>
      <c r="N199" s="23"/>
    </row>
    <row r="200" spans="1:14" s="24" customFormat="1" ht="15.75" hidden="1" customHeight="1" x14ac:dyDescent="0.25">
      <c r="A200" s="128" t="s">
        <v>96</v>
      </c>
      <c r="B200" s="128"/>
      <c r="C200" s="128"/>
      <c r="D200" s="128"/>
      <c r="E200" s="128"/>
      <c r="F200" s="139"/>
      <c r="G200" s="139"/>
      <c r="H200" s="139"/>
      <c r="I200" s="70"/>
      <c r="J200" s="70"/>
      <c r="K200" s="24">
        <f t="shared" si="1"/>
        <v>2.0652968751569025</v>
      </c>
      <c r="L200" s="125"/>
      <c r="M200" s="125"/>
      <c r="N200" s="23"/>
    </row>
    <row r="201" spans="1:14" s="24" customFormat="1" ht="15.75" hidden="1" customHeight="1" x14ac:dyDescent="0.25">
      <c r="A201" s="128" t="s">
        <v>160</v>
      </c>
      <c r="B201" s="128"/>
      <c r="C201" s="128"/>
      <c r="D201" s="128"/>
      <c r="E201" s="128"/>
      <c r="F201" s="139"/>
      <c r="G201" s="139"/>
      <c r="H201" s="139"/>
      <c r="I201" s="70"/>
      <c r="J201" s="70"/>
      <c r="K201" s="24">
        <f t="shared" si="1"/>
        <v>2.0720646645948282</v>
      </c>
      <c r="L201" s="125"/>
      <c r="M201" s="125"/>
      <c r="N201" s="23"/>
    </row>
    <row r="202" spans="1:14" s="24" customFormat="1" ht="15.75" hidden="1" customHeight="1" x14ac:dyDescent="0.25">
      <c r="A202" s="128" t="s">
        <v>97</v>
      </c>
      <c r="B202" s="128"/>
      <c r="C202" s="128"/>
      <c r="D202" s="128"/>
      <c r="E202" s="128"/>
      <c r="F202" s="139"/>
      <c r="G202" s="139"/>
      <c r="H202" s="139"/>
      <c r="I202" s="70"/>
      <c r="J202" s="70"/>
      <c r="K202" s="24">
        <f t="shared" si="1"/>
        <v>2.0664178383285652</v>
      </c>
      <c r="L202" s="125"/>
      <c r="M202" s="125"/>
      <c r="N202" s="23"/>
    </row>
    <row r="203" spans="1:14" s="24" customFormat="1" hidden="1" x14ac:dyDescent="0.25">
      <c r="A203" s="128" t="s">
        <v>98</v>
      </c>
      <c r="B203" s="128"/>
      <c r="C203" s="128"/>
      <c r="D203" s="128"/>
      <c r="E203" s="128"/>
      <c r="F203" s="139"/>
      <c r="G203" s="139"/>
      <c r="H203" s="139"/>
      <c r="I203" s="70"/>
      <c r="J203" s="70"/>
      <c r="K203" s="24">
        <f t="shared" si="1"/>
        <v>2.0664178383285652</v>
      </c>
    </row>
    <row r="204" spans="1:14" s="24" customFormat="1" hidden="1" x14ac:dyDescent="0.25">
      <c r="A204" s="128" t="s">
        <v>99</v>
      </c>
      <c r="B204" s="128"/>
      <c r="C204" s="128"/>
      <c r="D204" s="128"/>
      <c r="E204" s="128"/>
      <c r="F204" s="139"/>
      <c r="G204" s="139"/>
      <c r="H204" s="139"/>
      <c r="I204" s="70"/>
      <c r="J204" s="70"/>
      <c r="K204" s="24">
        <f t="shared" si="1"/>
        <v>2.0720646645948282</v>
      </c>
    </row>
    <row r="205" spans="1:14" s="24" customFormat="1" ht="15.75" hidden="1" customHeight="1" x14ac:dyDescent="0.25">
      <c r="A205" s="128" t="s">
        <v>100</v>
      </c>
      <c r="B205" s="128"/>
      <c r="C205" s="128"/>
      <c r="D205" s="128"/>
      <c r="E205" s="128"/>
      <c r="F205" s="139"/>
      <c r="G205" s="139"/>
      <c r="H205" s="139"/>
      <c r="I205" s="70"/>
      <c r="J205" s="70"/>
      <c r="K205" s="24">
        <f t="shared" si="1"/>
        <v>2.0652968751569025</v>
      </c>
      <c r="L205" s="125"/>
      <c r="M205" s="125"/>
      <c r="N205" s="23"/>
    </row>
    <row r="206" spans="1:14" s="24" customFormat="1" ht="15.75" customHeight="1" x14ac:dyDescent="0.3">
      <c r="A206" s="128" t="s">
        <v>51</v>
      </c>
      <c r="B206" s="128"/>
      <c r="C206" s="128"/>
      <c r="D206" s="128"/>
      <c r="E206" s="128"/>
      <c r="F206" s="221">
        <v>800000</v>
      </c>
      <c r="G206" s="221"/>
      <c r="H206" s="221"/>
      <c r="I206" s="14"/>
      <c r="J206" s="14"/>
      <c r="K206" s="24">
        <f t="shared" si="1"/>
        <v>2.0539980924339072</v>
      </c>
      <c r="L206" s="125"/>
      <c r="M206" s="125"/>
      <c r="N206" s="23"/>
    </row>
    <row r="207" spans="1:14" s="24" customFormat="1" ht="15.75" customHeight="1" x14ac:dyDescent="0.3">
      <c r="A207" s="171" t="s">
        <v>52</v>
      </c>
      <c r="B207" s="171"/>
      <c r="C207" s="171"/>
      <c r="D207" s="171"/>
      <c r="E207" s="171"/>
      <c r="F207" s="139">
        <f>F195*0.8</f>
        <v>12400</v>
      </c>
      <c r="G207" s="139"/>
      <c r="H207" s="139"/>
      <c r="I207" s="21"/>
      <c r="J207" s="21"/>
      <c r="L207" s="125"/>
      <c r="M207" s="125"/>
      <c r="N207" s="23"/>
    </row>
    <row r="208" spans="1:14" s="24" customFormat="1" ht="15.75" customHeight="1" x14ac:dyDescent="0.3">
      <c r="A208" s="220" t="s">
        <v>75</v>
      </c>
      <c r="B208" s="220"/>
      <c r="C208" s="220"/>
      <c r="D208" s="220"/>
      <c r="E208" s="220"/>
      <c r="F208" s="220"/>
      <c r="G208" s="220"/>
      <c r="H208" s="220"/>
      <c r="I208" s="22"/>
      <c r="J208" s="22"/>
      <c r="L208" s="125"/>
      <c r="M208" s="125"/>
      <c r="N208" s="23"/>
    </row>
    <row r="209" spans="1:14" s="24" customFormat="1" ht="15.75" customHeight="1" x14ac:dyDescent="0.3">
      <c r="A209" s="188" t="s">
        <v>53</v>
      </c>
      <c r="B209" s="188"/>
      <c r="C209" s="259" t="s">
        <v>78</v>
      </c>
      <c r="D209" s="259"/>
      <c r="E209" s="236" t="s">
        <v>54</v>
      </c>
      <c r="F209" s="236"/>
      <c r="G209" s="188" t="s">
        <v>55</v>
      </c>
      <c r="H209" s="188"/>
      <c r="I209" s="22"/>
      <c r="J209" s="22"/>
      <c r="K209" s="24">
        <f t="shared" ref="K209:K216" si="2">F265/D265</f>
        <v>2.0518702095180044</v>
      </c>
      <c r="L209" s="125"/>
      <c r="M209" s="125"/>
      <c r="N209" s="23"/>
    </row>
    <row r="210" spans="1:14" s="24" customFormat="1" ht="15.75" customHeight="1" x14ac:dyDescent="0.3">
      <c r="A210" s="126" t="s">
        <v>256</v>
      </c>
      <c r="B210" s="126"/>
      <c r="C210" s="185">
        <f>COUNT(D246:D252)</f>
        <v>7</v>
      </c>
      <c r="D210" s="186"/>
      <c r="E210" s="158">
        <f>SUM(D246:D252)</f>
        <v>5167.9126512000003</v>
      </c>
      <c r="F210" s="159"/>
      <c r="G210" s="158">
        <f>SUM(F246:F252)</f>
        <v>10645</v>
      </c>
      <c r="H210" s="159"/>
      <c r="I210" s="22"/>
      <c r="J210" s="22"/>
      <c r="K210" s="24">
        <f t="shared" si="2"/>
        <v>2.06311495698173</v>
      </c>
      <c r="L210" s="125"/>
      <c r="M210" s="125"/>
      <c r="N210" s="23"/>
    </row>
    <row r="211" spans="1:14" s="24" customFormat="1" ht="15.75" customHeight="1" x14ac:dyDescent="0.3">
      <c r="A211" s="165" t="s">
        <v>257</v>
      </c>
      <c r="B211" s="166"/>
      <c r="C211" s="185">
        <f>COUNT(D255:D262)</f>
        <v>8</v>
      </c>
      <c r="D211" s="186"/>
      <c r="E211" s="158">
        <f>SUM(D255:D262)</f>
        <v>4754.3511600000002</v>
      </c>
      <c r="F211" s="159"/>
      <c r="G211" s="158">
        <f>SUM(F255:F262)</f>
        <v>9810</v>
      </c>
      <c r="H211" s="159"/>
      <c r="I211" s="22"/>
      <c r="J211" s="22"/>
      <c r="K211" s="24">
        <f t="shared" si="2"/>
        <v>2.0696961487536178</v>
      </c>
      <c r="L211" s="125"/>
      <c r="M211" s="125"/>
      <c r="N211" s="23"/>
    </row>
    <row r="212" spans="1:14" s="24" customFormat="1" ht="15.75" customHeight="1" x14ac:dyDescent="0.3">
      <c r="A212" s="165" t="s">
        <v>258</v>
      </c>
      <c r="B212" s="166"/>
      <c r="C212" s="185">
        <f>COUNT(D265:D272)</f>
        <v>8</v>
      </c>
      <c r="D212" s="186"/>
      <c r="E212" s="158">
        <f>SUM(D265:D272)</f>
        <v>4759.4532959999997</v>
      </c>
      <c r="F212" s="159"/>
      <c r="G212" s="158">
        <f>SUM(F265:F272)</f>
        <v>9810</v>
      </c>
      <c r="H212" s="159"/>
      <c r="I212" s="22"/>
      <c r="J212" s="22"/>
      <c r="K212" s="24">
        <f t="shared" si="2"/>
        <v>2.0641967391665026</v>
      </c>
      <c r="L212" s="125"/>
      <c r="M212" s="125"/>
      <c r="N212" s="23"/>
    </row>
    <row r="213" spans="1:14" s="24" customFormat="1" x14ac:dyDescent="0.3">
      <c r="A213" s="165" t="s">
        <v>259</v>
      </c>
      <c r="B213" s="166"/>
      <c r="C213" s="185">
        <f>COUNT(D275:D282)</f>
        <v>8</v>
      </c>
      <c r="D213" s="186"/>
      <c r="E213" s="158">
        <f>SUM(D275:D282)</f>
        <v>4754.1358799999998</v>
      </c>
      <c r="F213" s="159"/>
      <c r="G213" s="158">
        <f>SUM(F275:F282)</f>
        <v>9810</v>
      </c>
      <c r="H213" s="159"/>
      <c r="I213" s="22"/>
      <c r="J213" s="22"/>
      <c r="K213" s="24">
        <f t="shared" si="2"/>
        <v>2.0641967391665026</v>
      </c>
    </row>
    <row r="214" spans="1:14" s="24" customFormat="1" x14ac:dyDescent="0.3">
      <c r="A214" s="126" t="s">
        <v>260</v>
      </c>
      <c r="B214" s="126"/>
      <c r="C214" s="185">
        <f>COUNT(D285:D291)</f>
        <v>7</v>
      </c>
      <c r="D214" s="186"/>
      <c r="E214" s="158">
        <f>SUM(D285:D291)</f>
        <v>4733.0061480000004</v>
      </c>
      <c r="F214" s="159"/>
      <c r="G214" s="158">
        <f>SUM(F285:F291)</f>
        <v>9760</v>
      </c>
      <c r="H214" s="159"/>
      <c r="I214" s="22"/>
      <c r="J214" s="22"/>
      <c r="K214" s="24">
        <f t="shared" si="2"/>
        <v>2.0696961487536178</v>
      </c>
    </row>
    <row r="215" spans="1:14" s="24" customFormat="1" ht="15.75" customHeight="1" x14ac:dyDescent="0.3">
      <c r="A215" s="126" t="s">
        <v>263</v>
      </c>
      <c r="B215" s="126"/>
      <c r="C215" s="185">
        <f>COUNT(D294:D301)</f>
        <v>8</v>
      </c>
      <c r="D215" s="186"/>
      <c r="E215" s="158">
        <f>SUM(D294:D301)</f>
        <v>3650.115456</v>
      </c>
      <c r="F215" s="159"/>
      <c r="G215" s="158">
        <f>SUM(F294:F301)</f>
        <v>7770</v>
      </c>
      <c r="H215" s="159"/>
      <c r="I215" s="22"/>
      <c r="J215" s="22"/>
      <c r="K215" s="24">
        <f t="shared" si="2"/>
        <v>2.06311495698173</v>
      </c>
      <c r="L215" s="59">
        <f t="shared" ref="L215:L221" si="3">K229/D285</f>
        <v>2.0572525648643585</v>
      </c>
      <c r="M215" s="59"/>
      <c r="N215" s="23"/>
    </row>
    <row r="216" spans="1:14" s="24" customFormat="1" ht="15.75" customHeight="1" x14ac:dyDescent="0.3">
      <c r="A216" s="126" t="s">
        <v>264</v>
      </c>
      <c r="B216" s="126"/>
      <c r="C216" s="185">
        <f>COUNT(D304:D311)</f>
        <v>8</v>
      </c>
      <c r="D216" s="186"/>
      <c r="E216" s="158">
        <f>SUM(D304:D311)</f>
        <v>3624.6478319999997</v>
      </c>
      <c r="F216" s="159"/>
      <c r="G216" s="158">
        <f>SUM(F304:F311)</f>
        <v>7600</v>
      </c>
      <c r="H216" s="159"/>
      <c r="I216" s="22"/>
      <c r="J216" s="22"/>
      <c r="K216" s="24">
        <f t="shared" si="2"/>
        <v>2.0518702095180044</v>
      </c>
      <c r="L216" s="59">
        <f t="shared" si="3"/>
        <v>2.0597356599502654</v>
      </c>
      <c r="M216" s="35"/>
      <c r="N216" s="23"/>
    </row>
    <row r="217" spans="1:14" s="24" customFormat="1" ht="15.75" customHeight="1" x14ac:dyDescent="0.3">
      <c r="A217" s="126" t="s">
        <v>265</v>
      </c>
      <c r="B217" s="126"/>
      <c r="C217" s="185">
        <f>COUNT(D314:D321)</f>
        <v>8</v>
      </c>
      <c r="D217" s="186"/>
      <c r="E217" s="158">
        <f>SUM(D314:D321)</f>
        <v>3624.6478319999997</v>
      </c>
      <c r="F217" s="159"/>
      <c r="G217" s="158">
        <f>SUM(F314:F321)</f>
        <v>7600</v>
      </c>
      <c r="H217" s="159"/>
      <c r="I217" s="22"/>
      <c r="J217" s="22"/>
      <c r="L217" s="59">
        <f t="shared" si="3"/>
        <v>2.0664081590059751</v>
      </c>
      <c r="M217" s="35"/>
      <c r="N217" s="23"/>
    </row>
    <row r="218" spans="1:14" s="24" customFormat="1" ht="15.75" customHeight="1" thickBot="1" x14ac:dyDescent="0.35">
      <c r="A218" s="160" t="s">
        <v>266</v>
      </c>
      <c r="B218" s="160"/>
      <c r="C218" s="161">
        <f>COUNT(D324:D331)</f>
        <v>8</v>
      </c>
      <c r="D218" s="162"/>
      <c r="E218" s="163">
        <f>SUM(D324:D331)</f>
        <v>3650.115456</v>
      </c>
      <c r="F218" s="164"/>
      <c r="G218" s="163">
        <f>SUM(F324:F331)</f>
        <v>7775</v>
      </c>
      <c r="H218" s="164"/>
      <c r="I218" s="22"/>
      <c r="J218" s="22"/>
      <c r="L218" s="59">
        <f t="shared" si="3"/>
        <v>2.0683111965794048</v>
      </c>
      <c r="M218" s="35"/>
      <c r="N218" s="23"/>
    </row>
    <row r="219" spans="1:14" s="24" customFormat="1" ht="15.75" customHeight="1" thickBot="1" x14ac:dyDescent="0.35">
      <c r="A219" s="167" t="s">
        <v>149</v>
      </c>
      <c r="B219" s="168"/>
      <c r="C219" s="169">
        <f>SUM(C210:C218)</f>
        <v>70</v>
      </c>
      <c r="D219" s="169"/>
      <c r="E219" s="169">
        <f>SUM(E210:E218)</f>
        <v>38718.385711199997</v>
      </c>
      <c r="F219" s="169"/>
      <c r="G219" s="169">
        <f>SUM(G210:G218)</f>
        <v>80580</v>
      </c>
      <c r="H219" s="187"/>
      <c r="I219" s="22"/>
      <c r="J219" s="22"/>
      <c r="K219" s="24">
        <f t="shared" ref="K219:K226" si="4">F275/D275</f>
        <v>2.0542347963339282</v>
      </c>
      <c r="L219" s="59">
        <f t="shared" si="3"/>
        <v>2.0719678843676164</v>
      </c>
      <c r="M219" s="35"/>
      <c r="N219" s="23"/>
    </row>
    <row r="220" spans="1:14" s="24" customFormat="1" ht="15.75" customHeight="1" x14ac:dyDescent="0.3">
      <c r="A220" s="225" t="s">
        <v>70</v>
      </c>
      <c r="B220" s="225"/>
      <c r="C220" s="225"/>
      <c r="D220" s="225"/>
      <c r="E220" s="225"/>
      <c r="F220" s="225"/>
      <c r="G220" s="225"/>
      <c r="H220" s="225"/>
      <c r="I220" s="22"/>
      <c r="J220" s="22"/>
      <c r="K220" s="24">
        <f t="shared" si="4"/>
        <v>2.0655197793893327</v>
      </c>
      <c r="L220" s="59">
        <f t="shared" si="3"/>
        <v>2.0652077269342084</v>
      </c>
      <c r="M220" s="35"/>
      <c r="N220" s="23"/>
    </row>
    <row r="221" spans="1:14" s="24" customFormat="1" ht="15.75" customHeight="1" x14ac:dyDescent="0.3">
      <c r="A221" s="188" t="s">
        <v>53</v>
      </c>
      <c r="B221" s="188"/>
      <c r="C221" s="259" t="s">
        <v>78</v>
      </c>
      <c r="D221" s="259"/>
      <c r="E221" s="236" t="s">
        <v>54</v>
      </c>
      <c r="F221" s="236"/>
      <c r="G221" s="188" t="s">
        <v>55</v>
      </c>
      <c r="H221" s="188"/>
      <c r="I221" s="22"/>
      <c r="J221" s="22"/>
      <c r="K221" s="24">
        <f t="shared" si="4"/>
        <v>2.0719194976441777</v>
      </c>
      <c r="L221" s="59">
        <f t="shared" si="3"/>
        <v>2.0539980924339072</v>
      </c>
      <c r="M221" s="35"/>
      <c r="N221" s="23"/>
    </row>
    <row r="222" spans="1:14" s="24" customFormat="1" x14ac:dyDescent="0.3">
      <c r="A222" s="126" t="s">
        <v>256</v>
      </c>
      <c r="B222" s="126"/>
      <c r="C222" s="127">
        <f>COUNT(D341:D344)+COUNT(D346:D349)*11+COUNT(D351:D354)*2+COUNT(D356)</f>
        <v>57</v>
      </c>
      <c r="D222" s="127"/>
      <c r="E222" s="158">
        <f>SUM(D341:D344)+SUM(D346:D349)*11+SUM(D351:D354)*2+SUM(D356)</f>
        <v>126994.15341990002</v>
      </c>
      <c r="F222" s="158"/>
      <c r="G222" s="158">
        <f>SUM(F341:F344)+SUM(F346:F349)*11+SUM(F351:F354)*2+SUM(F356)</f>
        <v>221436.60030982501</v>
      </c>
      <c r="H222" s="158"/>
      <c r="I222" s="22"/>
      <c r="J222" s="22"/>
      <c r="K222" s="24">
        <f t="shared" si="4"/>
        <v>2.0664178383285652</v>
      </c>
    </row>
    <row r="223" spans="1:14" s="24" customFormat="1" x14ac:dyDescent="0.3">
      <c r="A223" s="165" t="s">
        <v>257</v>
      </c>
      <c r="B223" s="166"/>
      <c r="C223" s="127">
        <f>COUNT(D360:D363)+COUNT(D365:D368)*12+COUNT(D370:D373)*2</f>
        <v>60</v>
      </c>
      <c r="D223" s="127"/>
      <c r="E223" s="158">
        <f>SUM(D360:D363)+SUM(D365:D368)*12+SUM(D370:D373)*2</f>
        <v>95771.654503199999</v>
      </c>
      <c r="F223" s="158"/>
      <c r="G223" s="158">
        <f>SUM(F360:F363)+SUM(F365:F368)*12+SUM(F370:F373)*2</f>
        <v>172140</v>
      </c>
      <c r="H223" s="158"/>
      <c r="I223" s="22"/>
      <c r="J223" s="22"/>
      <c r="K223" s="24">
        <f t="shared" si="4"/>
        <v>2.0664178383285652</v>
      </c>
    </row>
    <row r="224" spans="1:14" s="24" customFormat="1" ht="15.75" customHeight="1" x14ac:dyDescent="0.3">
      <c r="A224" s="165" t="s">
        <v>258</v>
      </c>
      <c r="B224" s="166"/>
      <c r="C224" s="127">
        <f>COUNT(D377:D380)+COUNT(D382:D385)*12+COUNT(D387:D390)*2</f>
        <v>60</v>
      </c>
      <c r="D224" s="127"/>
      <c r="E224" s="158">
        <f>SUM(D377:D380)+SUM(D382:D385)*12+SUM(D387:D390)*2</f>
        <v>100285.06428719999</v>
      </c>
      <c r="F224" s="158"/>
      <c r="G224" s="158">
        <f>SUM(F377:F380)+SUM(F382:F385)*12+SUM(F387:F390)*2</f>
        <v>176430</v>
      </c>
      <c r="H224" s="158"/>
      <c r="I224" s="22"/>
      <c r="J224" s="22"/>
      <c r="K224" s="24">
        <f t="shared" si="4"/>
        <v>2.0719194976441777</v>
      </c>
      <c r="L224" s="125"/>
      <c r="M224" s="125"/>
      <c r="N224" s="23"/>
    </row>
    <row r="225" spans="1:14" s="24" customFormat="1" x14ac:dyDescent="0.3">
      <c r="A225" s="165" t="s">
        <v>259</v>
      </c>
      <c r="B225" s="166"/>
      <c r="C225" s="127">
        <f>COUNT(D394:D397)+COUNT(D399:D402)*11+COUNT(D404:D407)*2</f>
        <v>56</v>
      </c>
      <c r="D225" s="127"/>
      <c r="E225" s="158">
        <f>SUM(D394:D397)+SUM(D399:D402)*11+SUM(D404:D407)*2</f>
        <v>97398.828521000003</v>
      </c>
      <c r="F225" s="158"/>
      <c r="G225" s="158">
        <f>SUM(F394:F397)+SUM(F399:F402)*11+SUM(F404:F407)*2</f>
        <v>168450</v>
      </c>
      <c r="H225" s="158"/>
      <c r="I225" s="22"/>
      <c r="J225" s="22"/>
      <c r="K225" s="24">
        <f t="shared" si="4"/>
        <v>2.0655197793893327</v>
      </c>
      <c r="L225" s="125"/>
      <c r="M225" s="125"/>
      <c r="N225" s="23"/>
    </row>
    <row r="226" spans="1:14" s="24" customFormat="1" ht="15.75" customHeight="1" x14ac:dyDescent="0.3">
      <c r="A226" s="126" t="s">
        <v>260</v>
      </c>
      <c r="B226" s="126"/>
      <c r="C226" s="127">
        <f>COUNT(D411:D414)+COUNT(D416:D419)*12+COUNT(D421:D424)*2</f>
        <v>60</v>
      </c>
      <c r="D226" s="127"/>
      <c r="E226" s="158">
        <f>SUM(D411:D414)+SUM(D416:D419)*12+SUM(D421:D424)*2</f>
        <v>103092.39621719999</v>
      </c>
      <c r="F226" s="158"/>
      <c r="G226" s="158">
        <f>SUM(F411:F414)+SUM(F416:F419)*12+SUM(F421:F424)*2</f>
        <v>185162</v>
      </c>
      <c r="H226" s="158"/>
      <c r="I226" s="22"/>
      <c r="J226" s="22"/>
      <c r="K226" s="24">
        <f t="shared" si="4"/>
        <v>2.0542347963339282</v>
      </c>
      <c r="L226" s="125"/>
      <c r="M226" s="125"/>
      <c r="N226" s="23"/>
    </row>
    <row r="227" spans="1:14" s="24" customFormat="1" ht="15.75" customHeight="1" x14ac:dyDescent="0.3">
      <c r="A227" s="126" t="s">
        <v>261</v>
      </c>
      <c r="B227" s="126"/>
      <c r="C227" s="127">
        <f>COUNT(D428:D431)*11+COUNT(D433,D435:D436)*2</f>
        <v>50</v>
      </c>
      <c r="D227" s="127"/>
      <c r="E227" s="158">
        <f>SUM(D428:D431)*11+SUM(D433,D435:D436)*2</f>
        <v>51349.776098400005</v>
      </c>
      <c r="F227" s="158"/>
      <c r="G227" s="158">
        <f>SUM(F428:F431)*11+SUM(F433,F435:F436)*2</f>
        <v>91400</v>
      </c>
      <c r="H227" s="158"/>
      <c r="I227" s="22"/>
      <c r="J227" s="22"/>
      <c r="L227" s="125"/>
      <c r="M227" s="125"/>
      <c r="N227" s="23"/>
    </row>
    <row r="228" spans="1:14" s="24" customFormat="1" ht="15.75" customHeight="1" x14ac:dyDescent="0.3">
      <c r="A228" s="126" t="s">
        <v>262</v>
      </c>
      <c r="B228" s="126"/>
      <c r="C228" s="127">
        <f>COUNT(D440:D443)*11+COUNT(D445,D447:D448)*2</f>
        <v>50</v>
      </c>
      <c r="D228" s="127"/>
      <c r="E228" s="158">
        <f>SUM(D440:D443)*11+SUM(D445,D447:D448)*2</f>
        <v>61869.270762000007</v>
      </c>
      <c r="F228" s="158"/>
      <c r="G228" s="158">
        <f>SUM(F440:F443)*11+SUM(F445,F447:F448)*2</f>
        <v>108910</v>
      </c>
      <c r="H228" s="158"/>
      <c r="I228" s="22"/>
      <c r="J228" s="22"/>
      <c r="L228" s="125"/>
      <c r="M228" s="125"/>
      <c r="N228" s="23"/>
    </row>
    <row r="229" spans="1:14" s="24" customFormat="1" ht="15.75" customHeight="1" x14ac:dyDescent="0.3">
      <c r="A229" s="126" t="s">
        <v>263</v>
      </c>
      <c r="B229" s="126"/>
      <c r="C229" s="127">
        <f>COUNT(D452:D456)+COUNT(D458:D462)*10+COUNT(D464:D466,D468)*2+COUNT(D470:D472)</f>
        <v>66</v>
      </c>
      <c r="D229" s="127"/>
      <c r="E229" s="158">
        <f>SUM(D452:D456)+SUM(D458:D462)*10+SUM(D464:D466,D468)*2+SUM(D470:D472)</f>
        <v>80640.217476000005</v>
      </c>
      <c r="F229" s="158"/>
      <c r="G229" s="158">
        <f>SUM(F452:F456)+SUM(F458:F462)*10+SUM(F464:F466,F468)*2+SUM(F470:F472)</f>
        <v>143215</v>
      </c>
      <c r="H229" s="158"/>
      <c r="I229" s="22"/>
      <c r="J229" s="22"/>
      <c r="K229" s="24">
        <v>2020</v>
      </c>
      <c r="L229" s="125"/>
      <c r="M229" s="125"/>
      <c r="N229" s="23"/>
    </row>
    <row r="230" spans="1:14" s="24" customFormat="1" ht="15.75" customHeight="1" x14ac:dyDescent="0.3">
      <c r="A230" s="126" t="s">
        <v>264</v>
      </c>
      <c r="B230" s="126"/>
      <c r="C230" s="127">
        <f>COUNT(D478:D481)+COUNT(D483:D486)*10+COUNT(D488,D490:D491)*2+COUNT(D493,D496)</f>
        <v>52</v>
      </c>
      <c r="D230" s="127"/>
      <c r="E230" s="158">
        <f>SUM(D478:D481)+SUM(D483:D486)*10+SUM(D488,D490:D491)*2+SUM(D493,D496)</f>
        <v>72621.338868000006</v>
      </c>
      <c r="F230" s="158"/>
      <c r="G230" s="158">
        <f>SUM(F478:F481)+SUM(F483:F486)*10+SUM(F488,F490:F491)*2+SUM(F493,F496)</f>
        <v>130016.70266900001</v>
      </c>
      <c r="H230" s="158"/>
      <c r="I230" s="22"/>
      <c r="J230" s="22"/>
      <c r="K230" s="24">
        <v>1635</v>
      </c>
      <c r="L230" s="125"/>
      <c r="M230" s="125"/>
      <c r="N230" s="23"/>
    </row>
    <row r="231" spans="1:14" s="24" customFormat="1" ht="15.75" customHeight="1" x14ac:dyDescent="0.3">
      <c r="A231" s="126" t="s">
        <v>265</v>
      </c>
      <c r="B231" s="126"/>
      <c r="C231" s="127">
        <f>COUNT(D500:D503)+COUNT(D505:D508)*10+COUNT(D510,D512:D513)*2+COUNT(D515,D518)</f>
        <v>52</v>
      </c>
      <c r="D231" s="127"/>
      <c r="E231" s="158">
        <f>SUM(D500:D503)+SUM(D505:D508)*10+SUM(D510,D512:D513)*2+SUM(D515,D518)</f>
        <v>72621.338868000006</v>
      </c>
      <c r="F231" s="158"/>
      <c r="G231" s="158">
        <f>SUM(F500:F503)+SUM(F505:F508)*10+SUM(F510,F512:F513)*2+SUM(F515,F518)</f>
        <v>130016.70266900001</v>
      </c>
      <c r="H231" s="158"/>
      <c r="I231" s="22"/>
      <c r="J231" s="22"/>
      <c r="K231" s="24">
        <v>1200</v>
      </c>
      <c r="L231" s="125"/>
      <c r="M231" s="125"/>
      <c r="N231" s="23"/>
    </row>
    <row r="232" spans="1:14" s="24" customFormat="1" x14ac:dyDescent="0.3">
      <c r="A232" s="126" t="s">
        <v>266</v>
      </c>
      <c r="B232" s="126"/>
      <c r="C232" s="127">
        <f>COUNT(D522:D526)+COUNT(D528:D532)*10+COUNT(D534:D536,D538)*2+COUNT(D540:D542)</f>
        <v>66</v>
      </c>
      <c r="D232" s="127"/>
      <c r="E232" s="158">
        <f>SUM(D522:D526)+SUM(D528:D532)*10+SUM(D534:D536,D538)*2+SUM(D540:D542)</f>
        <v>80640.217476000005</v>
      </c>
      <c r="F232" s="158"/>
      <c r="G232" s="158">
        <f>SUM(F522:F526)+SUM(F528:F532)*10+SUM(F534:F536,F538)*2+SUM(F540:F542)</f>
        <v>143215</v>
      </c>
      <c r="H232" s="158"/>
      <c r="I232" s="22"/>
      <c r="J232" s="22"/>
      <c r="K232" s="24">
        <v>1385</v>
      </c>
    </row>
    <row r="233" spans="1:14" s="24" customFormat="1" x14ac:dyDescent="0.3">
      <c r="A233" s="126" t="s">
        <v>267</v>
      </c>
      <c r="B233" s="126"/>
      <c r="C233" s="127">
        <f>COUNT(D548:D551)*11+COUNT(D553,D555:D556)*2</f>
        <v>50</v>
      </c>
      <c r="D233" s="127"/>
      <c r="E233" s="158">
        <f>SUM(D548:D551)*11+SUM(D553,D555:D556)*2</f>
        <v>61869.270762000007</v>
      </c>
      <c r="F233" s="158"/>
      <c r="G233" s="158">
        <f>SUM(F548:F551)*11+SUM(F553,F555:F556)*2</f>
        <v>108880</v>
      </c>
      <c r="H233" s="158"/>
      <c r="I233" s="22"/>
      <c r="J233" s="22"/>
      <c r="K233" s="24">
        <v>955</v>
      </c>
    </row>
    <row r="234" spans="1:14" s="24" customFormat="1" ht="15.75" customHeight="1" x14ac:dyDescent="0.3">
      <c r="A234" s="126" t="s">
        <v>268</v>
      </c>
      <c r="B234" s="126"/>
      <c r="C234" s="127">
        <f>COUNT(D560:D563)*11+COUNT(D565,D567:D568)*2</f>
        <v>50</v>
      </c>
      <c r="D234" s="127"/>
      <c r="E234" s="158">
        <f>SUM(D560:D563)*11+SUM(D565,D567:D568)*2</f>
        <v>61869.270762000007</v>
      </c>
      <c r="F234" s="158"/>
      <c r="G234" s="158">
        <f>SUM(F560:F563)*11+SUM(F565,F567:F568)*2</f>
        <v>108880</v>
      </c>
      <c r="H234" s="158"/>
      <c r="I234" s="22"/>
      <c r="J234" s="22"/>
      <c r="K234" s="24">
        <v>1030</v>
      </c>
      <c r="L234" s="125"/>
      <c r="M234" s="125"/>
      <c r="N234" s="23"/>
    </row>
    <row r="235" spans="1:14" s="24" customFormat="1" ht="15.75" customHeight="1" thickBot="1" x14ac:dyDescent="0.35">
      <c r="A235" s="235" t="s">
        <v>149</v>
      </c>
      <c r="B235" s="235"/>
      <c r="C235" s="263">
        <f>SUM(C222:C234)</f>
        <v>729</v>
      </c>
      <c r="D235" s="263"/>
      <c r="E235" s="212">
        <f>SUM(E222:E234)</f>
        <v>1067022.7980208998</v>
      </c>
      <c r="F235" s="212"/>
      <c r="G235" s="212">
        <f>SUM(G222:G234)</f>
        <v>1888152.0056478251</v>
      </c>
      <c r="H235" s="212"/>
      <c r="I235" s="91" t="s">
        <v>324</v>
      </c>
      <c r="J235" s="65"/>
      <c r="K235" s="24">
        <v>1535</v>
      </c>
      <c r="L235" s="125"/>
      <c r="M235" s="125"/>
      <c r="N235" s="23"/>
    </row>
    <row r="236" spans="1:14" s="24" customFormat="1" ht="15.75" customHeight="1" thickBot="1" x14ac:dyDescent="0.35">
      <c r="A236" s="167" t="s">
        <v>166</v>
      </c>
      <c r="B236" s="168"/>
      <c r="C236" s="169">
        <f>C219+C235</f>
        <v>799</v>
      </c>
      <c r="D236" s="237"/>
      <c r="E236" s="238">
        <f>E219+E235</f>
        <v>1105741.1837320998</v>
      </c>
      <c r="F236" s="238"/>
      <c r="G236" s="239">
        <f>G219+G235</f>
        <v>1968732.0056478251</v>
      </c>
      <c r="H236" s="240"/>
      <c r="I236" s="65" t="s">
        <v>325</v>
      </c>
      <c r="J236" s="66"/>
      <c r="L236" s="125"/>
      <c r="M236" s="125"/>
      <c r="N236" s="23"/>
    </row>
    <row r="237" spans="1:14" s="24" customFormat="1" ht="15.75" customHeight="1" x14ac:dyDescent="0.3">
      <c r="A237" s="184" t="s">
        <v>56</v>
      </c>
      <c r="B237" s="184"/>
      <c r="C237" s="184"/>
      <c r="D237" s="184"/>
      <c r="E237" s="184"/>
      <c r="F237" s="184"/>
      <c r="G237" s="184"/>
      <c r="H237" s="184"/>
      <c r="I237" s="21"/>
      <c r="J237" s="21"/>
      <c r="L237" s="125"/>
      <c r="M237" s="125"/>
      <c r="N237" s="23"/>
    </row>
    <row r="238" spans="1:14" s="24" customFormat="1" ht="15.75" customHeight="1" x14ac:dyDescent="0.3">
      <c r="A238" s="214" t="s">
        <v>173</v>
      </c>
      <c r="B238" s="214"/>
      <c r="C238" s="214"/>
      <c r="D238" s="214"/>
      <c r="E238" s="214"/>
      <c r="F238" s="214"/>
      <c r="G238" s="214"/>
      <c r="H238" s="214"/>
      <c r="I238" s="14"/>
      <c r="J238" s="14"/>
      <c r="K238" s="24">
        <f t="shared" ref="K238:K245" si="5">F294/D294</f>
        <v>2.0513578396298717</v>
      </c>
      <c r="L238" s="125"/>
      <c r="M238" s="125"/>
      <c r="N238" s="23"/>
    </row>
    <row r="239" spans="1:14" s="24" customFormat="1" ht="45.75" customHeight="1" x14ac:dyDescent="0.3">
      <c r="A239" s="30" t="s">
        <v>120</v>
      </c>
      <c r="B239" s="30" t="s">
        <v>175</v>
      </c>
      <c r="C239" s="30" t="s">
        <v>57</v>
      </c>
      <c r="D239" s="30" t="s">
        <v>58</v>
      </c>
      <c r="E239" s="57" t="s">
        <v>154</v>
      </c>
      <c r="F239" s="30" t="s">
        <v>305</v>
      </c>
      <c r="G239" s="229" t="s">
        <v>60</v>
      </c>
      <c r="H239" s="231"/>
      <c r="I239" s="14"/>
      <c r="J239" s="14"/>
      <c r="K239" s="24">
        <f t="shared" si="5"/>
        <v>2.1093935564685418</v>
      </c>
      <c r="L239" s="125"/>
      <c r="M239" s="125"/>
      <c r="N239" s="23"/>
    </row>
    <row r="240" spans="1:14" s="24" customFormat="1" ht="15.75" customHeight="1" x14ac:dyDescent="0.3">
      <c r="A240" s="232" t="s">
        <v>280</v>
      </c>
      <c r="B240" s="233"/>
      <c r="C240" s="233"/>
      <c r="D240" s="233"/>
      <c r="E240" s="233"/>
      <c r="F240" s="233"/>
      <c r="G240" s="233"/>
      <c r="H240" s="234"/>
      <c r="K240" s="24">
        <f t="shared" si="5"/>
        <v>2.0488533855731736</v>
      </c>
      <c r="L240" s="125"/>
      <c r="M240" s="125"/>
      <c r="N240" s="23"/>
    </row>
    <row r="241" spans="1:14" s="24" customFormat="1" ht="15.75" customHeight="1" x14ac:dyDescent="0.3">
      <c r="A241" s="232" t="s">
        <v>322</v>
      </c>
      <c r="B241" s="233"/>
      <c r="C241" s="233"/>
      <c r="D241" s="233"/>
      <c r="E241" s="233"/>
      <c r="F241" s="233"/>
      <c r="G241" s="233"/>
      <c r="H241" s="234"/>
      <c r="K241" s="24">
        <f t="shared" si="5"/>
        <v>2.2367727484901145</v>
      </c>
      <c r="L241" s="125"/>
      <c r="M241" s="125"/>
      <c r="N241" s="23"/>
    </row>
    <row r="242" spans="1:14" s="24" customFormat="1" x14ac:dyDescent="0.3">
      <c r="A242" s="232" t="s">
        <v>323</v>
      </c>
      <c r="B242" s="233"/>
      <c r="C242" s="233"/>
      <c r="D242" s="233"/>
      <c r="E242" s="233"/>
      <c r="F242" s="233"/>
      <c r="G242" s="233"/>
      <c r="H242" s="234"/>
      <c r="J242" s="23"/>
      <c r="K242" s="24">
        <f t="shared" si="5"/>
        <v>2.2367727484901145</v>
      </c>
    </row>
    <row r="243" spans="1:14" s="24" customFormat="1" x14ac:dyDescent="0.3">
      <c r="A243" s="232" t="s">
        <v>269</v>
      </c>
      <c r="B243" s="233"/>
      <c r="C243" s="233"/>
      <c r="D243" s="233"/>
      <c r="E243" s="233"/>
      <c r="F243" s="233"/>
      <c r="G243" s="233"/>
      <c r="H243" s="234"/>
      <c r="J243" s="23"/>
      <c r="K243" s="24">
        <f t="shared" si="5"/>
        <v>2.0488533855731736</v>
      </c>
    </row>
    <row r="244" spans="1:14" s="24" customFormat="1" ht="15.75" customHeight="1" x14ac:dyDescent="0.3">
      <c r="A244" s="149" t="s">
        <v>279</v>
      </c>
      <c r="B244" s="150"/>
      <c r="C244" s="150"/>
      <c r="D244" s="150"/>
      <c r="E244" s="150"/>
      <c r="F244" s="150"/>
      <c r="G244" s="150"/>
      <c r="H244" s="151"/>
      <c r="J244" s="23"/>
      <c r="K244" s="24">
        <f t="shared" si="5"/>
        <v>2.3685726142438197</v>
      </c>
      <c r="L244" s="125"/>
      <c r="M244" s="125"/>
      <c r="N244" s="23"/>
    </row>
    <row r="245" spans="1:14" s="24" customFormat="1" ht="15.75" customHeight="1" x14ac:dyDescent="0.3">
      <c r="A245" s="149" t="s">
        <v>313</v>
      </c>
      <c r="B245" s="150"/>
      <c r="C245" s="150"/>
      <c r="D245" s="150"/>
      <c r="E245" s="150"/>
      <c r="F245" s="150"/>
      <c r="G245" s="150"/>
      <c r="H245" s="151"/>
      <c r="J245" s="23"/>
      <c r="K245" s="24">
        <f t="shared" si="5"/>
        <v>2.0513578396298717</v>
      </c>
      <c r="L245" s="125"/>
      <c r="M245" s="125"/>
      <c r="N245" s="23"/>
    </row>
    <row r="246" spans="1:14" s="24" customFormat="1" ht="15.75" customHeight="1" x14ac:dyDescent="0.3">
      <c r="A246" s="261">
        <v>32</v>
      </c>
      <c r="B246" s="262"/>
      <c r="C246" s="29" t="s">
        <v>282</v>
      </c>
      <c r="D246" s="29">
        <f>69.428*10.764</f>
        <v>747.32299199999989</v>
      </c>
      <c r="E246" s="29">
        <v>0</v>
      </c>
      <c r="F246" s="29">
        <v>1535</v>
      </c>
      <c r="G246" s="152" t="str">
        <f>A245</f>
        <v>Ground Floor For Commercial, Entrance Lobby, Meter Room &amp; Parking</v>
      </c>
      <c r="H246" s="153"/>
      <c r="I246" s="23">
        <f>(4.945*14.04)</f>
        <v>69.427800000000005</v>
      </c>
      <c r="J246" s="24">
        <f>7.015*15.415</f>
        <v>108.136225</v>
      </c>
      <c r="L246" s="125"/>
      <c r="M246" s="125"/>
      <c r="N246" s="23"/>
    </row>
    <row r="247" spans="1:14" s="24" customFormat="1" ht="15.75" customHeight="1" x14ac:dyDescent="0.3">
      <c r="A247" s="261">
        <f t="shared" ref="A247:A252" si="6">A246+1</f>
        <v>33</v>
      </c>
      <c r="B247" s="262"/>
      <c r="C247" s="29" t="s">
        <v>282</v>
      </c>
      <c r="D247" s="29">
        <f>46.332*10.764</f>
        <v>498.717648</v>
      </c>
      <c r="E247" s="29">
        <v>0</v>
      </c>
      <c r="F247" s="29">
        <v>1030</v>
      </c>
      <c r="G247" s="154"/>
      <c r="H247" s="155"/>
      <c r="I247" s="23">
        <f>3.3*14.04</f>
        <v>46.331999999999994</v>
      </c>
      <c r="J247" s="24">
        <f>5.7*15.415</f>
        <v>87.865499999999997</v>
      </c>
      <c r="L247" s="125"/>
      <c r="M247" s="125"/>
      <c r="N247" s="23"/>
    </row>
    <row r="248" spans="1:14" s="24" customFormat="1" ht="15.75" customHeight="1" x14ac:dyDescent="0.3">
      <c r="A248" s="261">
        <f t="shared" si="6"/>
        <v>34</v>
      </c>
      <c r="B248" s="262"/>
      <c r="C248" s="29" t="s">
        <v>282</v>
      </c>
      <c r="D248" s="29">
        <f>42.823*10.764</f>
        <v>460.94677199999995</v>
      </c>
      <c r="E248" s="29">
        <v>0</v>
      </c>
      <c r="F248" s="29">
        <v>955</v>
      </c>
      <c r="G248" s="154"/>
      <c r="H248" s="155"/>
      <c r="I248" s="23"/>
      <c r="J248" s="24">
        <f>4.435*14.04</f>
        <v>62.267399999999988</v>
      </c>
      <c r="K248" s="24">
        <f t="shared" ref="K248:K255" si="7">F304/D304</f>
        <v>2.0675164136775352</v>
      </c>
      <c r="L248" s="125"/>
      <c r="M248" s="125"/>
      <c r="N248" s="23"/>
    </row>
    <row r="249" spans="1:14" s="24" customFormat="1" ht="15.75" customHeight="1" x14ac:dyDescent="0.3">
      <c r="A249" s="261">
        <f t="shared" si="6"/>
        <v>35</v>
      </c>
      <c r="B249" s="262"/>
      <c r="C249" s="29" t="s">
        <v>282</v>
      </c>
      <c r="D249" s="29">
        <f>62.267*10.764</f>
        <v>670.24198799999999</v>
      </c>
      <c r="E249" s="29">
        <v>0</v>
      </c>
      <c r="F249" s="29">
        <v>1385</v>
      </c>
      <c r="G249" s="154"/>
      <c r="H249" s="155"/>
      <c r="I249" s="23"/>
      <c r="K249" s="24">
        <f t="shared" si="7"/>
        <v>2.0746772833121772</v>
      </c>
      <c r="L249" s="125"/>
      <c r="M249" s="125"/>
      <c r="N249" s="23"/>
    </row>
    <row r="250" spans="1:14" s="24" customFormat="1" ht="15.75" customHeight="1" x14ac:dyDescent="0.3">
      <c r="A250" s="261">
        <f t="shared" si="6"/>
        <v>36</v>
      </c>
      <c r="B250" s="262"/>
      <c r="C250" s="29" t="s">
        <v>282</v>
      </c>
      <c r="D250" s="29">
        <f>63.25*10.764</f>
        <v>680.82299999999998</v>
      </c>
      <c r="E250" s="29">
        <v>0</v>
      </c>
      <c r="F250" s="29">
        <v>1405</v>
      </c>
      <c r="G250" s="154"/>
      <c r="H250" s="155"/>
      <c r="I250" s="23"/>
      <c r="K250" s="24">
        <f t="shared" si="7"/>
        <v>2.1460445094781773</v>
      </c>
      <c r="L250" s="125"/>
      <c r="M250" s="125"/>
      <c r="N250" s="23"/>
    </row>
    <row r="251" spans="1:14" s="24" customFormat="1" ht="15.75" customHeight="1" x14ac:dyDescent="0.3">
      <c r="A251" s="261">
        <f t="shared" si="6"/>
        <v>37</v>
      </c>
      <c r="B251" s="262"/>
      <c r="C251" s="29" t="s">
        <v>282</v>
      </c>
      <c r="D251" s="29">
        <f>87.865*10.764</f>
        <v>945.7788599999999</v>
      </c>
      <c r="E251" s="29">
        <v>0</v>
      </c>
      <c r="F251" s="29">
        <v>1945</v>
      </c>
      <c r="G251" s="154"/>
      <c r="H251" s="155"/>
      <c r="I251" s="23"/>
      <c r="K251" s="24">
        <f t="shared" si="7"/>
        <v>2.143118085147071</v>
      </c>
      <c r="L251" s="125"/>
      <c r="M251" s="125"/>
      <c r="N251" s="23"/>
    </row>
    <row r="252" spans="1:14" s="24" customFormat="1" x14ac:dyDescent="0.3">
      <c r="A252" s="261">
        <f t="shared" si="6"/>
        <v>38</v>
      </c>
      <c r="B252" s="262"/>
      <c r="C252" s="29" t="s">
        <v>282</v>
      </c>
      <c r="D252" s="29">
        <f>108.1458*10.764</f>
        <v>1164.0813911999999</v>
      </c>
      <c r="E252" s="29">
        <v>0</v>
      </c>
      <c r="F252" s="29">
        <v>2390</v>
      </c>
      <c r="G252" s="156"/>
      <c r="H252" s="157"/>
      <c r="I252" s="23" t="s">
        <v>312</v>
      </c>
      <c r="K252" s="24">
        <f t="shared" si="7"/>
        <v>2.143118085147071</v>
      </c>
    </row>
    <row r="253" spans="1:14" s="24" customFormat="1" x14ac:dyDescent="0.3">
      <c r="A253" s="149" t="s">
        <v>257</v>
      </c>
      <c r="B253" s="150"/>
      <c r="C253" s="150"/>
      <c r="D253" s="150"/>
      <c r="E253" s="150"/>
      <c r="F253" s="150"/>
      <c r="G253" s="150"/>
      <c r="H253" s="151"/>
      <c r="J253" s="23"/>
      <c r="K253" s="24">
        <f t="shared" si="7"/>
        <v>2.0756344917002973</v>
      </c>
    </row>
    <row r="254" spans="1:14" s="24" customFormat="1" ht="15.75" customHeight="1" x14ac:dyDescent="0.3">
      <c r="A254" s="149" t="s">
        <v>287</v>
      </c>
      <c r="B254" s="150"/>
      <c r="C254" s="150"/>
      <c r="D254" s="150"/>
      <c r="E254" s="150"/>
      <c r="F254" s="150"/>
      <c r="G254" s="150"/>
      <c r="H254" s="151"/>
      <c r="J254" s="23"/>
      <c r="K254" s="24">
        <f t="shared" si="7"/>
        <v>2.0746772833121772</v>
      </c>
      <c r="L254" s="125"/>
      <c r="M254" s="125"/>
      <c r="N254" s="23"/>
    </row>
    <row r="255" spans="1:14" s="24" customFormat="1" ht="15.75" customHeight="1" x14ac:dyDescent="0.3">
      <c r="A255" s="141">
        <v>24</v>
      </c>
      <c r="B255" s="142"/>
      <c r="C255" s="29" t="s">
        <v>282</v>
      </c>
      <c r="D255" s="29">
        <f>69.428*10.764</f>
        <v>747.32299199999989</v>
      </c>
      <c r="E255" s="29">
        <v>0</v>
      </c>
      <c r="F255" s="29">
        <v>1535</v>
      </c>
      <c r="G255" s="152" t="str">
        <f>A254</f>
        <v>Ground Floor For Commercial, Meter Room &amp; Parking</v>
      </c>
      <c r="H255" s="153"/>
      <c r="I255" s="23">
        <f>4.945*12.99+3.295*1.05+1.5*0.95</f>
        <v>69.1203</v>
      </c>
      <c r="K255" s="24">
        <f t="shared" si="7"/>
        <v>2.0675164136775352</v>
      </c>
      <c r="L255" s="125"/>
      <c r="M255" s="125"/>
      <c r="N255" s="23"/>
    </row>
    <row r="256" spans="1:14" s="24" customFormat="1" ht="15.75" customHeight="1" x14ac:dyDescent="0.3">
      <c r="A256" s="141">
        <f t="shared" ref="A256:A262" si="8">A255+1</f>
        <v>25</v>
      </c>
      <c r="B256" s="142"/>
      <c r="C256" s="29" t="s">
        <v>282</v>
      </c>
      <c r="D256" s="29">
        <f>46.332*10.764</f>
        <v>498.717648</v>
      </c>
      <c r="E256" s="29">
        <v>0</v>
      </c>
      <c r="F256" s="29">
        <v>1030</v>
      </c>
      <c r="G256" s="154"/>
      <c r="H256" s="155"/>
      <c r="I256" s="23">
        <f>3.3*12.99+1.65*1.05+1.5*0.95</f>
        <v>46.024499999999996</v>
      </c>
      <c r="L256" s="125"/>
      <c r="M256" s="125"/>
      <c r="N256" s="23"/>
    </row>
    <row r="257" spans="1:16" s="24" customFormat="1" ht="15.75" customHeight="1" x14ac:dyDescent="0.3">
      <c r="A257" s="141">
        <f t="shared" si="8"/>
        <v>26</v>
      </c>
      <c r="B257" s="142"/>
      <c r="C257" s="29" t="s">
        <v>282</v>
      </c>
      <c r="D257" s="29">
        <f>42.818*10.764</f>
        <v>460.89295199999992</v>
      </c>
      <c r="E257" s="29">
        <v>0</v>
      </c>
      <c r="F257" s="29">
        <v>955</v>
      </c>
      <c r="G257" s="154"/>
      <c r="H257" s="155"/>
      <c r="I257" s="23"/>
      <c r="L257" s="125"/>
      <c r="M257" s="125"/>
      <c r="N257" s="23"/>
    </row>
    <row r="258" spans="1:16" s="24" customFormat="1" ht="15.75" customHeight="1" x14ac:dyDescent="0.3">
      <c r="A258" s="141">
        <f t="shared" si="8"/>
        <v>27</v>
      </c>
      <c r="B258" s="142"/>
      <c r="C258" s="29" t="s">
        <v>282</v>
      </c>
      <c r="D258" s="29">
        <f>62.267*10.764</f>
        <v>670.24198799999999</v>
      </c>
      <c r="E258" s="29">
        <v>0</v>
      </c>
      <c r="F258" s="29">
        <v>1385</v>
      </c>
      <c r="G258" s="154"/>
      <c r="H258" s="155"/>
      <c r="I258" s="23"/>
      <c r="K258" s="24">
        <f t="shared" ref="K258:K266" si="9">F314/D314</f>
        <v>2.0675164136775352</v>
      </c>
      <c r="L258" s="125"/>
      <c r="M258" s="125"/>
      <c r="N258" s="23"/>
    </row>
    <row r="259" spans="1:16" s="24" customFormat="1" ht="15.75" customHeight="1" x14ac:dyDescent="0.3">
      <c r="A259" s="141">
        <f t="shared" si="8"/>
        <v>28</v>
      </c>
      <c r="B259" s="142"/>
      <c r="C259" s="29" t="s">
        <v>282</v>
      </c>
      <c r="D259" s="29">
        <f>62.267*10.764</f>
        <v>670.24198799999999</v>
      </c>
      <c r="E259" s="29">
        <v>0</v>
      </c>
      <c r="F259" s="29">
        <v>1385</v>
      </c>
      <c r="G259" s="154"/>
      <c r="H259" s="155"/>
      <c r="I259" s="23"/>
      <c r="K259" s="24">
        <f t="shared" si="9"/>
        <v>2.0746772833121772</v>
      </c>
      <c r="L259" s="125"/>
      <c r="M259" s="125"/>
      <c r="N259" s="23"/>
    </row>
    <row r="260" spans="1:16" s="24" customFormat="1" ht="15.75" customHeight="1" x14ac:dyDescent="0.3">
      <c r="A260" s="141">
        <f t="shared" si="8"/>
        <v>29</v>
      </c>
      <c r="B260" s="142"/>
      <c r="C260" s="29" t="s">
        <v>282</v>
      </c>
      <c r="D260" s="29">
        <f>42.818*10.764</f>
        <v>460.89295199999992</v>
      </c>
      <c r="E260" s="29">
        <v>0</v>
      </c>
      <c r="F260" s="29">
        <v>955</v>
      </c>
      <c r="G260" s="154"/>
      <c r="H260" s="155"/>
      <c r="I260" s="23"/>
      <c r="K260" s="24">
        <f t="shared" si="9"/>
        <v>2.1460445094781773</v>
      </c>
      <c r="L260" s="125"/>
      <c r="M260" s="125"/>
      <c r="N260" s="23"/>
    </row>
    <row r="261" spans="1:16" s="24" customFormat="1" ht="15.75" customHeight="1" x14ac:dyDescent="0.3">
      <c r="A261" s="141">
        <f t="shared" si="8"/>
        <v>30</v>
      </c>
      <c r="B261" s="142"/>
      <c r="C261" s="29" t="s">
        <v>282</v>
      </c>
      <c r="D261" s="29">
        <f>46.332*10.764</f>
        <v>498.717648</v>
      </c>
      <c r="E261" s="29">
        <v>0</v>
      </c>
      <c r="F261" s="29">
        <v>1030</v>
      </c>
      <c r="G261" s="154"/>
      <c r="H261" s="155"/>
      <c r="I261" s="23"/>
      <c r="K261" s="24">
        <f t="shared" si="9"/>
        <v>2.143118085147071</v>
      </c>
    </row>
    <row r="262" spans="1:16" s="24" customFormat="1" ht="16.2" thickBot="1" x14ac:dyDescent="0.35">
      <c r="A262" s="141">
        <f t="shared" si="8"/>
        <v>31</v>
      </c>
      <c r="B262" s="142"/>
      <c r="C262" s="29" t="s">
        <v>282</v>
      </c>
      <c r="D262" s="29">
        <f>69.428*10.764</f>
        <v>747.32299199999989</v>
      </c>
      <c r="E262" s="29">
        <v>0</v>
      </c>
      <c r="F262" s="29">
        <v>1535</v>
      </c>
      <c r="G262" s="156"/>
      <c r="H262" s="157"/>
      <c r="I262" s="23"/>
      <c r="K262" s="24">
        <f t="shared" si="9"/>
        <v>2.143118085147071</v>
      </c>
    </row>
    <row r="263" spans="1:16" ht="16.2" thickBot="1" x14ac:dyDescent="0.35">
      <c r="A263" s="149" t="s">
        <v>258</v>
      </c>
      <c r="B263" s="150"/>
      <c r="C263" s="150"/>
      <c r="D263" s="150"/>
      <c r="E263" s="150"/>
      <c r="F263" s="150"/>
      <c r="G263" s="150"/>
      <c r="H263" s="151"/>
      <c r="I263" s="24"/>
      <c r="J263" s="23"/>
      <c r="K263" s="24">
        <f t="shared" si="9"/>
        <v>2.0756344917002973</v>
      </c>
      <c r="L263" s="53" t="s">
        <v>272</v>
      </c>
      <c r="M263" s="53" t="s">
        <v>271</v>
      </c>
      <c r="N263" s="53" t="s">
        <v>274</v>
      </c>
      <c r="O263" s="53" t="s">
        <v>275</v>
      </c>
      <c r="P263" s="41" t="s">
        <v>276</v>
      </c>
    </row>
    <row r="264" spans="1:16" s="24" customFormat="1" x14ac:dyDescent="0.3">
      <c r="A264" s="149" t="s">
        <v>287</v>
      </c>
      <c r="B264" s="150"/>
      <c r="C264" s="150"/>
      <c r="D264" s="150"/>
      <c r="E264" s="150"/>
      <c r="F264" s="150"/>
      <c r="G264" s="150"/>
      <c r="H264" s="151"/>
      <c r="J264" s="23"/>
      <c r="K264" s="24">
        <f t="shared" si="9"/>
        <v>2.0746772833121772</v>
      </c>
    </row>
    <row r="265" spans="1:16" s="24" customFormat="1" x14ac:dyDescent="0.3">
      <c r="A265" s="141">
        <v>16</v>
      </c>
      <c r="B265" s="142"/>
      <c r="C265" s="29" t="s">
        <v>282</v>
      </c>
      <c r="D265" s="29">
        <f>69.5*10.764</f>
        <v>748.09799999999996</v>
      </c>
      <c r="E265" s="29">
        <v>0</v>
      </c>
      <c r="F265" s="29">
        <v>1535</v>
      </c>
      <c r="G265" s="152" t="str">
        <f>A264</f>
        <v>Ground Floor For Commercial, Meter Room &amp; Parking</v>
      </c>
      <c r="H265" s="153"/>
      <c r="I265" s="23">
        <f>4.945*12.99+3.295*1.05+1.5*0.95</f>
        <v>69.1203</v>
      </c>
      <c r="K265" s="24">
        <f t="shared" si="9"/>
        <v>2.0675164136775352</v>
      </c>
    </row>
    <row r="266" spans="1:16" s="24" customFormat="1" x14ac:dyDescent="0.3">
      <c r="A266" s="141">
        <f t="shared" ref="A266:A272" si="10">A265+1</f>
        <v>17</v>
      </c>
      <c r="B266" s="142"/>
      <c r="C266" s="29" t="s">
        <v>282</v>
      </c>
      <c r="D266" s="29">
        <f>46.381*10.764</f>
        <v>499.24508399999996</v>
      </c>
      <c r="E266" s="29">
        <v>0</v>
      </c>
      <c r="F266" s="29">
        <v>1030</v>
      </c>
      <c r="G266" s="154"/>
      <c r="H266" s="155"/>
      <c r="I266" s="23">
        <f>3.3*12.99+1.65*1.05+1.5*0.95</f>
        <v>46.024499999999996</v>
      </c>
      <c r="K266" s="24" t="e">
        <f t="shared" si="9"/>
        <v>#DIV/0!</v>
      </c>
    </row>
    <row r="267" spans="1:16" s="24" customFormat="1" ht="16.2" thickBot="1" x14ac:dyDescent="0.35">
      <c r="A267" s="141">
        <f t="shared" si="10"/>
        <v>18</v>
      </c>
      <c r="B267" s="142"/>
      <c r="C267" s="29" t="s">
        <v>282</v>
      </c>
      <c r="D267" s="29">
        <f>42.867*10.764</f>
        <v>461.42038799999995</v>
      </c>
      <c r="E267" s="29">
        <v>0</v>
      </c>
      <c r="F267" s="29">
        <v>955</v>
      </c>
      <c r="G267" s="154"/>
      <c r="H267" s="155"/>
      <c r="I267" s="23"/>
    </row>
    <row r="268" spans="1:16" s="24" customFormat="1" x14ac:dyDescent="0.3">
      <c r="A268" s="141">
        <f t="shared" si="10"/>
        <v>19</v>
      </c>
      <c r="B268" s="142"/>
      <c r="C268" s="29" t="s">
        <v>282</v>
      </c>
      <c r="D268" s="29">
        <f>62.334*10.764</f>
        <v>670.96317599999998</v>
      </c>
      <c r="E268" s="29">
        <v>0</v>
      </c>
      <c r="F268" s="29">
        <v>1385</v>
      </c>
      <c r="G268" s="154"/>
      <c r="H268" s="155"/>
      <c r="I268" s="23"/>
      <c r="K268" s="24">
        <f t="shared" ref="K268:K275" si="11">F324/D324</f>
        <v>2.0513578396298717</v>
      </c>
      <c r="L268" s="42">
        <f>1.815*2.04+2*1.14</f>
        <v>5.9825999999999997</v>
      </c>
      <c r="M268" s="42">
        <f>1.365*4.005+0.735*2.065</f>
        <v>6.9846000000000004</v>
      </c>
      <c r="N268" s="54">
        <f>K282+L268+M268</f>
        <v>198.28070000000002</v>
      </c>
      <c r="O268" s="42">
        <f>4.355*1.8+7.315*1.8+2.08*7.36</f>
        <v>36.314800000000005</v>
      </c>
      <c r="P268" s="43">
        <f>N268+O268</f>
        <v>234.59550000000002</v>
      </c>
    </row>
    <row r="269" spans="1:16" s="24" customFormat="1" ht="16.2" thickBot="1" x14ac:dyDescent="0.35">
      <c r="A269" s="141">
        <f t="shared" si="10"/>
        <v>20</v>
      </c>
      <c r="B269" s="142"/>
      <c r="C269" s="29" t="s">
        <v>282</v>
      </c>
      <c r="D269" s="29">
        <f>62.334*10.764</f>
        <v>670.96317599999998</v>
      </c>
      <c r="E269" s="29">
        <v>0</v>
      </c>
      <c r="F269" s="29">
        <v>1385</v>
      </c>
      <c r="G269" s="154"/>
      <c r="H269" s="155"/>
      <c r="I269" s="23"/>
      <c r="K269" s="24">
        <f t="shared" si="11"/>
        <v>2.1093935564685418</v>
      </c>
      <c r="L269" s="45">
        <f>1.65*2.625+1.35*1.46+2</f>
        <v>8.3022500000000008</v>
      </c>
      <c r="M269" s="45">
        <f>3.685*1.25</f>
        <v>4.6062500000000002</v>
      </c>
      <c r="N269" s="55">
        <f>K283+L269+M269</f>
        <v>138.362325</v>
      </c>
      <c r="O269" s="44">
        <f>4.285*1.8+2.54*2.215</f>
        <v>13.3391</v>
      </c>
      <c r="P269" s="46">
        <f>N269+O269</f>
        <v>151.701425</v>
      </c>
    </row>
    <row r="270" spans="1:16" s="24" customFormat="1" x14ac:dyDescent="0.3">
      <c r="A270" s="141">
        <f t="shared" si="10"/>
        <v>21</v>
      </c>
      <c r="B270" s="142"/>
      <c r="C270" s="29" t="s">
        <v>282</v>
      </c>
      <c r="D270" s="29">
        <f>42.867*10.764</f>
        <v>461.42038799999995</v>
      </c>
      <c r="E270" s="29">
        <v>0</v>
      </c>
      <c r="F270" s="29">
        <v>955</v>
      </c>
      <c r="G270" s="154"/>
      <c r="H270" s="155"/>
      <c r="I270" s="23"/>
      <c r="K270" s="24">
        <f t="shared" si="11"/>
        <v>2.0586565118199354</v>
      </c>
    </row>
    <row r="271" spans="1:16" s="24" customFormat="1" ht="15.75" customHeight="1" x14ac:dyDescent="0.3">
      <c r="A271" s="141">
        <f t="shared" si="10"/>
        <v>22</v>
      </c>
      <c r="B271" s="142"/>
      <c r="C271" s="29" t="s">
        <v>282</v>
      </c>
      <c r="D271" s="29">
        <f>46.381*10.764</f>
        <v>499.24508399999996</v>
      </c>
      <c r="E271" s="29">
        <v>0</v>
      </c>
      <c r="F271" s="29">
        <v>1030</v>
      </c>
      <c r="G271" s="154"/>
      <c r="H271" s="155"/>
      <c r="I271" s="23"/>
      <c r="K271" s="24">
        <f t="shared" si="11"/>
        <v>2.2367727484901145</v>
      </c>
      <c r="L271" s="172">
        <f>K285/D341</f>
        <v>1.7253490195818613</v>
      </c>
      <c r="M271" s="172"/>
      <c r="N271" s="23"/>
    </row>
    <row r="272" spans="1:16" s="24" customFormat="1" ht="15.75" customHeight="1" x14ac:dyDescent="0.3">
      <c r="A272" s="141">
        <f t="shared" si="10"/>
        <v>23</v>
      </c>
      <c r="B272" s="142"/>
      <c r="C272" s="29" t="s">
        <v>282</v>
      </c>
      <c r="D272" s="29">
        <f>69.5*10.764</f>
        <v>748.09799999999996</v>
      </c>
      <c r="E272" s="29">
        <v>0</v>
      </c>
      <c r="F272" s="29">
        <v>1535</v>
      </c>
      <c r="G272" s="156"/>
      <c r="H272" s="157"/>
      <c r="I272" s="23"/>
      <c r="K272" s="24">
        <f t="shared" si="11"/>
        <v>2.2367727484901145</v>
      </c>
      <c r="L272" s="172">
        <f>K286/D342</f>
        <v>1.7767683585585639</v>
      </c>
      <c r="M272" s="172"/>
      <c r="N272" s="23"/>
    </row>
    <row r="273" spans="1:14" s="24" customFormat="1" ht="15.75" customHeight="1" x14ac:dyDescent="0.3">
      <c r="A273" s="149" t="s">
        <v>259</v>
      </c>
      <c r="B273" s="150"/>
      <c r="C273" s="150"/>
      <c r="D273" s="150"/>
      <c r="E273" s="150"/>
      <c r="F273" s="150"/>
      <c r="G273" s="150"/>
      <c r="H273" s="151"/>
      <c r="J273" s="23"/>
      <c r="K273" s="24">
        <f t="shared" si="11"/>
        <v>2.0488533855731736</v>
      </c>
      <c r="L273" s="172">
        <f>K287/D343</f>
        <v>1.7688919714465174</v>
      </c>
      <c r="M273" s="172"/>
      <c r="N273" s="23"/>
    </row>
    <row r="274" spans="1:14" s="24" customFormat="1" ht="15.75" customHeight="1" x14ac:dyDescent="0.3">
      <c r="A274" s="149" t="s">
        <v>287</v>
      </c>
      <c r="B274" s="150"/>
      <c r="C274" s="150"/>
      <c r="D274" s="150"/>
      <c r="E274" s="150"/>
      <c r="F274" s="150"/>
      <c r="G274" s="150"/>
      <c r="H274" s="151"/>
      <c r="J274" s="23"/>
      <c r="K274" s="24">
        <f t="shared" si="11"/>
        <v>2.3685726142438197</v>
      </c>
      <c r="L274" s="172">
        <f>K288/D344</f>
        <v>1.7253490195818613</v>
      </c>
      <c r="M274" s="172"/>
      <c r="N274" s="23"/>
    </row>
    <row r="275" spans="1:14" s="24" customFormat="1" x14ac:dyDescent="0.3">
      <c r="A275" s="141">
        <v>8</v>
      </c>
      <c r="B275" s="142"/>
      <c r="C275" s="29" t="s">
        <v>282</v>
      </c>
      <c r="D275" s="29">
        <f>69.42*10.764</f>
        <v>747.23687999999993</v>
      </c>
      <c r="E275" s="29">
        <v>0</v>
      </c>
      <c r="F275" s="29">
        <v>1535</v>
      </c>
      <c r="G275" s="152" t="str">
        <f>A274</f>
        <v>Ground Floor For Commercial, Meter Room &amp; Parking</v>
      </c>
      <c r="H275" s="153"/>
      <c r="I275" s="23">
        <f>4.945*14.04</f>
        <v>69.427800000000005</v>
      </c>
      <c r="K275" s="24">
        <f t="shared" si="11"/>
        <v>2.0513578396298717</v>
      </c>
    </row>
    <row r="276" spans="1:14" s="24" customFormat="1" ht="15.75" customHeight="1" thickBot="1" x14ac:dyDescent="0.35">
      <c r="A276" s="141">
        <f t="shared" ref="A276:A282" si="12">A275+1</f>
        <v>9</v>
      </c>
      <c r="B276" s="142"/>
      <c r="C276" s="29" t="s">
        <v>282</v>
      </c>
      <c r="D276" s="29">
        <f>46.327*10.764</f>
        <v>498.66382799999997</v>
      </c>
      <c r="E276" s="29">
        <v>0</v>
      </c>
      <c r="F276" s="29">
        <v>1030</v>
      </c>
      <c r="G276" s="154"/>
      <c r="H276" s="155"/>
      <c r="I276" s="23"/>
      <c r="L276" s="125"/>
      <c r="M276" s="125"/>
      <c r="N276" s="23"/>
    </row>
    <row r="277" spans="1:14" s="24" customFormat="1" ht="15.75" customHeight="1" thickBot="1" x14ac:dyDescent="0.35">
      <c r="A277" s="141">
        <f t="shared" si="12"/>
        <v>10</v>
      </c>
      <c r="B277" s="142"/>
      <c r="C277" s="29" t="s">
        <v>282</v>
      </c>
      <c r="D277" s="29">
        <f>42.821*10.764</f>
        <v>460.92524399999996</v>
      </c>
      <c r="E277" s="29">
        <v>0</v>
      </c>
      <c r="F277" s="29">
        <v>955</v>
      </c>
      <c r="G277" s="154"/>
      <c r="H277" s="155"/>
      <c r="I277" s="23"/>
      <c r="K277" s="53" t="s">
        <v>273</v>
      </c>
      <c r="L277" s="125"/>
      <c r="M277" s="125"/>
      <c r="N277" s="23"/>
    </row>
    <row r="278" spans="1:14" s="24" customFormat="1" ht="15.75" customHeight="1" x14ac:dyDescent="0.3">
      <c r="A278" s="141">
        <f t="shared" si="12"/>
        <v>11</v>
      </c>
      <c r="B278" s="142"/>
      <c r="C278" s="29" t="s">
        <v>282</v>
      </c>
      <c r="D278" s="29">
        <f>62.267*10.764</f>
        <v>670.24198799999999</v>
      </c>
      <c r="E278" s="29">
        <v>0</v>
      </c>
      <c r="F278" s="29">
        <v>1385</v>
      </c>
      <c r="G278" s="154"/>
      <c r="H278" s="155"/>
      <c r="I278" s="23"/>
      <c r="L278" s="125"/>
      <c r="M278" s="125"/>
      <c r="N278" s="23"/>
    </row>
    <row r="279" spans="1:14" s="24" customFormat="1" ht="15.75" customHeight="1" x14ac:dyDescent="0.3">
      <c r="A279" s="141">
        <f t="shared" si="12"/>
        <v>12</v>
      </c>
      <c r="B279" s="142"/>
      <c r="C279" s="29" t="s">
        <v>282</v>
      </c>
      <c r="D279" s="29">
        <f>62.267*10.764</f>
        <v>670.24198799999999</v>
      </c>
      <c r="E279" s="29">
        <v>0</v>
      </c>
      <c r="F279" s="29">
        <v>1385</v>
      </c>
      <c r="G279" s="154"/>
      <c r="H279" s="155"/>
      <c r="I279" s="23"/>
      <c r="L279" s="125"/>
      <c r="M279" s="125"/>
      <c r="N279" s="23"/>
    </row>
    <row r="280" spans="1:14" s="24" customFormat="1" x14ac:dyDescent="0.3">
      <c r="A280" s="141">
        <f t="shared" si="12"/>
        <v>13</v>
      </c>
      <c r="B280" s="142"/>
      <c r="C280" s="29" t="s">
        <v>282</v>
      </c>
      <c r="D280" s="29">
        <f>42.821*10.764</f>
        <v>460.92524399999996</v>
      </c>
      <c r="E280" s="29">
        <v>0</v>
      </c>
      <c r="F280" s="29">
        <v>955</v>
      </c>
      <c r="G280" s="154"/>
      <c r="H280" s="155"/>
      <c r="I280" s="23"/>
    </row>
    <row r="281" spans="1:14" s="24" customFormat="1" ht="15.75" customHeight="1" thickBot="1" x14ac:dyDescent="0.35">
      <c r="A281" s="141">
        <f t="shared" si="12"/>
        <v>14</v>
      </c>
      <c r="B281" s="142"/>
      <c r="C281" s="29" t="s">
        <v>282</v>
      </c>
      <c r="D281" s="29">
        <f>46.327*10.764</f>
        <v>498.66382799999997</v>
      </c>
      <c r="E281" s="29">
        <v>0</v>
      </c>
      <c r="F281" s="29">
        <v>1030</v>
      </c>
      <c r="G281" s="154"/>
      <c r="H281" s="155"/>
      <c r="I281" s="23">
        <f>3.3*14.04</f>
        <v>46.331999999999994</v>
      </c>
      <c r="L281" s="125"/>
      <c r="M281" s="125"/>
      <c r="N281" s="23"/>
    </row>
    <row r="282" spans="1:14" s="24" customFormat="1" ht="15.75" customHeight="1" x14ac:dyDescent="0.3">
      <c r="A282" s="141">
        <f t="shared" si="12"/>
        <v>15</v>
      </c>
      <c r="B282" s="142"/>
      <c r="C282" s="29" t="s">
        <v>282</v>
      </c>
      <c r="D282" s="29">
        <f>69.42*10.764</f>
        <v>747.23687999999993</v>
      </c>
      <c r="E282" s="29">
        <v>0</v>
      </c>
      <c r="F282" s="29">
        <v>1535</v>
      </c>
      <c r="G282" s="156"/>
      <c r="H282" s="157"/>
      <c r="I282" s="23">
        <f>4.945*14.04</f>
        <v>69.427800000000005</v>
      </c>
      <c r="K282" s="42">
        <f>(8.845*6.62+4.875*3.075+4.885*3.35+6.495*3.66+4.88*4.265+3.65*4.315+2.455*1.84+2.45*1.84+1.835*2.45+1.95*2.45+2.115*1.84+1.835*1.715+1.95*1.75+1.7*0.9+1.1*1.9+1.5*1.8)</f>
        <v>185.31350000000003</v>
      </c>
      <c r="L282" s="125"/>
      <c r="M282" s="125"/>
      <c r="N282" s="23"/>
    </row>
    <row r="283" spans="1:14" s="24" customFormat="1" ht="15.75" customHeight="1" thickBot="1" x14ac:dyDescent="0.35">
      <c r="A283" s="149" t="s">
        <v>260</v>
      </c>
      <c r="B283" s="150"/>
      <c r="C283" s="150"/>
      <c r="D283" s="150"/>
      <c r="E283" s="150"/>
      <c r="F283" s="150"/>
      <c r="G283" s="150"/>
      <c r="H283" s="151"/>
      <c r="J283" s="23"/>
      <c r="K283" s="44">
        <f>(7.615*4.95+1.45*1.67+3.785*3.65+3.05*4.565+3.35*4.565+4.895*3.65+1.515*2.6+2.155*2.115+2.915*1.865+2.915*1.685+3.4*1.2+1.515*1)</f>
        <v>125.45382500000001</v>
      </c>
      <c r="L283" s="125"/>
      <c r="M283" s="125"/>
      <c r="N283" s="23"/>
    </row>
    <row r="284" spans="1:14" s="24" customFormat="1" ht="15.75" customHeight="1" x14ac:dyDescent="0.3">
      <c r="A284" s="149" t="s">
        <v>287</v>
      </c>
      <c r="B284" s="150"/>
      <c r="C284" s="150"/>
      <c r="D284" s="150"/>
      <c r="E284" s="150"/>
      <c r="F284" s="150"/>
      <c r="G284" s="150"/>
      <c r="H284" s="151"/>
      <c r="J284" s="23"/>
      <c r="L284" s="125"/>
      <c r="M284" s="125"/>
      <c r="N284" s="23"/>
    </row>
    <row r="285" spans="1:14" s="24" customFormat="1" x14ac:dyDescent="0.3">
      <c r="A285" s="141">
        <v>1</v>
      </c>
      <c r="B285" s="142"/>
      <c r="C285" s="29" t="s">
        <v>282</v>
      </c>
      <c r="D285" s="29">
        <f>91.22*10.764</f>
        <v>981.89207999999996</v>
      </c>
      <c r="E285" s="29">
        <v>0</v>
      </c>
      <c r="F285" s="29">
        <v>2020</v>
      </c>
      <c r="G285" s="152" t="str">
        <f>A284</f>
        <v>Ground Floor For Commercial, Meter Room &amp; Parking</v>
      </c>
      <c r="H285" s="153"/>
      <c r="I285" s="39">
        <f>6.525*13.98</f>
        <v>91.219500000000011</v>
      </c>
      <c r="K285" s="24">
        <v>4370</v>
      </c>
    </row>
    <row r="286" spans="1:14" s="24" customFormat="1" ht="15.75" customHeight="1" x14ac:dyDescent="0.3">
      <c r="A286" s="141">
        <f t="shared" ref="A286:A291" si="13">A285+1</f>
        <v>2</v>
      </c>
      <c r="B286" s="142"/>
      <c r="C286" s="29" t="s">
        <v>282</v>
      </c>
      <c r="D286" s="29">
        <f>73.745*10.764</f>
        <v>793.79118000000005</v>
      </c>
      <c r="E286" s="29">
        <v>0</v>
      </c>
      <c r="F286" s="29">
        <v>1635</v>
      </c>
      <c r="G286" s="154"/>
      <c r="H286" s="155"/>
      <c r="I286" s="39">
        <f>5.275*13.98</f>
        <v>73.744500000000002</v>
      </c>
      <c r="K286" s="24">
        <v>2925</v>
      </c>
      <c r="L286" s="125"/>
      <c r="M286" s="125"/>
      <c r="N286" s="23"/>
    </row>
    <row r="287" spans="1:14" s="24" customFormat="1" x14ac:dyDescent="0.3">
      <c r="A287" s="141">
        <f t="shared" si="13"/>
        <v>3</v>
      </c>
      <c r="B287" s="142"/>
      <c r="C287" s="29" t="s">
        <v>282</v>
      </c>
      <c r="D287" s="29">
        <f>53.95*10.764</f>
        <v>580.71780000000001</v>
      </c>
      <c r="E287" s="29">
        <v>0</v>
      </c>
      <c r="F287" s="29">
        <v>1200</v>
      </c>
      <c r="G287" s="154"/>
      <c r="H287" s="155"/>
      <c r="I287" s="23"/>
      <c r="K287" s="24">
        <v>2925</v>
      </c>
    </row>
    <row r="288" spans="1:14" s="24" customFormat="1" x14ac:dyDescent="0.3">
      <c r="A288" s="141">
        <f t="shared" si="13"/>
        <v>4</v>
      </c>
      <c r="B288" s="142"/>
      <c r="C288" s="29" t="s">
        <v>282</v>
      </c>
      <c r="D288" s="29">
        <f>62.21*10.764</f>
        <v>669.62843999999996</v>
      </c>
      <c r="E288" s="29">
        <v>0</v>
      </c>
      <c r="F288" s="29">
        <v>1385</v>
      </c>
      <c r="G288" s="154"/>
      <c r="H288" s="155"/>
      <c r="I288" s="23"/>
      <c r="K288" s="24">
        <v>4370</v>
      </c>
    </row>
    <row r="289" spans="1:16" s="24" customFormat="1" x14ac:dyDescent="0.3">
      <c r="A289" s="141">
        <f t="shared" si="13"/>
        <v>5</v>
      </c>
      <c r="B289" s="142"/>
      <c r="C289" s="29" t="s">
        <v>282</v>
      </c>
      <c r="D289" s="29">
        <f>42.82*10.764</f>
        <v>460.91447999999997</v>
      </c>
      <c r="E289" s="29">
        <v>0</v>
      </c>
      <c r="F289" s="29">
        <v>955</v>
      </c>
      <c r="G289" s="154"/>
      <c r="H289" s="155"/>
      <c r="I289" s="23"/>
      <c r="L289" s="36" t="s">
        <v>299</v>
      </c>
    </row>
    <row r="290" spans="1:16" s="24" customFormat="1" ht="15.75" customHeight="1" x14ac:dyDescent="0.3">
      <c r="A290" s="141">
        <f t="shared" si="13"/>
        <v>6</v>
      </c>
      <c r="B290" s="142"/>
      <c r="C290" s="29" t="s">
        <v>282</v>
      </c>
      <c r="D290" s="29">
        <f>46.334*10.764</f>
        <v>498.73917599999999</v>
      </c>
      <c r="E290" s="29">
        <v>0</v>
      </c>
      <c r="F290" s="29">
        <v>1030</v>
      </c>
      <c r="G290" s="154"/>
      <c r="H290" s="155"/>
      <c r="I290" s="23"/>
      <c r="L290" s="36">
        <f>4.285*1.8</f>
        <v>7.7130000000000001</v>
      </c>
      <c r="M290" s="24">
        <f>F360/D360</f>
        <v>1.7974003111503318</v>
      </c>
      <c r="O290" s="36"/>
      <c r="P290" s="36"/>
    </row>
    <row r="291" spans="1:16" s="24" customFormat="1" ht="15.75" customHeight="1" x14ac:dyDescent="0.3">
      <c r="A291" s="141">
        <f t="shared" si="13"/>
        <v>7</v>
      </c>
      <c r="B291" s="142"/>
      <c r="C291" s="29" t="s">
        <v>282</v>
      </c>
      <c r="D291" s="29">
        <f>69.428*10.764</f>
        <v>747.32299199999989</v>
      </c>
      <c r="E291" s="29">
        <v>0</v>
      </c>
      <c r="F291" s="29">
        <v>1535</v>
      </c>
      <c r="G291" s="154"/>
      <c r="H291" s="155"/>
      <c r="I291" s="23"/>
      <c r="K291" s="24">
        <f>29500000/F347</f>
        <v>10085.470085470086</v>
      </c>
      <c r="L291" s="38"/>
      <c r="M291" s="24">
        <f t="shared" ref="M291:M293" si="14">F361/D361</f>
        <v>1.7974003111503318</v>
      </c>
      <c r="N291" s="38"/>
      <c r="O291" s="36"/>
      <c r="P291" s="36"/>
    </row>
    <row r="292" spans="1:16" s="24" customFormat="1" ht="15.75" customHeight="1" x14ac:dyDescent="0.3">
      <c r="A292" s="149" t="s">
        <v>263</v>
      </c>
      <c r="B292" s="150"/>
      <c r="C292" s="150"/>
      <c r="D292" s="150"/>
      <c r="E292" s="150"/>
      <c r="F292" s="150"/>
      <c r="G292" s="150"/>
      <c r="H292" s="151"/>
      <c r="J292" s="23"/>
      <c r="L292" s="35"/>
      <c r="M292" s="24">
        <f t="shared" si="14"/>
        <v>1.7974003111503318</v>
      </c>
      <c r="N292" s="23"/>
    </row>
    <row r="293" spans="1:16" s="24" customFormat="1" ht="15.75" customHeight="1" x14ac:dyDescent="0.3">
      <c r="A293" s="149" t="s">
        <v>287</v>
      </c>
      <c r="B293" s="150"/>
      <c r="C293" s="150"/>
      <c r="D293" s="150"/>
      <c r="E293" s="150"/>
      <c r="F293" s="150"/>
      <c r="G293" s="150"/>
      <c r="H293" s="151"/>
      <c r="J293" s="23"/>
      <c r="L293" s="35"/>
      <c r="M293" s="24">
        <f t="shared" si="14"/>
        <v>1.7974003111503318</v>
      </c>
      <c r="N293" s="23"/>
    </row>
    <row r="294" spans="1:16" s="24" customFormat="1" ht="15.75" customHeight="1" x14ac:dyDescent="0.3">
      <c r="A294" s="141">
        <v>63</v>
      </c>
      <c r="B294" s="142"/>
      <c r="C294" s="29" t="s">
        <v>282</v>
      </c>
      <c r="D294" s="29">
        <f>49.817*10.764</f>
        <v>536.230188</v>
      </c>
      <c r="E294" s="29">
        <v>0</v>
      </c>
      <c r="F294" s="29">
        <v>1100</v>
      </c>
      <c r="G294" s="152" t="str">
        <f>A293</f>
        <v>Ground Floor For Commercial, Meter Room &amp; Parking</v>
      </c>
      <c r="H294" s="153"/>
      <c r="I294" s="39"/>
    </row>
    <row r="295" spans="1:16" s="24" customFormat="1" ht="15.75" customHeight="1" x14ac:dyDescent="0.3">
      <c r="A295" s="141">
        <f t="shared" ref="A295:A301" si="15">A294+1</f>
        <v>64</v>
      </c>
      <c r="B295" s="142"/>
      <c r="C295" s="29" t="s">
        <v>282</v>
      </c>
      <c r="D295" s="29">
        <f>36.555*10.764</f>
        <v>393.47801999999996</v>
      </c>
      <c r="E295" s="29">
        <v>0</v>
      </c>
      <c r="F295" s="29">
        <v>830</v>
      </c>
      <c r="G295" s="154"/>
      <c r="H295" s="155"/>
      <c r="I295" s="39"/>
      <c r="O295" s="36"/>
      <c r="P295" s="36"/>
    </row>
    <row r="296" spans="1:16" s="24" customFormat="1" ht="15.75" customHeight="1" x14ac:dyDescent="0.3">
      <c r="A296" s="141">
        <f t="shared" si="15"/>
        <v>65</v>
      </c>
      <c r="B296" s="142"/>
      <c r="C296" s="29" t="s">
        <v>282</v>
      </c>
      <c r="D296" s="29">
        <f>47.384*10.764</f>
        <v>510.04137599999996</v>
      </c>
      <c r="E296" s="29">
        <v>0</v>
      </c>
      <c r="F296" s="29">
        <v>1045</v>
      </c>
      <c r="G296" s="154"/>
      <c r="H296" s="155"/>
      <c r="I296" s="23"/>
      <c r="L296" s="38"/>
      <c r="M296" s="38"/>
      <c r="N296" s="38"/>
      <c r="O296" s="36"/>
      <c r="P296" s="36"/>
    </row>
    <row r="297" spans="1:16" s="24" customFormat="1" ht="15.75" customHeight="1" x14ac:dyDescent="0.3">
      <c r="A297" s="141">
        <f t="shared" si="15"/>
        <v>66</v>
      </c>
      <c r="B297" s="142"/>
      <c r="C297" s="29" t="s">
        <v>282</v>
      </c>
      <c r="D297" s="29">
        <f>37.796*10.764</f>
        <v>406.83614399999999</v>
      </c>
      <c r="E297" s="29">
        <v>0</v>
      </c>
      <c r="F297" s="29">
        <v>910</v>
      </c>
      <c r="G297" s="154"/>
      <c r="H297" s="155"/>
      <c r="I297" s="23"/>
      <c r="L297" s="35"/>
      <c r="M297" s="35"/>
      <c r="N297" s="23"/>
    </row>
    <row r="298" spans="1:16" s="24" customFormat="1" ht="15.75" customHeight="1" x14ac:dyDescent="0.3">
      <c r="A298" s="141">
        <f t="shared" si="15"/>
        <v>67</v>
      </c>
      <c r="B298" s="142"/>
      <c r="C298" s="29" t="s">
        <v>282</v>
      </c>
      <c r="D298" s="29">
        <f>37.796*10.764</f>
        <v>406.83614399999999</v>
      </c>
      <c r="E298" s="29">
        <v>0</v>
      </c>
      <c r="F298" s="29">
        <v>910</v>
      </c>
      <c r="G298" s="154"/>
      <c r="H298" s="155"/>
      <c r="I298" s="23"/>
      <c r="L298" s="35"/>
      <c r="M298" s="35"/>
      <c r="N298" s="23"/>
    </row>
    <row r="299" spans="1:16" s="24" customFormat="1" ht="15.75" customHeight="1" x14ac:dyDescent="0.3">
      <c r="A299" s="141">
        <f t="shared" si="15"/>
        <v>68</v>
      </c>
      <c r="B299" s="142"/>
      <c r="C299" s="29" t="s">
        <v>282</v>
      </c>
      <c r="D299" s="29">
        <f>47.384*10.764</f>
        <v>510.04137599999996</v>
      </c>
      <c r="E299" s="29">
        <v>0</v>
      </c>
      <c r="F299" s="29">
        <v>1045</v>
      </c>
      <c r="G299" s="154"/>
      <c r="H299" s="155"/>
      <c r="I299" s="23"/>
    </row>
    <row r="300" spans="1:16" s="24" customFormat="1" ht="15.75" customHeight="1" x14ac:dyDescent="0.3">
      <c r="A300" s="141">
        <f t="shared" si="15"/>
        <v>69</v>
      </c>
      <c r="B300" s="142"/>
      <c r="C300" s="29" t="s">
        <v>282</v>
      </c>
      <c r="D300" s="29">
        <f>32.555*10.764</f>
        <v>350.42201999999997</v>
      </c>
      <c r="E300" s="29">
        <v>0</v>
      </c>
      <c r="F300" s="29">
        <v>830</v>
      </c>
      <c r="G300" s="154"/>
      <c r="H300" s="155"/>
      <c r="I300" s="23"/>
      <c r="O300" s="36"/>
      <c r="P300" s="36"/>
    </row>
    <row r="301" spans="1:16" s="24" customFormat="1" ht="15.75" customHeight="1" x14ac:dyDescent="0.3">
      <c r="A301" s="141">
        <f t="shared" si="15"/>
        <v>70</v>
      </c>
      <c r="B301" s="142"/>
      <c r="C301" s="29" t="s">
        <v>282</v>
      </c>
      <c r="D301" s="29">
        <f>49.817*10.764</f>
        <v>536.230188</v>
      </c>
      <c r="E301" s="29">
        <v>0</v>
      </c>
      <c r="F301" s="29">
        <v>1100</v>
      </c>
      <c r="G301" s="156"/>
      <c r="H301" s="157"/>
      <c r="I301" s="23"/>
      <c r="L301" s="38"/>
      <c r="M301" s="38"/>
      <c r="N301" s="38"/>
      <c r="O301" s="36"/>
      <c r="P301" s="36"/>
    </row>
    <row r="302" spans="1:16" s="24" customFormat="1" ht="15.75" customHeight="1" x14ac:dyDescent="0.3">
      <c r="A302" s="222" t="s">
        <v>264</v>
      </c>
      <c r="B302" s="223"/>
      <c r="C302" s="223"/>
      <c r="D302" s="223"/>
      <c r="E302" s="223"/>
      <c r="F302" s="223"/>
      <c r="G302" s="223"/>
      <c r="H302" s="224"/>
      <c r="I302" s="265"/>
      <c r="J302" s="266"/>
      <c r="L302" s="35"/>
      <c r="M302" s="35"/>
      <c r="N302" s="23"/>
    </row>
    <row r="303" spans="1:16" s="24" customFormat="1" ht="15.75" customHeight="1" x14ac:dyDescent="0.3">
      <c r="A303" s="222" t="s">
        <v>287</v>
      </c>
      <c r="B303" s="223"/>
      <c r="C303" s="223"/>
      <c r="D303" s="223"/>
      <c r="E303" s="223"/>
      <c r="F303" s="223"/>
      <c r="G303" s="223"/>
      <c r="H303" s="224"/>
      <c r="J303" s="23"/>
      <c r="K303" s="36" t="s">
        <v>298</v>
      </c>
      <c r="L303" s="35"/>
      <c r="M303" s="35"/>
      <c r="N303" s="23"/>
    </row>
    <row r="304" spans="1:16" s="24" customFormat="1" x14ac:dyDescent="0.3">
      <c r="A304" s="141">
        <v>55</v>
      </c>
      <c r="B304" s="142"/>
      <c r="C304" s="29" t="s">
        <v>282</v>
      </c>
      <c r="D304" s="29">
        <f>49.877*10.764</f>
        <v>536.87602800000002</v>
      </c>
      <c r="E304" s="29">
        <v>0</v>
      </c>
      <c r="F304" s="29">
        <v>1110</v>
      </c>
      <c r="G304" s="152" t="str">
        <f>A303</f>
        <v>Ground Floor For Commercial, Meter Room &amp; Parking</v>
      </c>
      <c r="H304" s="153"/>
      <c r="I304" s="39"/>
      <c r="K304" s="36">
        <f>(2.86*1.51+1.51*1.025+2*1.015)</f>
        <v>7.89635</v>
      </c>
    </row>
    <row r="305" spans="1:16" s="24" customFormat="1" x14ac:dyDescent="0.3">
      <c r="A305" s="141">
        <f t="shared" ref="A305:A311" si="16">A304+1</f>
        <v>56</v>
      </c>
      <c r="B305" s="142"/>
      <c r="C305" s="29" t="s">
        <v>282</v>
      </c>
      <c r="D305" s="29">
        <f>36.495*10.764</f>
        <v>392.83217999999994</v>
      </c>
      <c r="E305" s="29">
        <v>0</v>
      </c>
      <c r="F305" s="29">
        <v>815</v>
      </c>
      <c r="G305" s="154"/>
      <c r="H305" s="155"/>
      <c r="I305" s="39"/>
    </row>
    <row r="306" spans="1:16" s="24" customFormat="1" x14ac:dyDescent="0.3">
      <c r="A306" s="141">
        <f t="shared" si="16"/>
        <v>57</v>
      </c>
      <c r="B306" s="142"/>
      <c r="C306" s="29" t="s">
        <v>282</v>
      </c>
      <c r="D306" s="29">
        <f>3.9*11.1*10.764</f>
        <v>465.97355999999996</v>
      </c>
      <c r="E306" s="29">
        <v>0</v>
      </c>
      <c r="F306" s="29">
        <v>1000</v>
      </c>
      <c r="G306" s="154"/>
      <c r="H306" s="155"/>
      <c r="I306" s="23">
        <f>3.9*11.1</f>
        <v>43.29</v>
      </c>
      <c r="L306" s="36" t="s">
        <v>299</v>
      </c>
    </row>
    <row r="307" spans="1:16" s="24" customFormat="1" ht="15.75" customHeight="1" x14ac:dyDescent="0.3">
      <c r="A307" s="141">
        <f t="shared" si="16"/>
        <v>58</v>
      </c>
      <c r="B307" s="142"/>
      <c r="C307" s="29" t="s">
        <v>282</v>
      </c>
      <c r="D307" s="29">
        <f>3.3*11.1*10.764</f>
        <v>394.2853199999999</v>
      </c>
      <c r="E307" s="29">
        <v>0</v>
      </c>
      <c r="F307" s="29">
        <v>845</v>
      </c>
      <c r="G307" s="154"/>
      <c r="H307" s="155"/>
      <c r="I307" s="23"/>
      <c r="L307" s="24">
        <f>F377/D377</f>
        <v>1.7965551596733056</v>
      </c>
      <c r="O307" s="36"/>
      <c r="P307" s="36"/>
    </row>
    <row r="308" spans="1:16" s="24" customFormat="1" ht="15.75" customHeight="1" x14ac:dyDescent="0.3">
      <c r="A308" s="141">
        <f t="shared" si="16"/>
        <v>59</v>
      </c>
      <c r="B308" s="142"/>
      <c r="C308" s="29" t="s">
        <v>282</v>
      </c>
      <c r="D308" s="29">
        <f>3.3*11.1*10.764</f>
        <v>394.2853199999999</v>
      </c>
      <c r="E308" s="29">
        <v>0</v>
      </c>
      <c r="F308" s="29">
        <v>845</v>
      </c>
      <c r="G308" s="154"/>
      <c r="H308" s="155"/>
      <c r="I308" s="23"/>
      <c r="K308" s="36"/>
      <c r="L308" s="24">
        <f t="shared" ref="L308:L310" si="17">F378/D378</f>
        <v>1.7280309866761019</v>
      </c>
      <c r="M308" s="38"/>
      <c r="N308" s="38"/>
      <c r="O308" s="36"/>
      <c r="P308" s="36"/>
    </row>
    <row r="309" spans="1:16" s="24" customFormat="1" ht="15.75" customHeight="1" x14ac:dyDescent="0.3">
      <c r="A309" s="141">
        <f t="shared" si="16"/>
        <v>60</v>
      </c>
      <c r="B309" s="142"/>
      <c r="C309" s="29" t="s">
        <v>282</v>
      </c>
      <c r="D309" s="29">
        <f>47.444*10.764</f>
        <v>510.68721599999998</v>
      </c>
      <c r="E309" s="29">
        <v>0</v>
      </c>
      <c r="F309" s="29">
        <v>1060</v>
      </c>
      <c r="G309" s="154"/>
      <c r="H309" s="155"/>
      <c r="I309" s="23"/>
      <c r="L309" s="24">
        <f t="shared" si="17"/>
        <v>1.7280309866761019</v>
      </c>
      <c r="M309" s="35"/>
      <c r="N309" s="23"/>
    </row>
    <row r="310" spans="1:16" s="24" customFormat="1" ht="15.75" customHeight="1" x14ac:dyDescent="0.3">
      <c r="A310" s="141">
        <f t="shared" si="16"/>
        <v>61</v>
      </c>
      <c r="B310" s="142"/>
      <c r="C310" s="29" t="s">
        <v>282</v>
      </c>
      <c r="D310" s="29">
        <f>36.495*10.764</f>
        <v>392.83217999999994</v>
      </c>
      <c r="E310" s="29">
        <v>0</v>
      </c>
      <c r="F310" s="29">
        <v>815</v>
      </c>
      <c r="G310" s="154"/>
      <c r="H310" s="155"/>
      <c r="I310" s="23"/>
      <c r="L310" s="24">
        <f t="shared" si="17"/>
        <v>1.7965551596733056</v>
      </c>
      <c r="M310" s="35"/>
      <c r="N310" s="23"/>
    </row>
    <row r="311" spans="1:16" s="24" customFormat="1" ht="15.75" customHeight="1" x14ac:dyDescent="0.3">
      <c r="A311" s="141">
        <f t="shared" si="16"/>
        <v>62</v>
      </c>
      <c r="B311" s="142"/>
      <c r="C311" s="29" t="s">
        <v>282</v>
      </c>
      <c r="D311" s="29">
        <f>49.877*10.764</f>
        <v>536.87602800000002</v>
      </c>
      <c r="E311" s="29">
        <v>0</v>
      </c>
      <c r="F311" s="29">
        <v>1110</v>
      </c>
      <c r="G311" s="156"/>
      <c r="H311" s="157"/>
      <c r="I311" s="23"/>
    </row>
    <row r="312" spans="1:16" s="24" customFormat="1" ht="15.75" customHeight="1" x14ac:dyDescent="0.3">
      <c r="A312" s="149" t="s">
        <v>265</v>
      </c>
      <c r="B312" s="150"/>
      <c r="C312" s="150"/>
      <c r="D312" s="150"/>
      <c r="E312" s="150"/>
      <c r="F312" s="150"/>
      <c r="G312" s="150"/>
      <c r="H312" s="151"/>
      <c r="J312" s="23"/>
      <c r="O312" s="36"/>
      <c r="P312" s="36"/>
    </row>
    <row r="313" spans="1:16" s="24" customFormat="1" ht="15.75" customHeight="1" x14ac:dyDescent="0.3">
      <c r="A313" s="149" t="s">
        <v>287</v>
      </c>
      <c r="B313" s="150"/>
      <c r="C313" s="150"/>
      <c r="D313" s="150"/>
      <c r="E313" s="150"/>
      <c r="F313" s="150"/>
      <c r="G313" s="150"/>
      <c r="H313" s="151"/>
      <c r="J313" s="23"/>
      <c r="K313" s="36"/>
      <c r="L313" s="38"/>
      <c r="M313" s="38"/>
      <c r="N313" s="38"/>
      <c r="O313" s="36"/>
      <c r="P313" s="36"/>
    </row>
    <row r="314" spans="1:16" s="24" customFormat="1" ht="15.75" customHeight="1" x14ac:dyDescent="0.3">
      <c r="A314" s="141">
        <v>47</v>
      </c>
      <c r="B314" s="142"/>
      <c r="C314" s="29" t="s">
        <v>282</v>
      </c>
      <c r="D314" s="29">
        <f>49.877*10.764</f>
        <v>536.87602800000002</v>
      </c>
      <c r="E314" s="29">
        <v>0</v>
      </c>
      <c r="F314" s="29">
        <v>1110</v>
      </c>
      <c r="G314" s="152" t="str">
        <f>A313</f>
        <v>Ground Floor For Commercial, Meter Room &amp; Parking</v>
      </c>
      <c r="H314" s="153"/>
      <c r="I314" s="39"/>
      <c r="L314" s="35"/>
      <c r="M314" s="35"/>
      <c r="N314" s="23"/>
    </row>
    <row r="315" spans="1:16" s="24" customFormat="1" ht="15.75" customHeight="1" x14ac:dyDescent="0.3">
      <c r="A315" s="141">
        <f t="shared" ref="A315:A321" si="18">A314+1</f>
        <v>48</v>
      </c>
      <c r="B315" s="142"/>
      <c r="C315" s="29" t="s">
        <v>282</v>
      </c>
      <c r="D315" s="29">
        <f>36.495*10.764</f>
        <v>392.83217999999994</v>
      </c>
      <c r="E315" s="29">
        <v>0</v>
      </c>
      <c r="F315" s="29">
        <v>815</v>
      </c>
      <c r="G315" s="154"/>
      <c r="H315" s="155"/>
      <c r="I315" s="39"/>
      <c r="L315" s="35"/>
      <c r="M315" s="35"/>
      <c r="N315" s="23"/>
    </row>
    <row r="316" spans="1:16" s="24" customFormat="1" ht="15.75" customHeight="1" x14ac:dyDescent="0.3">
      <c r="A316" s="141">
        <f t="shared" si="18"/>
        <v>49</v>
      </c>
      <c r="B316" s="142"/>
      <c r="C316" s="29" t="s">
        <v>282</v>
      </c>
      <c r="D316" s="29">
        <f>3.9*11.1*10.764</f>
        <v>465.97355999999996</v>
      </c>
      <c r="E316" s="29">
        <v>0</v>
      </c>
      <c r="F316" s="29">
        <v>1000</v>
      </c>
      <c r="G316" s="154"/>
      <c r="H316" s="155"/>
      <c r="I316" s="23"/>
    </row>
    <row r="317" spans="1:16" s="24" customFormat="1" ht="15.75" customHeight="1" x14ac:dyDescent="0.3">
      <c r="A317" s="141">
        <f t="shared" si="18"/>
        <v>50</v>
      </c>
      <c r="B317" s="142"/>
      <c r="C317" s="29" t="s">
        <v>282</v>
      </c>
      <c r="D317" s="29">
        <f>3.3*11.1*10.764</f>
        <v>394.2853199999999</v>
      </c>
      <c r="E317" s="29">
        <v>0</v>
      </c>
      <c r="F317" s="29">
        <v>845</v>
      </c>
      <c r="G317" s="154"/>
      <c r="H317" s="155"/>
      <c r="I317" s="23"/>
      <c r="O317" s="36"/>
      <c r="P317" s="36"/>
    </row>
    <row r="318" spans="1:16" s="24" customFormat="1" ht="15.75" customHeight="1" x14ac:dyDescent="0.3">
      <c r="A318" s="141">
        <f t="shared" si="18"/>
        <v>51</v>
      </c>
      <c r="B318" s="142"/>
      <c r="C318" s="29" t="s">
        <v>282</v>
      </c>
      <c r="D318" s="29">
        <f>3.3*11.1*10.764</f>
        <v>394.2853199999999</v>
      </c>
      <c r="E318" s="29">
        <v>0</v>
      </c>
      <c r="F318" s="29">
        <v>845</v>
      </c>
      <c r="G318" s="154"/>
      <c r="H318" s="155"/>
      <c r="I318" s="23"/>
      <c r="L318" s="38"/>
      <c r="M318" s="38"/>
      <c r="N318" s="38"/>
      <c r="O318" s="36"/>
      <c r="P318" s="36"/>
    </row>
    <row r="319" spans="1:16" s="24" customFormat="1" x14ac:dyDescent="0.3">
      <c r="A319" s="141">
        <f t="shared" si="18"/>
        <v>52</v>
      </c>
      <c r="B319" s="142"/>
      <c r="C319" s="29" t="s">
        <v>282</v>
      </c>
      <c r="D319" s="29">
        <f>47.444*10.764</f>
        <v>510.68721599999998</v>
      </c>
      <c r="E319" s="29">
        <v>0</v>
      </c>
      <c r="F319" s="29">
        <v>1060</v>
      </c>
      <c r="G319" s="154"/>
      <c r="H319" s="155"/>
      <c r="I319" s="23"/>
      <c r="L319" s="35"/>
      <c r="M319" s="35"/>
      <c r="N319" s="23"/>
    </row>
    <row r="320" spans="1:16" s="24" customFormat="1" ht="15.75" customHeight="1" x14ac:dyDescent="0.3">
      <c r="A320" s="141">
        <f t="shared" si="18"/>
        <v>53</v>
      </c>
      <c r="B320" s="142"/>
      <c r="C320" s="29" t="s">
        <v>282</v>
      </c>
      <c r="D320" s="29">
        <f>36.495*10.764</f>
        <v>392.83217999999994</v>
      </c>
      <c r="E320" s="29">
        <v>0</v>
      </c>
      <c r="F320" s="29">
        <v>815</v>
      </c>
      <c r="G320" s="154"/>
      <c r="H320" s="155"/>
      <c r="I320" s="23"/>
      <c r="K320" s="36" t="s">
        <v>298</v>
      </c>
      <c r="L320" s="35"/>
      <c r="M320" s="35"/>
      <c r="N320" s="23"/>
    </row>
    <row r="321" spans="1:16" s="24" customFormat="1" x14ac:dyDescent="0.3">
      <c r="A321" s="141">
        <f t="shared" si="18"/>
        <v>54</v>
      </c>
      <c r="B321" s="142"/>
      <c r="C321" s="29" t="s">
        <v>282</v>
      </c>
      <c r="D321" s="29">
        <f>49.877*10.764</f>
        <v>536.87602800000002</v>
      </c>
      <c r="E321" s="29">
        <v>0</v>
      </c>
      <c r="F321" s="29">
        <v>1110</v>
      </c>
      <c r="G321" s="156"/>
      <c r="H321" s="157"/>
      <c r="I321" s="23"/>
      <c r="K321" s="36">
        <f>4.285*1.8</f>
        <v>7.7130000000000001</v>
      </c>
    </row>
    <row r="322" spans="1:16" s="24" customFormat="1" x14ac:dyDescent="0.3">
      <c r="A322" s="149" t="s">
        <v>266</v>
      </c>
      <c r="B322" s="150"/>
      <c r="C322" s="150"/>
      <c r="D322" s="150"/>
      <c r="E322" s="150"/>
      <c r="F322" s="150"/>
      <c r="G322" s="150"/>
      <c r="H322" s="151"/>
      <c r="J322" s="23"/>
    </row>
    <row r="323" spans="1:16" s="24" customFormat="1" x14ac:dyDescent="0.3">
      <c r="A323" s="149" t="s">
        <v>287</v>
      </c>
      <c r="B323" s="150"/>
      <c r="C323" s="150"/>
      <c r="D323" s="150"/>
      <c r="E323" s="150"/>
      <c r="F323" s="150"/>
      <c r="G323" s="150"/>
      <c r="H323" s="151"/>
      <c r="J323" s="23"/>
      <c r="L323" s="36" t="s">
        <v>299</v>
      </c>
    </row>
    <row r="324" spans="1:16" s="24" customFormat="1" ht="15.75" customHeight="1" x14ac:dyDescent="0.3">
      <c r="A324" s="141">
        <v>39</v>
      </c>
      <c r="B324" s="142"/>
      <c r="C324" s="29" t="s">
        <v>282</v>
      </c>
      <c r="D324" s="29">
        <f>49.817*10.764</f>
        <v>536.230188</v>
      </c>
      <c r="E324" s="29">
        <v>0</v>
      </c>
      <c r="F324" s="29">
        <v>1100</v>
      </c>
      <c r="G324" s="152" t="str">
        <f>A323</f>
        <v>Ground Floor For Commercial, Meter Room &amp; Parking</v>
      </c>
      <c r="H324" s="153"/>
      <c r="I324" s="39"/>
      <c r="M324" s="24">
        <f>F394/D394</f>
        <v>1.7293792910750005</v>
      </c>
      <c r="O324" s="36"/>
      <c r="P324" s="36"/>
    </row>
    <row r="325" spans="1:16" s="24" customFormat="1" ht="15.75" customHeight="1" x14ac:dyDescent="0.3">
      <c r="A325" s="141">
        <f t="shared" ref="A325:A331" si="19">A324+1</f>
        <v>40</v>
      </c>
      <c r="B325" s="142"/>
      <c r="C325" s="29" t="s">
        <v>282</v>
      </c>
      <c r="D325" s="29">
        <f>36.555*10.764</f>
        <v>393.47801999999996</v>
      </c>
      <c r="E325" s="29">
        <v>0</v>
      </c>
      <c r="F325" s="29">
        <v>830</v>
      </c>
      <c r="G325" s="154"/>
      <c r="H325" s="155"/>
      <c r="I325" s="39"/>
      <c r="K325" s="36"/>
      <c r="L325" s="38"/>
      <c r="M325" s="24">
        <f t="shared" ref="M325:M327" si="20">F395/D395</f>
        <v>1.7293792910750005</v>
      </c>
      <c r="N325" s="38"/>
      <c r="O325" s="36"/>
      <c r="P325" s="36"/>
    </row>
    <row r="326" spans="1:16" s="24" customFormat="1" ht="15.75" customHeight="1" x14ac:dyDescent="0.3">
      <c r="A326" s="141">
        <f t="shared" si="19"/>
        <v>41</v>
      </c>
      <c r="B326" s="142"/>
      <c r="C326" s="29" t="s">
        <v>282</v>
      </c>
      <c r="D326" s="29">
        <f>47.384*10.764</f>
        <v>510.04137599999996</v>
      </c>
      <c r="E326" s="29">
        <v>0</v>
      </c>
      <c r="F326" s="29">
        <v>1050</v>
      </c>
      <c r="G326" s="154"/>
      <c r="H326" s="155"/>
      <c r="I326" s="23"/>
      <c r="L326" s="35"/>
      <c r="M326" s="24">
        <f t="shared" si="20"/>
        <v>1.7293792910750005</v>
      </c>
      <c r="N326" s="23"/>
    </row>
    <row r="327" spans="1:16" s="24" customFormat="1" ht="15.75" customHeight="1" x14ac:dyDescent="0.3">
      <c r="A327" s="141">
        <f t="shared" si="19"/>
        <v>42</v>
      </c>
      <c r="B327" s="142"/>
      <c r="C327" s="29" t="s">
        <v>282</v>
      </c>
      <c r="D327" s="29">
        <f>37.796*10.764</f>
        <v>406.83614399999999</v>
      </c>
      <c r="E327" s="29">
        <v>0</v>
      </c>
      <c r="F327" s="29">
        <v>910</v>
      </c>
      <c r="G327" s="154"/>
      <c r="H327" s="155"/>
      <c r="I327" s="23"/>
      <c r="L327" s="35"/>
      <c r="M327" s="24">
        <f t="shared" si="20"/>
        <v>1.7293792910750005</v>
      </c>
      <c r="N327" s="23"/>
    </row>
    <row r="328" spans="1:16" s="24" customFormat="1" ht="15.75" customHeight="1" x14ac:dyDescent="0.3">
      <c r="A328" s="141">
        <f t="shared" si="19"/>
        <v>43</v>
      </c>
      <c r="B328" s="142"/>
      <c r="C328" s="29" t="s">
        <v>282</v>
      </c>
      <c r="D328" s="29">
        <f>37.796*10.764</f>
        <v>406.83614399999999</v>
      </c>
      <c r="E328" s="29">
        <v>0</v>
      </c>
      <c r="F328" s="29">
        <v>910</v>
      </c>
      <c r="G328" s="154"/>
      <c r="H328" s="155"/>
      <c r="I328" s="23"/>
      <c r="L328" s="63"/>
      <c r="M328" s="64"/>
      <c r="N328" s="63"/>
      <c r="O328" s="63"/>
      <c r="P328" s="63"/>
    </row>
    <row r="329" spans="1:16" s="24" customFormat="1" ht="15.75" customHeight="1" x14ac:dyDescent="0.3">
      <c r="A329" s="141">
        <f t="shared" si="19"/>
        <v>44</v>
      </c>
      <c r="B329" s="142"/>
      <c r="C329" s="29" t="s">
        <v>282</v>
      </c>
      <c r="D329" s="29">
        <f>47.384*10.764</f>
        <v>510.04137599999996</v>
      </c>
      <c r="E329" s="29">
        <v>0</v>
      </c>
      <c r="F329" s="29">
        <v>1045</v>
      </c>
      <c r="G329" s="154"/>
      <c r="H329" s="155"/>
      <c r="I329" s="23"/>
      <c r="O329" s="36"/>
      <c r="P329" s="36"/>
    </row>
    <row r="330" spans="1:16" s="24" customFormat="1" ht="15.75" customHeight="1" x14ac:dyDescent="0.3">
      <c r="A330" s="141">
        <f t="shared" si="19"/>
        <v>45</v>
      </c>
      <c r="B330" s="142"/>
      <c r="C330" s="29" t="s">
        <v>282</v>
      </c>
      <c r="D330" s="29">
        <f>32.555*10.764</f>
        <v>350.42201999999997</v>
      </c>
      <c r="E330" s="29">
        <v>0</v>
      </c>
      <c r="F330" s="29">
        <v>830</v>
      </c>
      <c r="G330" s="154"/>
      <c r="H330" s="155"/>
      <c r="I330" s="23"/>
      <c r="K330" s="36"/>
      <c r="L330" s="38"/>
      <c r="M330" s="38"/>
      <c r="N330" s="38"/>
      <c r="O330" s="36"/>
      <c r="P330" s="36"/>
    </row>
    <row r="331" spans="1:16" s="24" customFormat="1" ht="15.75" customHeight="1" x14ac:dyDescent="0.3">
      <c r="A331" s="141">
        <f t="shared" si="19"/>
        <v>46</v>
      </c>
      <c r="B331" s="142"/>
      <c r="C331" s="29" t="s">
        <v>282</v>
      </c>
      <c r="D331" s="29">
        <f>49.817*10.764</f>
        <v>536.230188</v>
      </c>
      <c r="E331" s="29">
        <v>0</v>
      </c>
      <c r="F331" s="29">
        <v>1100</v>
      </c>
      <c r="G331" s="156"/>
      <c r="H331" s="157"/>
      <c r="L331" s="35"/>
      <c r="M331" s="35"/>
      <c r="N331" s="23"/>
    </row>
    <row r="332" spans="1:16" s="24" customFormat="1" ht="15.75" customHeight="1" thickBot="1" x14ac:dyDescent="0.35">
      <c r="A332" s="141"/>
      <c r="B332" s="264"/>
      <c r="C332" s="264"/>
      <c r="D332" s="264"/>
      <c r="E332" s="264"/>
      <c r="F332" s="264"/>
      <c r="G332" s="264"/>
      <c r="H332" s="142"/>
      <c r="L332" s="35"/>
      <c r="M332" s="35"/>
      <c r="N332" s="23"/>
    </row>
    <row r="333" spans="1:16" s="24" customFormat="1" ht="48" customHeight="1" thickBot="1" x14ac:dyDescent="0.35">
      <c r="A333" s="58" t="s">
        <v>121</v>
      </c>
      <c r="B333" s="30" t="s">
        <v>176</v>
      </c>
      <c r="C333" s="30" t="s">
        <v>57</v>
      </c>
      <c r="D333" s="30" t="s">
        <v>58</v>
      </c>
      <c r="E333" s="57" t="s">
        <v>59</v>
      </c>
      <c r="F333" s="30" t="s">
        <v>305</v>
      </c>
      <c r="G333" s="229" t="s">
        <v>60</v>
      </c>
      <c r="H333" s="230"/>
      <c r="I333" s="49" t="s">
        <v>300</v>
      </c>
      <c r="J333" s="52" t="s">
        <v>270</v>
      </c>
    </row>
    <row r="334" spans="1:16" s="24" customFormat="1" ht="15.75" customHeight="1" x14ac:dyDescent="0.3">
      <c r="A334" s="232" t="s">
        <v>280</v>
      </c>
      <c r="B334" s="233"/>
      <c r="C334" s="233"/>
      <c r="D334" s="233"/>
      <c r="E334" s="233"/>
      <c r="F334" s="233"/>
      <c r="G334" s="233"/>
      <c r="H334" s="234"/>
      <c r="O334" s="36"/>
      <c r="P334" s="36"/>
    </row>
    <row r="335" spans="1:16" s="24" customFormat="1" ht="15.75" customHeight="1" x14ac:dyDescent="0.3">
      <c r="A335" s="232" t="s">
        <v>322</v>
      </c>
      <c r="B335" s="233"/>
      <c r="C335" s="233"/>
      <c r="D335" s="233"/>
      <c r="E335" s="233"/>
      <c r="F335" s="233"/>
      <c r="G335" s="233"/>
      <c r="H335" s="234"/>
      <c r="L335" s="38"/>
      <c r="M335" s="38"/>
      <c r="N335" s="38"/>
      <c r="O335" s="36"/>
      <c r="P335" s="36"/>
    </row>
    <row r="336" spans="1:16" s="24" customFormat="1" ht="15.75" customHeight="1" x14ac:dyDescent="0.3">
      <c r="A336" s="232" t="s">
        <v>323</v>
      </c>
      <c r="B336" s="233"/>
      <c r="C336" s="233"/>
      <c r="D336" s="233"/>
      <c r="E336" s="233"/>
      <c r="F336" s="233"/>
      <c r="G336" s="233"/>
      <c r="H336" s="234"/>
      <c r="J336" s="23"/>
      <c r="L336" s="35"/>
      <c r="M336" s="35"/>
      <c r="N336" s="23"/>
    </row>
    <row r="337" spans="1:16" s="24" customFormat="1" ht="15.75" customHeight="1" thickBot="1" x14ac:dyDescent="0.35">
      <c r="A337" s="232" t="s">
        <v>269</v>
      </c>
      <c r="B337" s="233"/>
      <c r="C337" s="233"/>
      <c r="D337" s="233"/>
      <c r="E337" s="233"/>
      <c r="F337" s="233"/>
      <c r="G337" s="233"/>
      <c r="H337" s="234"/>
      <c r="J337" s="23"/>
      <c r="K337" s="36" t="s">
        <v>298</v>
      </c>
      <c r="L337" s="35"/>
      <c r="M337" s="35"/>
      <c r="N337" s="23"/>
    </row>
    <row r="338" spans="1:16" s="24" customFormat="1" x14ac:dyDescent="0.3">
      <c r="A338" s="149" t="s">
        <v>279</v>
      </c>
      <c r="B338" s="150"/>
      <c r="C338" s="150"/>
      <c r="D338" s="150"/>
      <c r="E338" s="150"/>
      <c r="F338" s="150"/>
      <c r="G338" s="150"/>
      <c r="H338" s="151"/>
      <c r="I338" s="50" t="s">
        <v>277</v>
      </c>
      <c r="J338" s="47">
        <v>198.99</v>
      </c>
      <c r="K338" s="36">
        <f>2.54*2.215</f>
        <v>5.6261000000000001</v>
      </c>
    </row>
    <row r="339" spans="1:16" s="24" customFormat="1" ht="16.2" thickBot="1" x14ac:dyDescent="0.35">
      <c r="A339" s="149" t="s">
        <v>313</v>
      </c>
      <c r="B339" s="150"/>
      <c r="C339" s="150"/>
      <c r="D339" s="150"/>
      <c r="E339" s="150"/>
      <c r="F339" s="150"/>
      <c r="G339" s="150"/>
      <c r="H339" s="151"/>
      <c r="I339" s="51" t="s">
        <v>278</v>
      </c>
      <c r="J339" s="48">
        <v>140.28200000000001</v>
      </c>
    </row>
    <row r="340" spans="1:16" s="24" customFormat="1" x14ac:dyDescent="0.3">
      <c r="A340" s="149" t="s">
        <v>281</v>
      </c>
      <c r="B340" s="150"/>
      <c r="C340" s="150"/>
      <c r="D340" s="150"/>
      <c r="E340" s="150"/>
      <c r="F340" s="150"/>
      <c r="G340" s="150"/>
      <c r="H340" s="151"/>
      <c r="J340" s="23"/>
    </row>
    <row r="341" spans="1:16" s="24" customFormat="1" ht="15.75" customHeight="1" x14ac:dyDescent="0.3">
      <c r="A341" s="141">
        <v>1</v>
      </c>
      <c r="B341" s="142"/>
      <c r="C341" s="29" t="s">
        <v>289</v>
      </c>
      <c r="D341" s="29">
        <f>(198.99+4.355*1.8+7.315*1.8+2.08*7.36)*10.764</f>
        <v>2532.8208672000001</v>
      </c>
      <c r="E341" s="29">
        <v>0</v>
      </c>
      <c r="F341" s="29">
        <v>4370</v>
      </c>
      <c r="G341" s="152" t="str">
        <f>A340</f>
        <v>1st Floor For Residential</v>
      </c>
      <c r="H341" s="153"/>
      <c r="I341" s="23"/>
      <c r="J341" s="24">
        <f>3.685*1.25</f>
        <v>4.6062500000000002</v>
      </c>
      <c r="O341" s="36"/>
      <c r="P341" s="36"/>
    </row>
    <row r="342" spans="1:16" s="24" customFormat="1" ht="15.75" customHeight="1" x14ac:dyDescent="0.3">
      <c r="A342" s="141">
        <f t="shared" ref="A342:A344" si="21">A341+1</f>
        <v>2</v>
      </c>
      <c r="B342" s="142"/>
      <c r="C342" s="29" t="s">
        <v>288</v>
      </c>
      <c r="D342" s="61">
        <f>(139.601+4.285*1.8+2.54*2.215)*10.764</f>
        <v>1646.2472364</v>
      </c>
      <c r="E342" s="29">
        <v>0</v>
      </c>
      <c r="F342" s="29">
        <v>2925</v>
      </c>
      <c r="G342" s="154"/>
      <c r="H342" s="155"/>
      <c r="I342" s="23">
        <f>1.45*1.67+7.615*4.95+3.785*3.65+3.05*4.565+3.35*4.565+4.895*3.65+1.515*2.6+2.155*2.115+2.915*1.685+2.915*1.865+3.35*1+1.515*1+1.65*2.625+1.35*1.025+2*1.015+3.685*1.25</f>
        <v>137.075075</v>
      </c>
      <c r="J342" s="24">
        <f>4.285*1.8+2.54*2.215</f>
        <v>13.3391</v>
      </c>
      <c r="K342" s="63"/>
      <c r="L342" s="38"/>
      <c r="M342" s="38"/>
      <c r="N342" s="38"/>
      <c r="O342" s="36"/>
      <c r="P342" s="36"/>
    </row>
    <row r="343" spans="1:16" s="24" customFormat="1" ht="15.75" customHeight="1" x14ac:dyDescent="0.3">
      <c r="A343" s="141">
        <f t="shared" si="21"/>
        <v>3</v>
      </c>
      <c r="B343" s="142"/>
      <c r="C343" s="29" t="s">
        <v>288</v>
      </c>
      <c r="D343" s="61">
        <f>(140.282+4.285*1.8+2.54*2.215)*10.764</f>
        <v>1653.5775204000001</v>
      </c>
      <c r="E343" s="29">
        <f>(37.588+28.254)*10.764</f>
        <v>708.72328799999991</v>
      </c>
      <c r="F343" s="29">
        <v>2925</v>
      </c>
      <c r="G343" s="154"/>
      <c r="H343" s="155"/>
      <c r="I343" s="23"/>
      <c r="L343" s="35"/>
      <c r="M343" s="35"/>
      <c r="N343" s="23"/>
    </row>
    <row r="344" spans="1:16" s="24" customFormat="1" ht="15.75" customHeight="1" x14ac:dyDescent="0.3">
      <c r="A344" s="141">
        <f t="shared" si="21"/>
        <v>4</v>
      </c>
      <c r="B344" s="142"/>
      <c r="C344" s="29" t="s">
        <v>289</v>
      </c>
      <c r="D344" s="29">
        <f>(198.99+4.355*1.8+7.315*1.8+2.08*7.36)*10.764</f>
        <v>2532.8208672000001</v>
      </c>
      <c r="E344" s="29">
        <f>30.027*10.764</f>
        <v>323.21062799999999</v>
      </c>
      <c r="F344" s="29">
        <v>4370</v>
      </c>
      <c r="G344" s="156"/>
      <c r="H344" s="157"/>
      <c r="I344" s="23">
        <f>8.845*6.62+4.875*3.075+1.815*2.04+2*1.14+4.885*3.35+6.495*3.66+4.88*4.265+3.65*4.315+2.455*1.84+2.115*1.84+2.45*1.84+1.835*1.715+1.835*2.45+1.95*1.75+1.95*2.45+1*1.84+0.9*1.7+1.5*1.84+1.365*4.005+0.735*2.065</f>
        <v>198.09070000000003</v>
      </c>
      <c r="L344" s="35"/>
      <c r="M344" s="35"/>
      <c r="N344" s="23"/>
    </row>
    <row r="345" spans="1:16" s="24" customFormat="1" ht="15.75" customHeight="1" x14ac:dyDescent="0.3">
      <c r="A345" s="149" t="s">
        <v>292</v>
      </c>
      <c r="B345" s="150"/>
      <c r="C345" s="150"/>
      <c r="D345" s="150"/>
      <c r="E345" s="150"/>
      <c r="F345" s="150"/>
      <c r="G345" s="150"/>
      <c r="H345" s="151"/>
      <c r="J345" s="23"/>
      <c r="K345" s="24">
        <f>45000000/F401</f>
        <v>14657.980456026058</v>
      </c>
    </row>
    <row r="346" spans="1:16" s="24" customFormat="1" ht="15.75" customHeight="1" x14ac:dyDescent="0.3">
      <c r="A346" s="141">
        <v>1</v>
      </c>
      <c r="B346" s="142"/>
      <c r="C346" s="29" t="s">
        <v>289</v>
      </c>
      <c r="D346" s="29">
        <f>(198.99+4.355*1.8+7.315*1.8+2.08*7.36)*10.764</f>
        <v>2532.8208672000001</v>
      </c>
      <c r="E346" s="29">
        <v>0</v>
      </c>
      <c r="F346" s="29">
        <v>4370</v>
      </c>
      <c r="G346" s="152" t="str">
        <f>A345</f>
        <v>2nd to 6th, 8th to 11th, 13th &amp; 14th Floor</v>
      </c>
      <c r="H346" s="153"/>
      <c r="I346" s="39">
        <f t="shared" ref="I346:I349" si="22">F346/D346</f>
        <v>1.7253490195818613</v>
      </c>
      <c r="O346" s="36"/>
      <c r="P346" s="36"/>
    </row>
    <row r="347" spans="1:16" s="24" customFormat="1" ht="15.75" customHeight="1" x14ac:dyDescent="0.3">
      <c r="A347" s="141">
        <f t="shared" ref="A347:A349" si="23">A346+1</f>
        <v>2</v>
      </c>
      <c r="B347" s="142"/>
      <c r="C347" s="29" t="s">
        <v>288</v>
      </c>
      <c r="D347" s="29">
        <f>(139.601+4.285*1.8+2.54*2.215)*10.764</f>
        <v>1646.2472364</v>
      </c>
      <c r="E347" s="29">
        <v>0</v>
      </c>
      <c r="F347" s="29">
        <v>2925</v>
      </c>
      <c r="G347" s="154"/>
      <c r="H347" s="155"/>
      <c r="I347" s="39">
        <f t="shared" si="22"/>
        <v>1.7767683585585639</v>
      </c>
      <c r="K347" s="36"/>
      <c r="L347" s="38"/>
      <c r="M347" s="38"/>
      <c r="N347" s="38"/>
      <c r="O347" s="36"/>
      <c r="P347" s="36"/>
    </row>
    <row r="348" spans="1:16" s="24" customFormat="1" ht="15.75" customHeight="1" x14ac:dyDescent="0.3">
      <c r="A348" s="141">
        <f t="shared" si="23"/>
        <v>3</v>
      </c>
      <c r="B348" s="142"/>
      <c r="C348" s="29" t="s">
        <v>288</v>
      </c>
      <c r="D348" s="29">
        <f>(140.282+4.285*1.8+2.54*2.215)*10.764</f>
        <v>1653.5775204000001</v>
      </c>
      <c r="E348" s="29">
        <v>0</v>
      </c>
      <c r="F348" s="29">
        <v>2925</v>
      </c>
      <c r="G348" s="154"/>
      <c r="H348" s="155"/>
      <c r="I348" s="39">
        <f t="shared" si="22"/>
        <v>1.7688919714465174</v>
      </c>
      <c r="L348" s="35"/>
      <c r="M348" s="35"/>
      <c r="N348" s="23"/>
    </row>
    <row r="349" spans="1:16" s="24" customFormat="1" ht="15.75" customHeight="1" x14ac:dyDescent="0.3">
      <c r="A349" s="141">
        <f t="shared" si="23"/>
        <v>4</v>
      </c>
      <c r="B349" s="142"/>
      <c r="C349" s="29" t="s">
        <v>289</v>
      </c>
      <c r="D349" s="29">
        <f>(198.99+4.355*1.8+7.315*1.8+2.08*7.36)*10.764</f>
        <v>2532.8208672000001</v>
      </c>
      <c r="E349" s="29">
        <v>0</v>
      </c>
      <c r="F349" s="29">
        <v>4370</v>
      </c>
      <c r="G349" s="156"/>
      <c r="H349" s="157"/>
      <c r="I349" s="39">
        <f t="shared" si="22"/>
        <v>1.7253490195818613</v>
      </c>
      <c r="L349" s="35"/>
      <c r="M349" s="35"/>
      <c r="N349" s="23"/>
    </row>
    <row r="350" spans="1:16" s="24" customFormat="1" ht="15.75" customHeight="1" x14ac:dyDescent="0.3">
      <c r="A350" s="149" t="s">
        <v>283</v>
      </c>
      <c r="B350" s="150"/>
      <c r="C350" s="150"/>
      <c r="D350" s="150"/>
      <c r="E350" s="150"/>
      <c r="F350" s="150"/>
      <c r="G350" s="150"/>
      <c r="H350" s="151"/>
      <c r="J350" s="23"/>
    </row>
    <row r="351" spans="1:16" s="24" customFormat="1" ht="15.75" customHeight="1" x14ac:dyDescent="0.3">
      <c r="A351" s="141">
        <v>1</v>
      </c>
      <c r="B351" s="142"/>
      <c r="C351" s="29" t="s">
        <v>289</v>
      </c>
      <c r="D351" s="29">
        <f>(198.99+4.355*1.8+7.315*1.8+2.08*7.36)*10.764</f>
        <v>2532.8208672000001</v>
      </c>
      <c r="E351" s="29">
        <v>0</v>
      </c>
      <c r="F351" s="29">
        <v>4370</v>
      </c>
      <c r="G351" s="152" t="str">
        <f>A350</f>
        <v>7th &amp; 12th Floor (Part Refuge area)</v>
      </c>
      <c r="H351" s="153"/>
      <c r="I351" s="39">
        <f>F351/D351</f>
        <v>1.7253490195818613</v>
      </c>
      <c r="O351" s="36"/>
      <c r="P351" s="36"/>
    </row>
    <row r="352" spans="1:16" s="24" customFormat="1" ht="15.75" customHeight="1" x14ac:dyDescent="0.3">
      <c r="A352" s="141">
        <f t="shared" ref="A352:A354" si="24">A351+1</f>
        <v>2</v>
      </c>
      <c r="B352" s="142"/>
      <c r="C352" s="29" t="s">
        <v>284</v>
      </c>
      <c r="D352" s="29">
        <f>(67.169+4.285*1.8)*10.764</f>
        <v>806.0298479999999</v>
      </c>
      <c r="E352" s="29">
        <v>0</v>
      </c>
      <c r="F352" s="29">
        <v>1400</v>
      </c>
      <c r="G352" s="154"/>
      <c r="H352" s="155"/>
      <c r="I352" s="39">
        <f t="shared" ref="I352:I356" si="25">F352/D352</f>
        <v>1.7369083830751639</v>
      </c>
      <c r="L352" s="38"/>
      <c r="M352" s="38"/>
      <c r="N352" s="38"/>
      <c r="O352" s="36"/>
      <c r="P352" s="36"/>
    </row>
    <row r="353" spans="1:16" s="24" customFormat="1" ht="15.75" customHeight="1" x14ac:dyDescent="0.3">
      <c r="A353" s="141">
        <f t="shared" si="24"/>
        <v>3</v>
      </c>
      <c r="B353" s="142"/>
      <c r="C353" s="29" t="s">
        <v>288</v>
      </c>
      <c r="D353" s="29">
        <f>(140.282+4.285*1.8+2.54*2.215)*10.764</f>
        <v>1653.5775204000001</v>
      </c>
      <c r="E353" s="29">
        <v>0</v>
      </c>
      <c r="F353" s="29">
        <v>2925</v>
      </c>
      <c r="G353" s="154"/>
      <c r="H353" s="155"/>
      <c r="I353" s="39">
        <f t="shared" si="25"/>
        <v>1.7688919714465174</v>
      </c>
      <c r="L353" s="35"/>
      <c r="M353" s="35"/>
      <c r="N353" s="23"/>
    </row>
    <row r="354" spans="1:16" s="24" customFormat="1" ht="15.75" customHeight="1" x14ac:dyDescent="0.3">
      <c r="A354" s="141">
        <f t="shared" si="24"/>
        <v>4</v>
      </c>
      <c r="B354" s="142"/>
      <c r="C354" s="29" t="s">
        <v>289</v>
      </c>
      <c r="D354" s="29">
        <f>(198.99+4.355*1.8+7.315*1.8+2.08*7.36)*10.764</f>
        <v>2532.8208672000001</v>
      </c>
      <c r="E354" s="29">
        <v>0</v>
      </c>
      <c r="F354" s="29">
        <v>4370</v>
      </c>
      <c r="G354" s="156"/>
      <c r="H354" s="157"/>
      <c r="I354" s="39">
        <f t="shared" si="25"/>
        <v>1.7253490195818613</v>
      </c>
      <c r="L354" s="35"/>
      <c r="M354" s="35"/>
      <c r="N354" s="23"/>
    </row>
    <row r="355" spans="1:16" s="24" customFormat="1" x14ac:dyDescent="0.3">
      <c r="A355" s="149" t="s">
        <v>285</v>
      </c>
      <c r="B355" s="150"/>
      <c r="C355" s="150"/>
      <c r="D355" s="150"/>
      <c r="E355" s="150"/>
      <c r="F355" s="150"/>
      <c r="G355" s="150"/>
      <c r="H355" s="151"/>
      <c r="J355" s="23"/>
      <c r="K355" s="36"/>
    </row>
    <row r="356" spans="1:16" s="24" customFormat="1" x14ac:dyDescent="0.3">
      <c r="A356" s="141">
        <v>1</v>
      </c>
      <c r="B356" s="142"/>
      <c r="C356" s="29" t="s">
        <v>286</v>
      </c>
      <c r="D356" s="29">
        <f>(713.268+9.005*1.55+2.59*3.765+8.79*6.215+6.15*1.8+7.315*1.8+2.75*5.365+4.98*3.9+2.08*2.86+7.115*5.865+2.75*12.2+4.98*3.9+2.08*2.86+2.75*5.365+7.315*1.8+6.15*1.8+8.79*6.215+9.015*1.55+2.59*3.69)*10.764</f>
        <v>11558.057319900001</v>
      </c>
      <c r="E356" s="29">
        <v>0</v>
      </c>
      <c r="F356" s="61">
        <f>D356*1.75</f>
        <v>20226.600309825</v>
      </c>
      <c r="G356" s="152" t="str">
        <f>A355</f>
        <v>15th Floor</v>
      </c>
      <c r="H356" s="153"/>
      <c r="I356" s="39">
        <f t="shared" si="25"/>
        <v>1.7499999999999998</v>
      </c>
    </row>
    <row r="357" spans="1:16" s="24" customFormat="1" ht="15.75" customHeight="1" x14ac:dyDescent="0.3">
      <c r="A357" s="149" t="s">
        <v>257</v>
      </c>
      <c r="B357" s="150"/>
      <c r="C357" s="150"/>
      <c r="D357" s="150"/>
      <c r="E357" s="150"/>
      <c r="F357" s="150"/>
      <c r="G357" s="150"/>
      <c r="H357" s="151"/>
      <c r="J357" s="23"/>
      <c r="K357" s="24">
        <f>(10.68*5.715+4.26*3.05+4.865*3.865+4.865*3.65+3.96*4.565+3.35*4.565+1.825*1.23+2.275*1.8+1.825*3.185+2.265*2.217+2.265*2.197+2.7*1+0.95*3.15+2.06*1.55+3.225*1.525+1.46*2.13)</f>
        <v>183.023335</v>
      </c>
      <c r="L357" s="36" t="s">
        <v>299</v>
      </c>
    </row>
    <row r="358" spans="1:16" s="24" customFormat="1" ht="15.75" customHeight="1" x14ac:dyDescent="0.3">
      <c r="A358" s="149" t="s">
        <v>313</v>
      </c>
      <c r="B358" s="150"/>
      <c r="C358" s="150"/>
      <c r="D358" s="150"/>
      <c r="E358" s="150"/>
      <c r="F358" s="150"/>
      <c r="G358" s="150"/>
      <c r="H358" s="151"/>
      <c r="J358" s="23"/>
      <c r="L358" s="24">
        <f>1.8*3.95</f>
        <v>7.11</v>
      </c>
      <c r="M358" s="24">
        <f>F428/D428</f>
        <v>1.7749840597656232</v>
      </c>
      <c r="O358" s="36"/>
      <c r="P358" s="36"/>
    </row>
    <row r="359" spans="1:16" s="24" customFormat="1" ht="15.75" customHeight="1" x14ac:dyDescent="0.3">
      <c r="A359" s="149" t="s">
        <v>281</v>
      </c>
      <c r="B359" s="150"/>
      <c r="C359" s="150"/>
      <c r="D359" s="150"/>
      <c r="E359" s="150"/>
      <c r="F359" s="150"/>
      <c r="G359" s="150"/>
      <c r="H359" s="150"/>
      <c r="I359" s="36" t="s">
        <v>296</v>
      </c>
      <c r="J359" s="36" t="s">
        <v>297</v>
      </c>
      <c r="K359" s="36"/>
      <c r="L359" s="38"/>
      <c r="M359" s="24">
        <f t="shared" ref="M359:M361" si="26">F429/D429</f>
        <v>1.7371496695651112</v>
      </c>
      <c r="N359" s="38"/>
      <c r="O359" s="36"/>
      <c r="P359" s="36"/>
    </row>
    <row r="360" spans="1:16" s="24" customFormat="1" ht="15.75" customHeight="1" x14ac:dyDescent="0.3">
      <c r="A360" s="141">
        <v>1</v>
      </c>
      <c r="B360" s="142"/>
      <c r="C360" s="29" t="s">
        <v>288</v>
      </c>
      <c r="D360" s="61">
        <f>(137.587+4.285*1.8+2.54*2.215)*10.764</f>
        <v>1624.5685403999998</v>
      </c>
      <c r="E360" s="29">
        <v>0</v>
      </c>
      <c r="F360" s="29">
        <v>2920</v>
      </c>
      <c r="G360" s="152" t="str">
        <f>A359</f>
        <v>1st Floor For Residential</v>
      </c>
      <c r="H360" s="153"/>
      <c r="I360" s="40">
        <f>(7.615*4.95+3.785*3.65+3.05*4.565+3.35*4.565+4.795*3.65+1.515*2.6+2.055*2.115+2.915*1.865+2.915*1.685+1.515*1+4.5*1.2)</f>
        <v>123.77582500000001</v>
      </c>
      <c r="J360" s="36">
        <f>3.685*1.25</f>
        <v>4.6062500000000002</v>
      </c>
      <c r="M360" s="24">
        <f t="shared" si="26"/>
        <v>1.8089064237577954</v>
      </c>
      <c r="N360" s="23">
        <f>23000000/F430</f>
        <v>15488.215488215488</v>
      </c>
    </row>
    <row r="361" spans="1:16" s="24" customFormat="1" ht="15.75" customHeight="1" x14ac:dyDescent="0.3">
      <c r="A361" s="141">
        <f t="shared" ref="A361:A363" si="27">A360+1</f>
        <v>2</v>
      </c>
      <c r="B361" s="142"/>
      <c r="C361" s="29" t="s">
        <v>288</v>
      </c>
      <c r="D361" s="61">
        <f>(137.587+4.285*1.8+2.54*2.215)*10.764</f>
        <v>1624.5685403999998</v>
      </c>
      <c r="E361" s="29">
        <v>0</v>
      </c>
      <c r="F361" s="29">
        <v>2920</v>
      </c>
      <c r="G361" s="154"/>
      <c r="H361" s="155"/>
      <c r="I361" s="37"/>
      <c r="L361" s="35"/>
      <c r="M361" s="24">
        <f t="shared" si="26"/>
        <v>1.8089064237577954</v>
      </c>
      <c r="N361" s="23"/>
    </row>
    <row r="362" spans="1:16" s="24" customFormat="1" ht="15.75" customHeight="1" x14ac:dyDescent="0.3">
      <c r="A362" s="141">
        <f t="shared" si="27"/>
        <v>3</v>
      </c>
      <c r="B362" s="142"/>
      <c r="C362" s="29" t="s">
        <v>288</v>
      </c>
      <c r="D362" s="61">
        <f>(137.587+4.285*1.8+2.54*2.215)*10.764</f>
        <v>1624.5685403999998</v>
      </c>
      <c r="E362" s="56">
        <f>(34.929+28.254)*10.764</f>
        <v>680.101812</v>
      </c>
      <c r="F362" s="29">
        <v>2920</v>
      </c>
      <c r="G362" s="154"/>
      <c r="H362" s="155"/>
      <c r="I362" s="23">
        <f>1.3*1.9+7.615*4.95+3.785*3.65+3.05*4.565+3.35*4.565+4.795*3.65+1.515*2.6+2.915*1.865+2.915*1.685+2.055*2.115+3.35*0.9+1.515*0.9+2.86*1.51+1.51*1.025+2*1.015+3.685*1.25</f>
        <v>136.21192500000001</v>
      </c>
    </row>
    <row r="363" spans="1:16" s="24" customFormat="1" ht="15.75" customHeight="1" x14ac:dyDescent="0.3">
      <c r="A363" s="141">
        <f t="shared" si="27"/>
        <v>4</v>
      </c>
      <c r="B363" s="142"/>
      <c r="C363" s="29" t="s">
        <v>288</v>
      </c>
      <c r="D363" s="61">
        <f>(137.587+4.285*1.8+2.54*2.215)*10.764</f>
        <v>1624.5685403999998</v>
      </c>
      <c r="E363" s="56">
        <f>(34.929+28.254)*10.764</f>
        <v>680.101812</v>
      </c>
      <c r="F363" s="29">
        <v>2920</v>
      </c>
      <c r="G363" s="156"/>
      <c r="H363" s="157"/>
      <c r="I363" s="23"/>
      <c r="J363" s="36">
        <f>(4.2*4.285+11.8*1.9)-2.4*0.7</f>
        <v>38.737000000000002</v>
      </c>
      <c r="O363" s="36"/>
      <c r="P363" s="36"/>
    </row>
    <row r="364" spans="1:16" s="24" customFormat="1" ht="15.75" customHeight="1" x14ac:dyDescent="0.3">
      <c r="A364" s="149" t="s">
        <v>293</v>
      </c>
      <c r="B364" s="150"/>
      <c r="C364" s="150"/>
      <c r="D364" s="150"/>
      <c r="E364" s="150"/>
      <c r="F364" s="150"/>
      <c r="G364" s="150"/>
      <c r="H364" s="151"/>
      <c r="I364" s="36"/>
      <c r="J364" s="36"/>
      <c r="K364" s="36"/>
      <c r="L364" s="38"/>
      <c r="M364" s="38"/>
      <c r="N364" s="38"/>
      <c r="O364" s="36"/>
      <c r="P364" s="36"/>
    </row>
    <row r="365" spans="1:16" s="24" customFormat="1" ht="15.75" customHeight="1" x14ac:dyDescent="0.3">
      <c r="A365" s="141">
        <v>1</v>
      </c>
      <c r="B365" s="142"/>
      <c r="C365" s="29" t="s">
        <v>288</v>
      </c>
      <c r="D365" s="29">
        <f>(137.587+4.285*1.8+2.54*2.215)*10.764</f>
        <v>1624.5685403999998</v>
      </c>
      <c r="E365" s="61">
        <v>0</v>
      </c>
      <c r="F365" s="29">
        <v>2920</v>
      </c>
      <c r="G365" s="152" t="str">
        <f>A364</f>
        <v>2nd to 6th, 8th to 11th, 13th to 15th Floor</v>
      </c>
      <c r="H365" s="153"/>
      <c r="J365" s="24">
        <f>F365/D365</f>
        <v>1.7974003111503318</v>
      </c>
      <c r="L365" s="35"/>
      <c r="M365" s="35"/>
      <c r="N365" s="23"/>
    </row>
    <row r="366" spans="1:16" s="24" customFormat="1" ht="15.75" customHeight="1" x14ac:dyDescent="0.3">
      <c r="A366" s="141">
        <f t="shared" ref="A366:A368" si="28">A365+1</f>
        <v>2</v>
      </c>
      <c r="B366" s="142"/>
      <c r="C366" s="29" t="s">
        <v>288</v>
      </c>
      <c r="D366" s="29">
        <f t="shared" ref="D366:D368" si="29">(137.587+4.285*1.8+2.54*2.215)*10.764</f>
        <v>1624.5685403999998</v>
      </c>
      <c r="E366" s="61">
        <v>0</v>
      </c>
      <c r="F366" s="29">
        <v>2920</v>
      </c>
      <c r="G366" s="154"/>
      <c r="H366" s="155"/>
      <c r="I366" s="37"/>
      <c r="J366" s="24">
        <f t="shared" ref="J366:J368" si="30">F366/D366</f>
        <v>1.7974003111503318</v>
      </c>
      <c r="L366" s="35"/>
      <c r="M366" s="35"/>
      <c r="N366" s="23"/>
    </row>
    <row r="367" spans="1:16" s="24" customFormat="1" x14ac:dyDescent="0.3">
      <c r="A367" s="141">
        <f t="shared" si="28"/>
        <v>3</v>
      </c>
      <c r="B367" s="142"/>
      <c r="C367" s="29" t="s">
        <v>288</v>
      </c>
      <c r="D367" s="29">
        <f t="shared" si="29"/>
        <v>1624.5685403999998</v>
      </c>
      <c r="E367" s="61">
        <v>0</v>
      </c>
      <c r="F367" s="29">
        <v>2920</v>
      </c>
      <c r="G367" s="154"/>
      <c r="H367" s="155"/>
      <c r="I367" s="23"/>
      <c r="J367" s="24">
        <f t="shared" si="30"/>
        <v>1.7974003111503318</v>
      </c>
    </row>
    <row r="368" spans="1:16" s="24" customFormat="1" x14ac:dyDescent="0.3">
      <c r="A368" s="141">
        <f t="shared" si="28"/>
        <v>4</v>
      </c>
      <c r="B368" s="142"/>
      <c r="C368" s="29" t="s">
        <v>288</v>
      </c>
      <c r="D368" s="29">
        <f t="shared" si="29"/>
        <v>1624.5685403999998</v>
      </c>
      <c r="E368" s="61">
        <v>0</v>
      </c>
      <c r="F368" s="29">
        <v>2920</v>
      </c>
      <c r="G368" s="156"/>
      <c r="H368" s="157"/>
      <c r="I368" s="23"/>
      <c r="J368" s="24">
        <f t="shared" si="30"/>
        <v>1.7974003111503318</v>
      </c>
    </row>
    <row r="369" spans="1:16" s="24" customFormat="1" ht="15.75" customHeight="1" x14ac:dyDescent="0.3">
      <c r="A369" s="149" t="s">
        <v>283</v>
      </c>
      <c r="B369" s="150"/>
      <c r="C369" s="150"/>
      <c r="D369" s="150"/>
      <c r="E369" s="150"/>
      <c r="F369" s="150"/>
      <c r="G369" s="150"/>
      <c r="H369" s="151"/>
      <c r="I369" s="36"/>
      <c r="J369" s="36"/>
    </row>
    <row r="370" spans="1:16" s="24" customFormat="1" ht="15.75" customHeight="1" x14ac:dyDescent="0.3">
      <c r="A370" s="141">
        <v>1</v>
      </c>
      <c r="B370" s="142"/>
      <c r="C370" s="29" t="s">
        <v>284</v>
      </c>
      <c r="D370" s="29">
        <f>(64.132+4.285*1.8)*10.764</f>
        <v>773.33957999999996</v>
      </c>
      <c r="E370" s="29">
        <v>0</v>
      </c>
      <c r="F370" s="29">
        <v>1390</v>
      </c>
      <c r="G370" s="152" t="str">
        <f>A369</f>
        <v>7th &amp; 12th Floor (Part Refuge area)</v>
      </c>
      <c r="H370" s="153"/>
      <c r="I370" s="37">
        <f>7.615*3.3+3.05*4.565+3.35*4.565+1.25*2.6+1.515*2+1.515*1</f>
        <v>62.140500000000003</v>
      </c>
      <c r="J370" s="24">
        <f>F370/D370</f>
        <v>1.7973992744558607</v>
      </c>
      <c r="L370" s="24">
        <f>1.8*3.95</f>
        <v>7.11</v>
      </c>
      <c r="M370" s="24">
        <f>F440/D440</f>
        <v>1.7749840597656232</v>
      </c>
      <c r="O370" s="36"/>
      <c r="P370" s="36"/>
    </row>
    <row r="371" spans="1:16" s="24" customFormat="1" ht="15.75" customHeight="1" x14ac:dyDescent="0.3">
      <c r="A371" s="141">
        <f t="shared" ref="A371:A373" si="31">A370+1</f>
        <v>2</v>
      </c>
      <c r="B371" s="142"/>
      <c r="C371" s="29" t="s">
        <v>288</v>
      </c>
      <c r="D371" s="29">
        <f>(137.587+4.285*1.8+2.54*2.215)*10.764</f>
        <v>1624.5685403999998</v>
      </c>
      <c r="E371" s="29">
        <v>0</v>
      </c>
      <c r="F371" s="29">
        <v>2920</v>
      </c>
      <c r="G371" s="154"/>
      <c r="H371" s="155"/>
      <c r="I371" s="37"/>
      <c r="J371" s="24">
        <f t="shared" ref="J371:J373" si="32">F371/D371</f>
        <v>1.7974003111503318</v>
      </c>
      <c r="K371" s="36" t="s">
        <v>298</v>
      </c>
      <c r="L371" s="38"/>
      <c r="M371" s="24">
        <f t="shared" ref="M371:M373" si="33">F441/D441</f>
        <v>1.7371496695651112</v>
      </c>
      <c r="N371" s="38"/>
      <c r="O371" s="36"/>
      <c r="P371" s="36"/>
    </row>
    <row r="372" spans="1:16" s="24" customFormat="1" ht="15.75" customHeight="1" x14ac:dyDescent="0.3">
      <c r="A372" s="141">
        <f t="shared" si="31"/>
        <v>3</v>
      </c>
      <c r="B372" s="142"/>
      <c r="C372" s="29" t="s">
        <v>288</v>
      </c>
      <c r="D372" s="29">
        <f t="shared" ref="D372:D373" si="34">(137.587+4.285*1.8+2.54*2.215)*10.764</f>
        <v>1624.5685403999998</v>
      </c>
      <c r="E372" s="29">
        <v>0</v>
      </c>
      <c r="F372" s="29">
        <v>2920</v>
      </c>
      <c r="G372" s="154"/>
      <c r="H372" s="155"/>
      <c r="I372" s="23"/>
      <c r="J372" s="24">
        <f t="shared" si="32"/>
        <v>1.7974003111503318</v>
      </c>
      <c r="K372" s="24">
        <f>3.525*1.05</f>
        <v>3.7012499999999999</v>
      </c>
      <c r="M372" s="24">
        <f t="shared" si="33"/>
        <v>1.7371496695651112</v>
      </c>
      <c r="N372" s="23"/>
    </row>
    <row r="373" spans="1:16" s="24" customFormat="1" ht="15.75" customHeight="1" x14ac:dyDescent="0.3">
      <c r="A373" s="141">
        <f t="shared" si="31"/>
        <v>4</v>
      </c>
      <c r="B373" s="142"/>
      <c r="C373" s="29" t="s">
        <v>288</v>
      </c>
      <c r="D373" s="29">
        <f t="shared" si="34"/>
        <v>1624.5685403999998</v>
      </c>
      <c r="E373" s="29">
        <v>0</v>
      </c>
      <c r="F373" s="29">
        <v>2920</v>
      </c>
      <c r="G373" s="156"/>
      <c r="H373" s="157"/>
      <c r="I373" s="23"/>
      <c r="J373" s="24">
        <f t="shared" si="32"/>
        <v>1.7974003111503318</v>
      </c>
      <c r="L373" s="35"/>
      <c r="M373" s="24">
        <f t="shared" si="33"/>
        <v>1.7749840597656232</v>
      </c>
      <c r="N373" s="23"/>
    </row>
    <row r="374" spans="1:16" s="24" customFormat="1" ht="15.75" customHeight="1" x14ac:dyDescent="0.3">
      <c r="A374" s="149" t="s">
        <v>258</v>
      </c>
      <c r="B374" s="150"/>
      <c r="C374" s="150"/>
      <c r="D374" s="150"/>
      <c r="E374" s="150"/>
      <c r="F374" s="150"/>
      <c r="G374" s="150"/>
      <c r="H374" s="151"/>
      <c r="J374" s="23"/>
      <c r="K374" s="24">
        <f>1.285*3.6</f>
        <v>4.6259999999999994</v>
      </c>
    </row>
    <row r="375" spans="1:16" s="24" customFormat="1" ht="15.75" customHeight="1" x14ac:dyDescent="0.3">
      <c r="A375" s="149" t="s">
        <v>313</v>
      </c>
      <c r="B375" s="150"/>
      <c r="C375" s="150"/>
      <c r="D375" s="150"/>
      <c r="E375" s="150"/>
      <c r="F375" s="150"/>
      <c r="G375" s="150"/>
      <c r="H375" s="151"/>
      <c r="J375" s="23"/>
      <c r="O375" s="36"/>
      <c r="P375" s="36"/>
    </row>
    <row r="376" spans="1:16" s="24" customFormat="1" ht="15.75" customHeight="1" x14ac:dyDescent="0.3">
      <c r="A376" s="149" t="s">
        <v>281</v>
      </c>
      <c r="B376" s="150"/>
      <c r="C376" s="150"/>
      <c r="D376" s="150"/>
      <c r="E376" s="150"/>
      <c r="F376" s="150"/>
      <c r="G376" s="150"/>
      <c r="H376" s="150"/>
      <c r="I376" s="36" t="s">
        <v>296</v>
      </c>
      <c r="J376" s="36" t="s">
        <v>297</v>
      </c>
      <c r="K376" s="36"/>
      <c r="L376" s="38"/>
      <c r="M376" s="38"/>
      <c r="N376" s="38"/>
      <c r="O376" s="36"/>
      <c r="P376" s="36"/>
    </row>
    <row r="377" spans="1:16" s="24" customFormat="1" ht="15.75" customHeight="1" x14ac:dyDescent="0.3">
      <c r="A377" s="141">
        <v>1</v>
      </c>
      <c r="B377" s="142"/>
      <c r="C377" s="29" t="s">
        <v>288</v>
      </c>
      <c r="D377" s="29">
        <f>(137.658+4.285*1.8+2.54*2.215)*10.764</f>
        <v>1625.3327843999998</v>
      </c>
      <c r="E377" s="29">
        <v>0</v>
      </c>
      <c r="F377" s="29">
        <v>2920</v>
      </c>
      <c r="G377" s="152" t="str">
        <f>A376</f>
        <v>1st Floor For Residential</v>
      </c>
      <c r="H377" s="153"/>
      <c r="I377" s="40">
        <f>(7.615*4.95+3.785*3.65+3.05*4.565+3.35*4.565+4.795*3.65+1.515*2.6+2.055*2.115+2.915*1.865+2.915*1.685+1.515*1+4.5*1.2)+(2.83*1.51+1.48*1.115+2*1.015)+(3.685*1.25)</f>
        <v>136.33557500000001</v>
      </c>
      <c r="J377" s="36">
        <f>2.54*2.215</f>
        <v>5.6261000000000001</v>
      </c>
      <c r="L377" s="35"/>
      <c r="M377" s="35"/>
      <c r="N377" s="23"/>
    </row>
    <row r="378" spans="1:16" s="24" customFormat="1" ht="15.75" customHeight="1" x14ac:dyDescent="0.3">
      <c r="A378" s="141">
        <f t="shared" ref="A378:A380" si="35">A377+1</f>
        <v>2</v>
      </c>
      <c r="B378" s="142"/>
      <c r="C378" s="29" t="s">
        <v>289</v>
      </c>
      <c r="D378" s="29">
        <f>(151.71+4.285*1.8+2.54*2.215)*10.764</f>
        <v>1776.5885123999999</v>
      </c>
      <c r="E378" s="29">
        <v>0</v>
      </c>
      <c r="F378" s="29">
        <v>3070</v>
      </c>
      <c r="G378" s="154"/>
      <c r="H378" s="155"/>
      <c r="I378" s="37"/>
      <c r="L378" s="35"/>
      <c r="M378" s="35"/>
      <c r="N378" s="23"/>
    </row>
    <row r="379" spans="1:16" s="24" customFormat="1" x14ac:dyDescent="0.3">
      <c r="A379" s="141">
        <f t="shared" si="35"/>
        <v>3</v>
      </c>
      <c r="B379" s="142"/>
      <c r="C379" s="29" t="s">
        <v>289</v>
      </c>
      <c r="D379" s="29">
        <f>(151.71+4.285*1.8+2.54*2.215)*10.764</f>
        <v>1776.5885123999999</v>
      </c>
      <c r="E379" s="29">
        <f>(34.929+20.06)*10.764</f>
        <v>591.90159600000004</v>
      </c>
      <c r="F379" s="29">
        <v>3070</v>
      </c>
      <c r="G379" s="154"/>
      <c r="H379" s="155"/>
      <c r="I379" s="23"/>
    </row>
    <row r="380" spans="1:16" s="24" customFormat="1" x14ac:dyDescent="0.3">
      <c r="A380" s="141">
        <f t="shared" si="35"/>
        <v>4</v>
      </c>
      <c r="B380" s="142"/>
      <c r="C380" s="29" t="s">
        <v>288</v>
      </c>
      <c r="D380" s="29">
        <f>(137.658+4.285*1.8+2.54*2.215)*10.764</f>
        <v>1625.3327843999998</v>
      </c>
      <c r="E380" s="29">
        <f>(33.929+28.392)*10.764</f>
        <v>670.82324399999993</v>
      </c>
      <c r="F380" s="29">
        <v>2920</v>
      </c>
      <c r="G380" s="156"/>
      <c r="H380" s="157"/>
      <c r="I380" s="23"/>
      <c r="J380" s="36"/>
    </row>
    <row r="381" spans="1:16" s="24" customFormat="1" ht="15.75" customHeight="1" x14ac:dyDescent="0.3">
      <c r="A381" s="149" t="s">
        <v>293</v>
      </c>
      <c r="B381" s="150"/>
      <c r="C381" s="150"/>
      <c r="D381" s="150"/>
      <c r="E381" s="150"/>
      <c r="F381" s="150"/>
      <c r="G381" s="150"/>
      <c r="H381" s="151"/>
      <c r="I381" s="36"/>
      <c r="J381" s="36"/>
      <c r="L381" s="36" t="s">
        <v>299</v>
      </c>
    </row>
    <row r="382" spans="1:16" s="24" customFormat="1" ht="15.75" customHeight="1" x14ac:dyDescent="0.3">
      <c r="A382" s="141">
        <v>1</v>
      </c>
      <c r="B382" s="142"/>
      <c r="C382" s="29" t="s">
        <v>288</v>
      </c>
      <c r="D382" s="29">
        <f>(137.658+4.285*1.8+2.54*2.215)*10.764</f>
        <v>1625.3327843999998</v>
      </c>
      <c r="E382" s="29">
        <v>0</v>
      </c>
      <c r="F382" s="29">
        <v>2920</v>
      </c>
      <c r="G382" s="152" t="str">
        <f>A381</f>
        <v>2nd to 6th, 8th to 11th, 13th to 15th Floor</v>
      </c>
      <c r="H382" s="153"/>
      <c r="I382" s="24">
        <f>F382/D382</f>
        <v>1.7965551596733056</v>
      </c>
      <c r="L382" s="24">
        <f>3.85*1.8</f>
        <v>6.9300000000000006</v>
      </c>
      <c r="M382" s="24">
        <f>F452/D452</f>
        <v>1.7912396654049074</v>
      </c>
      <c r="O382" s="36"/>
      <c r="P382" s="36"/>
    </row>
    <row r="383" spans="1:16" s="24" customFormat="1" ht="15.75" customHeight="1" x14ac:dyDescent="0.3">
      <c r="A383" s="141">
        <f t="shared" ref="A383:A385" si="36">A382+1</f>
        <v>2</v>
      </c>
      <c r="B383" s="142"/>
      <c r="C383" s="29" t="s">
        <v>289</v>
      </c>
      <c r="D383" s="29">
        <f>(151.71+4.285*1.8+2.54*2.215)*10.764</f>
        <v>1776.5885123999999</v>
      </c>
      <c r="E383" s="29">
        <v>0</v>
      </c>
      <c r="F383" s="29">
        <v>3070</v>
      </c>
      <c r="G383" s="154"/>
      <c r="H383" s="155"/>
      <c r="I383" s="24">
        <f t="shared" ref="I383:I385" si="37">F383/D383</f>
        <v>1.7280309866761019</v>
      </c>
      <c r="K383" s="36"/>
      <c r="L383" s="38"/>
      <c r="M383" s="24">
        <f t="shared" ref="M383:M386" si="38">F453/D453</f>
        <v>1.7912396654049074</v>
      </c>
      <c r="N383" s="38"/>
      <c r="O383" s="36"/>
      <c r="P383" s="36"/>
    </row>
    <row r="384" spans="1:16" s="24" customFormat="1" ht="15.75" customHeight="1" x14ac:dyDescent="0.3">
      <c r="A384" s="141">
        <f t="shared" si="36"/>
        <v>3</v>
      </c>
      <c r="B384" s="142"/>
      <c r="C384" s="29" t="s">
        <v>289</v>
      </c>
      <c r="D384" s="29">
        <f>(151.71+4.285*1.8+2.54*2.215)*10.764</f>
        <v>1776.5885123999999</v>
      </c>
      <c r="E384" s="29">
        <v>0</v>
      </c>
      <c r="F384" s="29">
        <v>3070</v>
      </c>
      <c r="G384" s="154"/>
      <c r="H384" s="155"/>
      <c r="I384" s="24">
        <f t="shared" si="37"/>
        <v>1.7280309866761019</v>
      </c>
      <c r="K384" s="24">
        <f>1.05*3.875</f>
        <v>4.0687500000000005</v>
      </c>
      <c r="M384" s="24">
        <f t="shared" si="38"/>
        <v>1.7345987393348403</v>
      </c>
      <c r="N384" s="23"/>
    </row>
    <row r="385" spans="1:16" s="24" customFormat="1" ht="15.75" customHeight="1" x14ac:dyDescent="0.3">
      <c r="A385" s="141">
        <f t="shared" si="36"/>
        <v>4</v>
      </c>
      <c r="B385" s="142"/>
      <c r="C385" s="29" t="s">
        <v>288</v>
      </c>
      <c r="D385" s="29">
        <f>(137.658+4.285*1.8+2.54*2.215)*10.764</f>
        <v>1625.3327843999998</v>
      </c>
      <c r="E385" s="29">
        <v>0</v>
      </c>
      <c r="F385" s="29">
        <v>2920</v>
      </c>
      <c r="G385" s="156"/>
      <c r="H385" s="157"/>
      <c r="I385" s="24">
        <f t="shared" si="37"/>
        <v>1.7965551596733056</v>
      </c>
      <c r="J385" s="36"/>
      <c r="L385" s="35"/>
      <c r="M385" s="24">
        <f t="shared" si="38"/>
        <v>1.7417356389822818</v>
      </c>
      <c r="N385" s="23"/>
    </row>
    <row r="386" spans="1:16" s="24" customFormat="1" ht="15.75" customHeight="1" x14ac:dyDescent="0.3">
      <c r="A386" s="149" t="s">
        <v>283</v>
      </c>
      <c r="B386" s="150"/>
      <c r="C386" s="150"/>
      <c r="D386" s="150"/>
      <c r="E386" s="150"/>
      <c r="F386" s="150"/>
      <c r="G386" s="150"/>
      <c r="H386" s="151"/>
      <c r="I386" s="36"/>
      <c r="J386" s="36"/>
      <c r="L386" s="35"/>
      <c r="M386" s="24">
        <f t="shared" si="38"/>
        <v>1.8178610396404693</v>
      </c>
      <c r="N386" s="23"/>
    </row>
    <row r="387" spans="1:16" s="24" customFormat="1" ht="15.75" customHeight="1" x14ac:dyDescent="0.3">
      <c r="A387" s="141">
        <v>1</v>
      </c>
      <c r="B387" s="142"/>
      <c r="C387" s="29" t="s">
        <v>284</v>
      </c>
      <c r="D387" s="29">
        <f>(60.946+4.285*1.8)*10.764</f>
        <v>739.04547599999989</v>
      </c>
      <c r="E387" s="29">
        <v>0</v>
      </c>
      <c r="F387" s="29">
        <v>1285</v>
      </c>
      <c r="G387" s="152" t="str">
        <f>A386</f>
        <v>7th &amp; 12th Floor (Part Refuge area)</v>
      </c>
      <c r="H387" s="153"/>
      <c r="I387" s="24">
        <f t="shared" ref="I387:I390" si="39">F387/D387</f>
        <v>1.7387292686708771</v>
      </c>
      <c r="J387" s="36">
        <f>7.615*3.3+3.05*4.565+3.35*4.565+1.515*2+1.515*1</f>
        <v>58.890500000000003</v>
      </c>
    </row>
    <row r="388" spans="1:16" s="24" customFormat="1" ht="15.75" customHeight="1" x14ac:dyDescent="0.3">
      <c r="A388" s="141">
        <f t="shared" ref="A388:A390" si="40">A387+1</f>
        <v>2</v>
      </c>
      <c r="B388" s="142"/>
      <c r="C388" s="29" t="s">
        <v>289</v>
      </c>
      <c r="D388" s="29">
        <f>(151.71+4.285*1.8+2.54*2.215)*10.764</f>
        <v>1776.5885123999999</v>
      </c>
      <c r="E388" s="29">
        <v>0</v>
      </c>
      <c r="F388" s="29">
        <v>3070</v>
      </c>
      <c r="G388" s="154"/>
      <c r="H388" s="155"/>
      <c r="I388" s="24">
        <f t="shared" si="39"/>
        <v>1.7280309866761019</v>
      </c>
      <c r="K388" s="36"/>
      <c r="O388" s="36"/>
      <c r="P388" s="36"/>
    </row>
    <row r="389" spans="1:16" s="24" customFormat="1" ht="15.75" customHeight="1" x14ac:dyDescent="0.3">
      <c r="A389" s="141">
        <f t="shared" si="40"/>
        <v>3</v>
      </c>
      <c r="B389" s="142"/>
      <c r="C389" s="29" t="s">
        <v>289</v>
      </c>
      <c r="D389" s="29">
        <f>(151.71+4.285*1.8+2.54*2.215)*10.764</f>
        <v>1776.5885123999999</v>
      </c>
      <c r="E389" s="29">
        <v>0</v>
      </c>
      <c r="F389" s="29">
        <v>3070</v>
      </c>
      <c r="G389" s="154"/>
      <c r="H389" s="155"/>
      <c r="I389" s="24">
        <f t="shared" si="39"/>
        <v>1.7280309866761019</v>
      </c>
      <c r="L389" s="38"/>
      <c r="M389" s="38"/>
      <c r="N389" s="38"/>
      <c r="O389" s="36"/>
      <c r="P389" s="36"/>
    </row>
    <row r="390" spans="1:16" s="24" customFormat="1" ht="15.75" customHeight="1" x14ac:dyDescent="0.3">
      <c r="A390" s="141">
        <f t="shared" si="40"/>
        <v>4</v>
      </c>
      <c r="B390" s="142"/>
      <c r="C390" s="29" t="s">
        <v>288</v>
      </c>
      <c r="D390" s="29">
        <f>(137.658+4.285*1.8+2.54*2.215)*10.764</f>
        <v>1625.3327843999998</v>
      </c>
      <c r="E390" s="29">
        <v>0</v>
      </c>
      <c r="F390" s="29">
        <v>2920</v>
      </c>
      <c r="G390" s="156"/>
      <c r="H390" s="157"/>
      <c r="I390" s="24">
        <f t="shared" si="39"/>
        <v>1.7965551596733056</v>
      </c>
      <c r="J390" s="36"/>
      <c r="M390" s="35"/>
      <c r="N390" s="23"/>
    </row>
    <row r="391" spans="1:16" s="24" customFormat="1" ht="15.75" customHeight="1" x14ac:dyDescent="0.3">
      <c r="A391" s="149" t="s">
        <v>259</v>
      </c>
      <c r="B391" s="150"/>
      <c r="C391" s="150"/>
      <c r="D391" s="150"/>
      <c r="E391" s="150"/>
      <c r="F391" s="150"/>
      <c r="G391" s="150"/>
      <c r="H391" s="151"/>
      <c r="J391" s="23"/>
      <c r="L391" s="35"/>
      <c r="M391" s="35"/>
      <c r="N391" s="23"/>
    </row>
    <row r="392" spans="1:16" s="24" customFormat="1" ht="15.75" customHeight="1" x14ac:dyDescent="0.3">
      <c r="A392" s="149" t="s">
        <v>313</v>
      </c>
      <c r="B392" s="150"/>
      <c r="C392" s="150"/>
      <c r="D392" s="150"/>
      <c r="E392" s="150"/>
      <c r="F392" s="150"/>
      <c r="G392" s="150"/>
      <c r="H392" s="151"/>
      <c r="J392" s="23"/>
      <c r="L392" s="35"/>
      <c r="M392" s="35"/>
      <c r="N392" s="23"/>
    </row>
    <row r="393" spans="1:16" s="24" customFormat="1" ht="15.75" customHeight="1" x14ac:dyDescent="0.3">
      <c r="A393" s="149" t="s">
        <v>281</v>
      </c>
      <c r="B393" s="150"/>
      <c r="C393" s="150"/>
      <c r="D393" s="150"/>
      <c r="E393" s="150"/>
      <c r="F393" s="150"/>
      <c r="G393" s="150"/>
      <c r="H393" s="150"/>
      <c r="I393" s="36" t="s">
        <v>296</v>
      </c>
      <c r="J393" s="36" t="s">
        <v>297</v>
      </c>
    </row>
    <row r="394" spans="1:16" s="24" customFormat="1" ht="15.75" customHeight="1" x14ac:dyDescent="0.3">
      <c r="A394" s="141">
        <v>1</v>
      </c>
      <c r="B394" s="142"/>
      <c r="C394" s="29" t="s">
        <v>289</v>
      </c>
      <c r="D394" s="29">
        <f>(151.566+4.285*1.8+2.54*2.215)*10.765</f>
        <v>1775.2034015000002</v>
      </c>
      <c r="E394" s="29">
        <v>0</v>
      </c>
      <c r="F394" s="29">
        <v>3070</v>
      </c>
      <c r="G394" s="152" t="str">
        <f>A393</f>
        <v>1st Floor For Residential</v>
      </c>
      <c r="H394" s="153"/>
      <c r="I394" s="40">
        <f>(7.615*5.65+4.25*3.175+3.05*4.565+3.35*4.565+4.795*3.65+3.785*4.25+1.515*1.55+1.515*2.6+2.055*2.115+2.915*1.865+2.915*1.685+4.5*1.2)</f>
        <v>145.70432500000001</v>
      </c>
      <c r="J394" s="36">
        <f>4.285*1.8</f>
        <v>7.7130000000000001</v>
      </c>
      <c r="O394" s="36"/>
      <c r="P394" s="36"/>
    </row>
    <row r="395" spans="1:16" s="24" customFormat="1" ht="15.75" customHeight="1" x14ac:dyDescent="0.3">
      <c r="A395" s="141">
        <f t="shared" ref="A395:A397" si="41">A394+1</f>
        <v>2</v>
      </c>
      <c r="B395" s="142"/>
      <c r="C395" s="29" t="s">
        <v>289</v>
      </c>
      <c r="D395" s="29">
        <f t="shared" ref="D395:D397" si="42">(151.566+4.285*1.8+2.54*2.215)*10.765</f>
        <v>1775.2034015000002</v>
      </c>
      <c r="E395" s="29">
        <v>0</v>
      </c>
      <c r="F395" s="29">
        <v>3070</v>
      </c>
      <c r="G395" s="154"/>
      <c r="H395" s="155"/>
      <c r="I395" s="37"/>
      <c r="K395" s="36" t="s">
        <v>298</v>
      </c>
      <c r="L395" s="38"/>
      <c r="M395" s="38"/>
      <c r="N395" s="38"/>
      <c r="O395" s="36"/>
      <c r="P395" s="36"/>
    </row>
    <row r="396" spans="1:16" s="24" customFormat="1" ht="15.75" customHeight="1" x14ac:dyDescent="0.3">
      <c r="A396" s="141">
        <f t="shared" si="41"/>
        <v>3</v>
      </c>
      <c r="B396" s="142"/>
      <c r="C396" s="29" t="s">
        <v>289</v>
      </c>
      <c r="D396" s="29">
        <f t="shared" si="42"/>
        <v>1775.2034015000002</v>
      </c>
      <c r="E396" s="29">
        <f>(18.395+34.929)*10.764</f>
        <v>573.97953599999994</v>
      </c>
      <c r="F396" s="29">
        <v>3070</v>
      </c>
      <c r="G396" s="154"/>
      <c r="H396" s="155"/>
      <c r="I396" s="23"/>
      <c r="K396" s="24">
        <f>(3.5*1.6+1.4*1.15+2*1)</f>
        <v>9.2100000000000009</v>
      </c>
      <c r="L396" s="35"/>
      <c r="M396" s="35"/>
      <c r="N396" s="23"/>
    </row>
    <row r="397" spans="1:16" s="24" customFormat="1" ht="15.75" customHeight="1" x14ac:dyDescent="0.3">
      <c r="A397" s="141">
        <f t="shared" si="41"/>
        <v>4</v>
      </c>
      <c r="B397" s="142"/>
      <c r="C397" s="29" t="s">
        <v>289</v>
      </c>
      <c r="D397" s="29">
        <f t="shared" si="42"/>
        <v>1775.2034015000002</v>
      </c>
      <c r="E397" s="29">
        <f>(18.395+34.929)*10.764</f>
        <v>573.97953599999994</v>
      </c>
      <c r="F397" s="29">
        <v>3070</v>
      </c>
      <c r="G397" s="156"/>
      <c r="H397" s="157"/>
      <c r="I397" s="62" t="s">
        <v>319</v>
      </c>
      <c r="J397" s="36"/>
      <c r="L397" s="35"/>
      <c r="M397" s="35"/>
      <c r="N397" s="23"/>
    </row>
    <row r="398" spans="1:16" s="24" customFormat="1" ht="15.75" customHeight="1" x14ac:dyDescent="0.3">
      <c r="A398" s="149" t="s">
        <v>294</v>
      </c>
      <c r="B398" s="150"/>
      <c r="C398" s="150"/>
      <c r="D398" s="150"/>
      <c r="E398" s="150"/>
      <c r="F398" s="150"/>
      <c r="G398" s="150"/>
      <c r="H398" s="151"/>
      <c r="I398" s="64" t="s">
        <v>318</v>
      </c>
      <c r="J398" s="63"/>
      <c r="L398" s="35"/>
      <c r="M398" s="35"/>
      <c r="N398" s="23"/>
    </row>
    <row r="399" spans="1:16" s="24" customFormat="1" ht="15.75" customHeight="1" x14ac:dyDescent="0.3">
      <c r="A399" s="141">
        <v>1</v>
      </c>
      <c r="B399" s="142"/>
      <c r="C399" s="29" t="s">
        <v>289</v>
      </c>
      <c r="D399" s="29">
        <f t="shared" ref="D399:D407" si="43">(151.566+4.285*1.8+2.54*2.215)*10.765</f>
        <v>1775.2034015000002</v>
      </c>
      <c r="E399" s="29">
        <v>0</v>
      </c>
      <c r="F399" s="29">
        <v>3070</v>
      </c>
      <c r="G399" s="152" t="str">
        <f>A398</f>
        <v>2nd to 6th, 8th to 11th, 13th to 14th Floor</v>
      </c>
      <c r="H399" s="153"/>
      <c r="I399" s="24">
        <f>F399/D399</f>
        <v>1.7293792910750005</v>
      </c>
    </row>
    <row r="400" spans="1:16" s="24" customFormat="1" ht="15.75" customHeight="1" x14ac:dyDescent="0.3">
      <c r="A400" s="141">
        <f t="shared" ref="A400:A402" si="44">A399+1</f>
        <v>2</v>
      </c>
      <c r="B400" s="142"/>
      <c r="C400" s="29" t="s">
        <v>289</v>
      </c>
      <c r="D400" s="29">
        <f t="shared" si="43"/>
        <v>1775.2034015000002</v>
      </c>
      <c r="E400" s="29">
        <v>0</v>
      </c>
      <c r="F400" s="29">
        <v>3070</v>
      </c>
      <c r="G400" s="154"/>
      <c r="H400" s="155"/>
      <c r="I400" s="24">
        <f t="shared" ref="I400:I407" si="45">F400/D400</f>
        <v>1.7293792910750005</v>
      </c>
      <c r="O400" s="36"/>
      <c r="P400" s="36"/>
    </row>
    <row r="401" spans="1:16" s="24" customFormat="1" ht="15.75" customHeight="1" x14ac:dyDescent="0.3">
      <c r="A401" s="141">
        <f t="shared" si="44"/>
        <v>3</v>
      </c>
      <c r="B401" s="142"/>
      <c r="C401" s="29" t="s">
        <v>289</v>
      </c>
      <c r="D401" s="29">
        <f t="shared" si="43"/>
        <v>1775.2034015000002</v>
      </c>
      <c r="E401" s="29">
        <v>0</v>
      </c>
      <c r="F401" s="29">
        <v>3070</v>
      </c>
      <c r="G401" s="154"/>
      <c r="H401" s="155"/>
      <c r="I401" s="24">
        <f t="shared" si="45"/>
        <v>1.7293792910750005</v>
      </c>
      <c r="K401" s="36"/>
      <c r="L401" s="38"/>
      <c r="M401" s="38"/>
      <c r="N401" s="38"/>
      <c r="O401" s="36"/>
      <c r="P401" s="36"/>
    </row>
    <row r="402" spans="1:16" s="24" customFormat="1" ht="15.75" customHeight="1" x14ac:dyDescent="0.3">
      <c r="A402" s="141">
        <f t="shared" si="44"/>
        <v>4</v>
      </c>
      <c r="B402" s="142"/>
      <c r="C402" s="29" t="s">
        <v>289</v>
      </c>
      <c r="D402" s="29">
        <f t="shared" si="43"/>
        <v>1775.2034015000002</v>
      </c>
      <c r="E402" s="29">
        <v>0</v>
      </c>
      <c r="F402" s="29">
        <v>3070</v>
      </c>
      <c r="G402" s="156"/>
      <c r="H402" s="157"/>
      <c r="I402" s="24">
        <f t="shared" si="45"/>
        <v>1.7293792910750005</v>
      </c>
      <c r="J402" s="36"/>
      <c r="M402" s="35"/>
      <c r="N402" s="23"/>
    </row>
    <row r="403" spans="1:16" s="24" customFormat="1" ht="15.75" customHeight="1" x14ac:dyDescent="0.3">
      <c r="A403" s="149" t="s">
        <v>283</v>
      </c>
      <c r="B403" s="150"/>
      <c r="C403" s="150"/>
      <c r="D403" s="150"/>
      <c r="E403" s="150"/>
      <c r="F403" s="150"/>
      <c r="G403" s="150"/>
      <c r="H403" s="151"/>
      <c r="I403" s="36"/>
      <c r="J403" s="36"/>
      <c r="L403" s="35"/>
      <c r="M403" s="35"/>
      <c r="N403" s="23"/>
    </row>
    <row r="404" spans="1:16" s="24" customFormat="1" ht="15.75" customHeight="1" x14ac:dyDescent="0.3">
      <c r="A404" s="141">
        <v>1</v>
      </c>
      <c r="B404" s="142"/>
      <c r="C404" s="29" t="s">
        <v>289</v>
      </c>
      <c r="D404" s="29">
        <f t="shared" si="43"/>
        <v>1775.2034015000002</v>
      </c>
      <c r="E404" s="29">
        <v>0</v>
      </c>
      <c r="F404" s="29">
        <v>3070</v>
      </c>
      <c r="G404" s="152" t="str">
        <f>A403</f>
        <v>7th &amp; 12th Floor (Part Refuge area)</v>
      </c>
      <c r="H404" s="153"/>
      <c r="I404" s="24">
        <f t="shared" si="45"/>
        <v>1.7293792910750005</v>
      </c>
      <c r="J404" s="36"/>
      <c r="L404" s="35"/>
      <c r="M404" s="35"/>
      <c r="N404" s="23"/>
    </row>
    <row r="405" spans="1:16" s="24" customFormat="1" x14ac:dyDescent="0.3">
      <c r="A405" s="141">
        <f t="shared" ref="A405:A407" si="46">A404+1</f>
        <v>2</v>
      </c>
      <c r="B405" s="142"/>
      <c r="C405" s="29" t="s">
        <v>284</v>
      </c>
      <c r="D405" s="29">
        <f>(63.715+4.285*1.8)*10.765</f>
        <v>768.92241999999999</v>
      </c>
      <c r="E405" s="29">
        <v>0</v>
      </c>
      <c r="F405" s="29">
        <v>1335</v>
      </c>
      <c r="G405" s="154"/>
      <c r="H405" s="155"/>
      <c r="I405" s="24">
        <f t="shared" si="45"/>
        <v>1.7361959610957891</v>
      </c>
    </row>
    <row r="406" spans="1:16" s="24" customFormat="1" x14ac:dyDescent="0.3">
      <c r="A406" s="141">
        <f t="shared" si="46"/>
        <v>3</v>
      </c>
      <c r="B406" s="142"/>
      <c r="C406" s="29" t="s">
        <v>289</v>
      </c>
      <c r="D406" s="29">
        <f t="shared" si="43"/>
        <v>1775.2034015000002</v>
      </c>
      <c r="E406" s="29">
        <v>0</v>
      </c>
      <c r="F406" s="29">
        <v>3070</v>
      </c>
      <c r="G406" s="154"/>
      <c r="H406" s="155"/>
      <c r="I406" s="24">
        <f t="shared" si="45"/>
        <v>1.7293792910750005</v>
      </c>
    </row>
    <row r="407" spans="1:16" s="24" customFormat="1" ht="15.75" customHeight="1" x14ac:dyDescent="0.3">
      <c r="A407" s="141">
        <f t="shared" si="46"/>
        <v>4</v>
      </c>
      <c r="B407" s="142"/>
      <c r="C407" s="29" t="s">
        <v>289</v>
      </c>
      <c r="D407" s="29">
        <f t="shared" si="43"/>
        <v>1775.2034015000002</v>
      </c>
      <c r="E407" s="29">
        <v>0</v>
      </c>
      <c r="F407" s="29">
        <v>3070</v>
      </c>
      <c r="G407" s="156"/>
      <c r="H407" s="157"/>
      <c r="I407" s="24">
        <f t="shared" si="45"/>
        <v>1.7293792910750005</v>
      </c>
      <c r="J407" s="36"/>
      <c r="K407" s="36"/>
    </row>
    <row r="408" spans="1:16" s="24" customFormat="1" ht="15.75" customHeight="1" x14ac:dyDescent="0.3">
      <c r="A408" s="149" t="s">
        <v>260</v>
      </c>
      <c r="B408" s="150"/>
      <c r="C408" s="150"/>
      <c r="D408" s="150"/>
      <c r="E408" s="150"/>
      <c r="F408" s="150"/>
      <c r="G408" s="150"/>
      <c r="H408" s="151"/>
      <c r="J408" s="23"/>
      <c r="M408" s="24">
        <f>F478/D478</f>
        <v>1.7922547999475671</v>
      </c>
      <c r="O408" s="36"/>
      <c r="P408" s="36"/>
    </row>
    <row r="409" spans="1:16" s="24" customFormat="1" ht="15.75" customHeight="1" x14ac:dyDescent="0.3">
      <c r="A409" s="149" t="s">
        <v>313</v>
      </c>
      <c r="B409" s="150"/>
      <c r="C409" s="150"/>
      <c r="D409" s="150"/>
      <c r="E409" s="150"/>
      <c r="F409" s="150"/>
      <c r="G409" s="150"/>
      <c r="H409" s="151"/>
      <c r="J409" s="23"/>
      <c r="L409" s="38">
        <f>3.85*1.8+3.5*1.2</f>
        <v>11.13</v>
      </c>
      <c r="M409" s="24">
        <f t="shared" ref="M409:M411" si="47">F479/D479</f>
        <v>1.7922547999475671</v>
      </c>
      <c r="N409" s="38"/>
      <c r="O409" s="36"/>
      <c r="P409" s="36"/>
    </row>
    <row r="410" spans="1:16" s="24" customFormat="1" ht="15.75" customHeight="1" x14ac:dyDescent="0.3">
      <c r="A410" s="149" t="s">
        <v>281</v>
      </c>
      <c r="B410" s="150"/>
      <c r="C410" s="150"/>
      <c r="D410" s="150"/>
      <c r="E410" s="150"/>
      <c r="F410" s="150"/>
      <c r="G410" s="150"/>
      <c r="H410" s="150"/>
      <c r="M410" s="24">
        <f t="shared" si="47"/>
        <v>1.7922547999475671</v>
      </c>
      <c r="N410" s="23"/>
    </row>
    <row r="411" spans="1:16" s="24" customFormat="1" ht="15.75" customHeight="1" x14ac:dyDescent="0.3">
      <c r="A411" s="141">
        <v>1</v>
      </c>
      <c r="B411" s="142"/>
      <c r="C411" s="29" t="s">
        <v>288</v>
      </c>
      <c r="D411" s="29">
        <f>(137.602+4.285*1.8+2.54*2.215)*10.764</f>
        <v>1624.7300003999999</v>
      </c>
      <c r="E411" s="29">
        <v>0</v>
      </c>
      <c r="F411" s="29">
        <v>2920</v>
      </c>
      <c r="G411" s="152" t="str">
        <f>A410</f>
        <v>1st Floor For Residential</v>
      </c>
      <c r="H411" s="153"/>
      <c r="I411" s="24">
        <f t="shared" ref="I411:I414" si="48">F411/D411</f>
        <v>1.797221691777164</v>
      </c>
      <c r="J411" s="36"/>
      <c r="L411" s="35"/>
      <c r="M411" s="24">
        <f t="shared" si="47"/>
        <v>1.7922547999475671</v>
      </c>
      <c r="N411" s="23"/>
    </row>
    <row r="412" spans="1:16" s="24" customFormat="1" ht="15.75" customHeight="1" x14ac:dyDescent="0.3">
      <c r="A412" s="141">
        <f t="shared" ref="A412:A414" si="49">A411+1</f>
        <v>2</v>
      </c>
      <c r="B412" s="142"/>
      <c r="C412" s="29" t="s">
        <v>288</v>
      </c>
      <c r="D412" s="29">
        <f>(137.602+4.285*1.8+2.54*2.215)*10.764</f>
        <v>1624.7300003999999</v>
      </c>
      <c r="E412" s="29">
        <v>0</v>
      </c>
      <c r="F412" s="29">
        <v>2920</v>
      </c>
      <c r="G412" s="154"/>
      <c r="H412" s="155"/>
      <c r="I412" s="24">
        <f t="shared" si="48"/>
        <v>1.797221691777164</v>
      </c>
    </row>
    <row r="413" spans="1:16" s="24" customFormat="1" ht="15.75" customHeight="1" x14ac:dyDescent="0.3">
      <c r="A413" s="141">
        <f t="shared" si="49"/>
        <v>3</v>
      </c>
      <c r="B413" s="142"/>
      <c r="C413" s="29" t="s">
        <v>289</v>
      </c>
      <c r="D413" s="29">
        <f>(174.194+4.005*1.8+9.836*1.55)*10.764</f>
        <v>2116.7276831999998</v>
      </c>
      <c r="E413" s="29">
        <f>(17.05+4.76+3.38)*10.764</f>
        <v>271.14515999999998</v>
      </c>
      <c r="F413" s="29">
        <v>3832</v>
      </c>
      <c r="G413" s="154"/>
      <c r="H413" s="155"/>
      <c r="I413" s="24">
        <f t="shared" si="48"/>
        <v>1.8103415145999828</v>
      </c>
      <c r="J413" s="24">
        <f>9.836*1.55+4.005*1.8</f>
        <v>22.454799999999999</v>
      </c>
      <c r="K413" s="36"/>
      <c r="M413" s="24">
        <f>F483/D483</f>
        <v>1.7922547999475671</v>
      </c>
      <c r="O413" s="36"/>
      <c r="P413" s="36"/>
    </row>
    <row r="414" spans="1:16" s="24" customFormat="1" ht="15.75" customHeight="1" x14ac:dyDescent="0.3">
      <c r="A414" s="141">
        <f t="shared" si="49"/>
        <v>4</v>
      </c>
      <c r="B414" s="142"/>
      <c r="C414" s="29" t="s">
        <v>288</v>
      </c>
      <c r="D414" s="29">
        <f>(137.602+4.285*1.8+2.54*2.215)*10.764</f>
        <v>1624.7300003999999</v>
      </c>
      <c r="E414" s="29">
        <f>(34.925+28.249)*10.764</f>
        <v>680.00493599999993</v>
      </c>
      <c r="F414" s="29">
        <v>2920</v>
      </c>
      <c r="G414" s="156"/>
      <c r="H414" s="157"/>
      <c r="I414" s="24">
        <f t="shared" si="48"/>
        <v>1.797221691777164</v>
      </c>
      <c r="J414" s="36"/>
      <c r="L414" s="38">
        <f>3.85*1.8+3.5*1.2</f>
        <v>11.13</v>
      </c>
      <c r="M414" s="24">
        <f t="shared" ref="M414:M416" si="50">F484/D484</f>
        <v>1.7922547999475671</v>
      </c>
      <c r="N414" s="38"/>
      <c r="O414" s="36"/>
      <c r="P414" s="36"/>
    </row>
    <row r="415" spans="1:16" s="24" customFormat="1" ht="15.75" customHeight="1" x14ac:dyDescent="0.3">
      <c r="A415" s="149" t="s">
        <v>293</v>
      </c>
      <c r="B415" s="150"/>
      <c r="C415" s="150"/>
      <c r="D415" s="150"/>
      <c r="E415" s="150"/>
      <c r="F415" s="150"/>
      <c r="G415" s="150"/>
      <c r="H415" s="151"/>
      <c r="I415" s="36"/>
      <c r="J415" s="36"/>
      <c r="M415" s="24">
        <f t="shared" si="50"/>
        <v>1.7922547999475671</v>
      </c>
      <c r="N415" s="23"/>
    </row>
    <row r="416" spans="1:16" s="24" customFormat="1" ht="15.75" customHeight="1" x14ac:dyDescent="0.3">
      <c r="A416" s="141">
        <v>1</v>
      </c>
      <c r="B416" s="142"/>
      <c r="C416" s="29" t="s">
        <v>288</v>
      </c>
      <c r="D416" s="29">
        <f>(137.602+4.285*1.8+2.54*2.215)*10.764</f>
        <v>1624.7300003999999</v>
      </c>
      <c r="E416" s="29">
        <v>0</v>
      </c>
      <c r="F416" s="29">
        <v>2920</v>
      </c>
      <c r="G416" s="152" t="str">
        <f>A415</f>
        <v>2nd to 6th, 8th to 11th, 13th to 15th Floor</v>
      </c>
      <c r="H416" s="153"/>
      <c r="I416" s="24">
        <f t="shared" ref="I416:I424" si="51">F416/D416</f>
        <v>1.797221691777164</v>
      </c>
      <c r="L416" s="35"/>
      <c r="M416" s="24">
        <f t="shared" si="50"/>
        <v>1.7922547999475671</v>
      </c>
      <c r="N416" s="23"/>
    </row>
    <row r="417" spans="1:16" s="24" customFormat="1" ht="15.75" customHeight="1" x14ac:dyDescent="0.3">
      <c r="A417" s="141">
        <f t="shared" ref="A417:A419" si="52">A416+1</f>
        <v>2</v>
      </c>
      <c r="B417" s="142"/>
      <c r="C417" s="29" t="s">
        <v>288</v>
      </c>
      <c r="D417" s="29">
        <f>(137.602+4.285*1.8+2.54*2.215)*10.764</f>
        <v>1624.7300003999999</v>
      </c>
      <c r="E417" s="29">
        <v>0</v>
      </c>
      <c r="F417" s="29">
        <v>2920</v>
      </c>
      <c r="G417" s="154"/>
      <c r="H417" s="155"/>
      <c r="I417" s="24">
        <f t="shared" si="51"/>
        <v>1.797221691777164</v>
      </c>
    </row>
    <row r="418" spans="1:16" s="24" customFormat="1" ht="15.75" customHeight="1" x14ac:dyDescent="0.3">
      <c r="A418" s="141">
        <f t="shared" si="52"/>
        <v>3</v>
      </c>
      <c r="B418" s="142"/>
      <c r="C418" s="29" t="s">
        <v>289</v>
      </c>
      <c r="D418" s="29">
        <f>(174.194+4.005*1.8+9.836*1.55)*10.764</f>
        <v>2116.7276831999998</v>
      </c>
      <c r="E418" s="29">
        <v>0</v>
      </c>
      <c r="F418" s="29">
        <v>3800</v>
      </c>
      <c r="G418" s="154"/>
      <c r="H418" s="155"/>
      <c r="I418" s="24">
        <f t="shared" si="51"/>
        <v>1.795223840156559</v>
      </c>
      <c r="M418" s="24">
        <f>F488/D488</f>
        <v>1.7922547999475671</v>
      </c>
      <c r="O418" s="36"/>
      <c r="P418" s="36"/>
    </row>
    <row r="419" spans="1:16" s="24" customFormat="1" ht="15.75" customHeight="1" x14ac:dyDescent="0.3">
      <c r="A419" s="141">
        <f t="shared" si="52"/>
        <v>4</v>
      </c>
      <c r="B419" s="142"/>
      <c r="C419" s="29" t="s">
        <v>288</v>
      </c>
      <c r="D419" s="29">
        <f>(137.602+4.285*1.8+2.54*2.215)*10.764</f>
        <v>1624.7300003999999</v>
      </c>
      <c r="E419" s="29">
        <v>0</v>
      </c>
      <c r="F419" s="29">
        <v>2920</v>
      </c>
      <c r="G419" s="156"/>
      <c r="H419" s="157"/>
      <c r="I419" s="24">
        <f t="shared" si="51"/>
        <v>1.797221691777164</v>
      </c>
      <c r="J419" s="36"/>
      <c r="L419" s="38"/>
      <c r="M419" s="24" t="e">
        <f t="shared" ref="M419:M421" si="53">F489/D489</f>
        <v>#DIV/0!</v>
      </c>
      <c r="N419" s="38"/>
      <c r="O419" s="36"/>
      <c r="P419" s="36"/>
    </row>
    <row r="420" spans="1:16" s="24" customFormat="1" ht="15.75" customHeight="1" x14ac:dyDescent="0.3">
      <c r="A420" s="149" t="s">
        <v>283</v>
      </c>
      <c r="B420" s="150"/>
      <c r="C420" s="150"/>
      <c r="D420" s="150"/>
      <c r="E420" s="150"/>
      <c r="F420" s="150"/>
      <c r="G420" s="150"/>
      <c r="H420" s="151"/>
      <c r="I420" s="36"/>
      <c r="J420" s="36"/>
      <c r="L420" s="35"/>
      <c r="M420" s="24">
        <f t="shared" si="53"/>
        <v>1.75</v>
      </c>
      <c r="N420" s="23"/>
    </row>
    <row r="421" spans="1:16" s="24" customFormat="1" ht="15.75" customHeight="1" x14ac:dyDescent="0.3">
      <c r="A421" s="141">
        <v>1</v>
      </c>
      <c r="B421" s="142"/>
      <c r="C421" s="29" t="s">
        <v>284</v>
      </c>
      <c r="D421" s="29">
        <f>(60.946+4.285*1.8)*10.764</f>
        <v>739.04547599999989</v>
      </c>
      <c r="E421" s="29">
        <v>0</v>
      </c>
      <c r="F421" s="29">
        <v>1285</v>
      </c>
      <c r="G421" s="152" t="str">
        <f>A420</f>
        <v>7th &amp; 12th Floor (Part Refuge area)</v>
      </c>
      <c r="H421" s="153"/>
      <c r="I421" s="24">
        <f t="shared" si="51"/>
        <v>1.7387292686708771</v>
      </c>
      <c r="J421" s="36"/>
      <c r="K421" s="36"/>
      <c r="L421" s="35"/>
      <c r="M421" s="24">
        <f t="shared" si="53"/>
        <v>1.7922547999475671</v>
      </c>
      <c r="N421" s="23"/>
    </row>
    <row r="422" spans="1:16" s="24" customFormat="1" ht="15.75" customHeight="1" x14ac:dyDescent="0.3">
      <c r="A422" s="141">
        <f t="shared" ref="A422:A424" si="54">A421+1</f>
        <v>2</v>
      </c>
      <c r="B422" s="142"/>
      <c r="C422" s="29" t="s">
        <v>288</v>
      </c>
      <c r="D422" s="29">
        <f>(137.602+4.285*1.8+2.54*2.215)*10.764</f>
        <v>1624.7300003999999</v>
      </c>
      <c r="E422" s="29">
        <v>0</v>
      </c>
      <c r="F422" s="29">
        <v>2920</v>
      </c>
      <c r="G422" s="154"/>
      <c r="H422" s="155"/>
      <c r="I422" s="24">
        <f t="shared" si="51"/>
        <v>1.797221691777164</v>
      </c>
    </row>
    <row r="423" spans="1:16" s="24" customFormat="1" ht="15.75" customHeight="1" x14ac:dyDescent="0.3">
      <c r="A423" s="141">
        <f t="shared" si="54"/>
        <v>3</v>
      </c>
      <c r="B423" s="142"/>
      <c r="C423" s="29" t="s">
        <v>289</v>
      </c>
      <c r="D423" s="29">
        <f>(174.194+4.005*1.8+9.836*1.55)*10.764</f>
        <v>2116.7276831999998</v>
      </c>
      <c r="E423" s="29">
        <v>0</v>
      </c>
      <c r="F423" s="29">
        <v>3800</v>
      </c>
      <c r="G423" s="154"/>
      <c r="H423" s="155"/>
      <c r="I423" s="24">
        <f t="shared" si="51"/>
        <v>1.795223840156559</v>
      </c>
      <c r="K423" s="36">
        <f>3.5*1.6+1.4*1.15+2*1</f>
        <v>9.2100000000000009</v>
      </c>
      <c r="M423" s="24">
        <f>F493/D493</f>
        <v>1.7922547999475671</v>
      </c>
      <c r="O423" s="36"/>
      <c r="P423" s="36"/>
    </row>
    <row r="424" spans="1:16" s="24" customFormat="1" ht="15.75" customHeight="1" x14ac:dyDescent="0.3">
      <c r="A424" s="141">
        <f t="shared" si="54"/>
        <v>4</v>
      </c>
      <c r="B424" s="142"/>
      <c r="C424" s="29" t="s">
        <v>288</v>
      </c>
      <c r="D424" s="29">
        <f>(137.602+4.285*1.8+2.54*2.215)*10.764</f>
        <v>1624.7300003999999</v>
      </c>
      <c r="E424" s="29">
        <v>0</v>
      </c>
      <c r="F424" s="29">
        <v>2920</v>
      </c>
      <c r="G424" s="156"/>
      <c r="H424" s="157"/>
      <c r="I424" s="24">
        <f t="shared" si="51"/>
        <v>1.797221691777164</v>
      </c>
      <c r="J424" s="36"/>
      <c r="L424" s="38"/>
      <c r="M424" s="24" t="e">
        <f t="shared" ref="M424:M426" si="55">F494/D494</f>
        <v>#DIV/0!</v>
      </c>
      <c r="N424" s="38"/>
      <c r="O424" s="36"/>
      <c r="P424" s="36"/>
    </row>
    <row r="425" spans="1:16" s="24" customFormat="1" ht="15.75" customHeight="1" x14ac:dyDescent="0.3">
      <c r="A425" s="149" t="s">
        <v>261</v>
      </c>
      <c r="B425" s="150"/>
      <c r="C425" s="150"/>
      <c r="D425" s="150"/>
      <c r="E425" s="150"/>
      <c r="F425" s="150"/>
      <c r="G425" s="150"/>
      <c r="H425" s="151"/>
      <c r="J425" s="23"/>
      <c r="L425" s="35"/>
      <c r="M425" s="24" t="e">
        <f t="shared" si="55"/>
        <v>#DIV/0!</v>
      </c>
      <c r="N425" s="23"/>
    </row>
    <row r="426" spans="1:16" s="24" customFormat="1" ht="15.75" customHeight="1" x14ac:dyDescent="0.3">
      <c r="A426" s="149" t="s">
        <v>314</v>
      </c>
      <c r="B426" s="150"/>
      <c r="C426" s="150"/>
      <c r="D426" s="150"/>
      <c r="E426" s="150"/>
      <c r="F426" s="150"/>
      <c r="G426" s="150"/>
      <c r="H426" s="151"/>
      <c r="J426" s="23"/>
      <c r="K426" s="36"/>
      <c r="L426" s="35"/>
      <c r="M426" s="24">
        <f t="shared" si="55"/>
        <v>1.7922547999475671</v>
      </c>
      <c r="N426" s="23"/>
    </row>
    <row r="427" spans="1:16" s="24" customFormat="1" x14ac:dyDescent="0.3">
      <c r="A427" s="149" t="s">
        <v>295</v>
      </c>
      <c r="B427" s="150"/>
      <c r="C427" s="150"/>
      <c r="D427" s="150"/>
      <c r="E427" s="150"/>
      <c r="F427" s="150"/>
      <c r="G427" s="150"/>
      <c r="H427" s="151"/>
      <c r="I427" s="36" t="s">
        <v>296</v>
      </c>
      <c r="J427" s="36" t="s">
        <v>297</v>
      </c>
    </row>
    <row r="428" spans="1:16" s="24" customFormat="1" x14ac:dyDescent="0.3">
      <c r="A428" s="141">
        <v>1</v>
      </c>
      <c r="B428" s="142"/>
      <c r="C428" s="29" t="s">
        <v>288</v>
      </c>
      <c r="D428" s="29">
        <f>(109.346+1.8*3.95)*10.764</f>
        <v>1253.5323839999999</v>
      </c>
      <c r="E428" s="29">
        <v>0</v>
      </c>
      <c r="F428" s="29">
        <v>2225</v>
      </c>
      <c r="G428" s="152" t="str">
        <f>A427</f>
        <v>1st to 6th, 8th to 11th &amp;13th Floor For Residential</v>
      </c>
      <c r="H428" s="153"/>
      <c r="I428" s="24">
        <f>(7.64*3.65+3.565*1.3+3.05*2.75+3.975*3.05+4.3*3.35+3.975*4.1+2.6*1.4+2.5*1.55+2.6*1.55+2.75*1.1)</f>
        <v>98.30425000000001</v>
      </c>
      <c r="J428" s="24">
        <f>1.935*3+1*1.85</f>
        <v>7.6549999999999994</v>
      </c>
      <c r="K428" s="36">
        <f>3.5*1.6+1.4*1.15+2*1</f>
        <v>9.2100000000000009</v>
      </c>
    </row>
    <row r="429" spans="1:16" s="24" customFormat="1" ht="15.75" customHeight="1" x14ac:dyDescent="0.3">
      <c r="A429" s="141">
        <f t="shared" ref="A429:A431" si="56">A428+1</f>
        <v>2</v>
      </c>
      <c r="B429" s="142"/>
      <c r="C429" s="29" t="s">
        <v>288</v>
      </c>
      <c r="D429" s="29">
        <f>(104.93+1.8*3.95)*10.764</f>
        <v>1205.99856</v>
      </c>
      <c r="E429" s="29">
        <v>0</v>
      </c>
      <c r="F429" s="29">
        <v>2095</v>
      </c>
      <c r="G429" s="154"/>
      <c r="H429" s="155"/>
      <c r="I429" s="37"/>
    </row>
    <row r="430" spans="1:16" s="24" customFormat="1" ht="15.75" customHeight="1" x14ac:dyDescent="0.3">
      <c r="A430" s="141">
        <f t="shared" si="56"/>
        <v>3</v>
      </c>
      <c r="B430" s="142"/>
      <c r="C430" s="56" t="s">
        <v>290</v>
      </c>
      <c r="D430" s="56">
        <f>(71.641+1.285*3.6)*10.764</f>
        <v>820.93798800000002</v>
      </c>
      <c r="E430" s="29">
        <v>0</v>
      </c>
      <c r="F430" s="29">
        <v>1485</v>
      </c>
      <c r="G430" s="154"/>
      <c r="H430" s="155"/>
      <c r="I430" s="23">
        <f>(7.34*3.65+2.535*3.35+3.65*3.35+4*3.35+1.375*2.275+2.5*1.55+0.9*1.5)</f>
        <v>69.263874999999999</v>
      </c>
      <c r="J430" s="24">
        <f>2.585*1.205</f>
        <v>3.1149249999999999</v>
      </c>
      <c r="O430" s="36"/>
      <c r="P430" s="36"/>
    </row>
    <row r="431" spans="1:16" s="24" customFormat="1" ht="15.75" customHeight="1" x14ac:dyDescent="0.3">
      <c r="A431" s="141">
        <f t="shared" si="56"/>
        <v>4</v>
      </c>
      <c r="B431" s="142"/>
      <c r="C431" s="56" t="s">
        <v>290</v>
      </c>
      <c r="D431" s="56">
        <f>(71.641+1.285*3.6)*10.764</f>
        <v>820.93798800000002</v>
      </c>
      <c r="E431" s="29">
        <v>0</v>
      </c>
      <c r="F431" s="29">
        <v>1485</v>
      </c>
      <c r="G431" s="156"/>
      <c r="H431" s="157"/>
      <c r="I431" s="23"/>
      <c r="J431" s="36"/>
      <c r="K431" s="36"/>
      <c r="L431" s="38"/>
      <c r="M431" s="38"/>
      <c r="N431" s="38"/>
      <c r="O431" s="36"/>
      <c r="P431" s="36"/>
    </row>
    <row r="432" spans="1:16" s="24" customFormat="1" ht="15.75" customHeight="1" x14ac:dyDescent="0.3">
      <c r="A432" s="149" t="s">
        <v>283</v>
      </c>
      <c r="B432" s="150"/>
      <c r="C432" s="150"/>
      <c r="D432" s="150"/>
      <c r="E432" s="150"/>
      <c r="F432" s="150"/>
      <c r="G432" s="150"/>
      <c r="H432" s="151"/>
      <c r="I432" s="36"/>
      <c r="J432" s="36"/>
      <c r="M432" s="35"/>
      <c r="N432" s="23"/>
    </row>
    <row r="433" spans="1:16" s="24" customFormat="1" ht="15.75" customHeight="1" x14ac:dyDescent="0.3">
      <c r="A433" s="141">
        <v>1</v>
      </c>
      <c r="B433" s="142"/>
      <c r="C433" s="29" t="s">
        <v>288</v>
      </c>
      <c r="D433" s="29">
        <f>(109.346+1.8*3.95)*10.764</f>
        <v>1253.5323839999999</v>
      </c>
      <c r="E433" s="29">
        <v>0</v>
      </c>
      <c r="F433" s="29">
        <v>2225</v>
      </c>
      <c r="G433" s="152" t="str">
        <f>A432</f>
        <v>7th &amp; 12th Floor (Part Refuge area)</v>
      </c>
      <c r="H433" s="153"/>
      <c r="I433" s="67">
        <f>F433/D433</f>
        <v>1.7749840597656232</v>
      </c>
      <c r="J433" s="36"/>
      <c r="L433" s="35"/>
      <c r="M433" s="35"/>
      <c r="N433" s="23"/>
    </row>
    <row r="434" spans="1:16" s="24" customFormat="1" ht="15.75" customHeight="1" x14ac:dyDescent="0.3">
      <c r="A434" s="141">
        <f t="shared" ref="A434:A436" si="57">A433+1</f>
        <v>2</v>
      </c>
      <c r="B434" s="142"/>
      <c r="C434" s="141" t="s">
        <v>291</v>
      </c>
      <c r="D434" s="264"/>
      <c r="E434" s="264"/>
      <c r="F434" s="142"/>
      <c r="G434" s="154"/>
      <c r="H434" s="155"/>
      <c r="I434" s="67" t="e">
        <f t="shared" ref="I434:I436" si="58">F434/D434</f>
        <v>#DIV/0!</v>
      </c>
    </row>
    <row r="435" spans="1:16" s="24" customFormat="1" ht="15.75" customHeight="1" x14ac:dyDescent="0.3">
      <c r="A435" s="141">
        <f t="shared" si="57"/>
        <v>3</v>
      </c>
      <c r="B435" s="142"/>
      <c r="C435" s="29" t="s">
        <v>288</v>
      </c>
      <c r="D435" s="29">
        <f>(7.34*3.65+2.535*3.35+3.65*3.35+2.985*3.35+4.6*3.3+1.375*2.275+2.5*1.55+2.5*1.55+0.9*1.5+0.9*3.35+2.935*1.205+1.285*3.9)*10.764</f>
        <v>1038.5300951999998</v>
      </c>
      <c r="E435" s="29">
        <v>0</v>
      </c>
      <c r="F435" s="29">
        <v>1895</v>
      </c>
      <c r="G435" s="154"/>
      <c r="H435" s="155"/>
      <c r="I435" s="67">
        <f t="shared" si="58"/>
        <v>1.8246943528729049</v>
      </c>
      <c r="J435" s="24">
        <f>(71.641+4.6*3.3+2.5*1.55+1.285*3.6)*10.764</f>
        <v>1026.046008</v>
      </c>
      <c r="O435" s="36"/>
      <c r="P435" s="36"/>
    </row>
    <row r="436" spans="1:16" s="24" customFormat="1" ht="15.75" customHeight="1" x14ac:dyDescent="0.3">
      <c r="A436" s="141">
        <f t="shared" si="57"/>
        <v>4</v>
      </c>
      <c r="B436" s="142"/>
      <c r="C436" s="29" t="s">
        <v>290</v>
      </c>
      <c r="D436" s="29">
        <f>(71.641+1.285*3.9)*10.764</f>
        <v>825.08750999999995</v>
      </c>
      <c r="E436" s="29">
        <v>0</v>
      </c>
      <c r="F436" s="29">
        <v>1485</v>
      </c>
      <c r="G436" s="156"/>
      <c r="H436" s="157"/>
      <c r="I436" s="67">
        <f t="shared" si="58"/>
        <v>1.7998090893413234</v>
      </c>
      <c r="J436" s="36"/>
      <c r="K436" s="36"/>
      <c r="L436" s="38"/>
      <c r="M436" s="38"/>
      <c r="N436" s="38"/>
      <c r="O436" s="36"/>
      <c r="P436" s="36"/>
    </row>
    <row r="437" spans="1:16" s="24" customFormat="1" ht="15.75" customHeight="1" x14ac:dyDescent="0.3">
      <c r="A437" s="149" t="s">
        <v>262</v>
      </c>
      <c r="B437" s="150"/>
      <c r="C437" s="150"/>
      <c r="D437" s="150"/>
      <c r="E437" s="150"/>
      <c r="F437" s="150"/>
      <c r="G437" s="150"/>
      <c r="H437" s="151"/>
      <c r="J437" s="23"/>
      <c r="M437" s="35"/>
      <c r="N437" s="23"/>
    </row>
    <row r="438" spans="1:16" s="24" customFormat="1" ht="15.75" customHeight="1" x14ac:dyDescent="0.3">
      <c r="A438" s="149" t="s">
        <v>315</v>
      </c>
      <c r="B438" s="150"/>
      <c r="C438" s="150"/>
      <c r="D438" s="150"/>
      <c r="E438" s="150"/>
      <c r="F438" s="150"/>
      <c r="G438" s="150"/>
      <c r="H438" s="151"/>
      <c r="J438" s="23"/>
      <c r="L438" s="35"/>
      <c r="M438" s="35"/>
      <c r="N438" s="23"/>
    </row>
    <row r="439" spans="1:16" s="24" customFormat="1" ht="15.75" customHeight="1" x14ac:dyDescent="0.3">
      <c r="A439" s="149" t="s">
        <v>295</v>
      </c>
      <c r="B439" s="150"/>
      <c r="C439" s="150"/>
      <c r="D439" s="150"/>
      <c r="E439" s="150"/>
      <c r="F439" s="150"/>
      <c r="G439" s="150"/>
      <c r="H439" s="151"/>
      <c r="I439" s="36"/>
      <c r="J439" s="36"/>
    </row>
    <row r="440" spans="1:16" s="24" customFormat="1" ht="15.75" customHeight="1" x14ac:dyDescent="0.3">
      <c r="A440" s="141">
        <v>1</v>
      </c>
      <c r="B440" s="142"/>
      <c r="C440" s="29" t="s">
        <v>288</v>
      </c>
      <c r="D440" s="29">
        <f>(109.346+1.8*3.95)*10.764</f>
        <v>1253.5323839999999</v>
      </c>
      <c r="E440" s="29">
        <v>0</v>
      </c>
      <c r="F440" s="29">
        <v>2225</v>
      </c>
      <c r="G440" s="152" t="str">
        <f>A439</f>
        <v>1st to 6th, 8th to 11th &amp;13th Floor For Residential</v>
      </c>
      <c r="H440" s="153"/>
      <c r="I440" s="24">
        <f>(7.64*3.65+3.565*1.3+3.05*2.75+3.975*3.05+4.3*3.35+3.975*4.1+2.6*1.4+2.6*1.55+2.6*1.55+1.2*2.75+0.6*1.55)</f>
        <v>99.66425000000001</v>
      </c>
      <c r="J440" s="24">
        <f>1.985*3+1*1.95</f>
        <v>7.9050000000000002</v>
      </c>
      <c r="O440" s="36"/>
      <c r="P440" s="36"/>
    </row>
    <row r="441" spans="1:16" s="24" customFormat="1" ht="15.75" customHeight="1" x14ac:dyDescent="0.3">
      <c r="A441" s="141">
        <f t="shared" ref="A441:A443" si="59">A440+1</f>
        <v>2</v>
      </c>
      <c r="B441" s="142"/>
      <c r="C441" s="29" t="s">
        <v>288</v>
      </c>
      <c r="D441" s="29">
        <f>(104.93+1.8*3.95)*10.764</f>
        <v>1205.99856</v>
      </c>
      <c r="E441" s="29">
        <v>0</v>
      </c>
      <c r="F441" s="29">
        <v>2095</v>
      </c>
      <c r="G441" s="154"/>
      <c r="H441" s="155"/>
      <c r="I441" s="37"/>
      <c r="L441" s="38"/>
      <c r="M441" s="38"/>
      <c r="N441" s="38"/>
      <c r="O441" s="36"/>
      <c r="P441" s="36"/>
    </row>
    <row r="442" spans="1:16" s="24" customFormat="1" ht="15.75" customHeight="1" x14ac:dyDescent="0.3">
      <c r="A442" s="141">
        <f t="shared" si="59"/>
        <v>3</v>
      </c>
      <c r="B442" s="142"/>
      <c r="C442" s="29" t="s">
        <v>288</v>
      </c>
      <c r="D442" s="29">
        <f>(104.93+1.8*3.95)*10.764</f>
        <v>1205.99856</v>
      </c>
      <c r="E442" s="29">
        <v>0</v>
      </c>
      <c r="F442" s="29">
        <v>2095</v>
      </c>
      <c r="G442" s="154"/>
      <c r="H442" s="155"/>
      <c r="I442" s="23"/>
      <c r="L442" s="35"/>
      <c r="M442" s="35"/>
      <c r="N442" s="23"/>
    </row>
    <row r="443" spans="1:16" s="24" customFormat="1" ht="15.75" customHeight="1" x14ac:dyDescent="0.3">
      <c r="A443" s="141">
        <f t="shared" si="59"/>
        <v>4</v>
      </c>
      <c r="B443" s="142"/>
      <c r="C443" s="29" t="s">
        <v>288</v>
      </c>
      <c r="D443" s="29">
        <f>(109.346+1.8*3.95)*10.764</f>
        <v>1253.5323839999999</v>
      </c>
      <c r="E443" s="29">
        <v>0</v>
      </c>
      <c r="F443" s="29">
        <v>2225</v>
      </c>
      <c r="G443" s="156"/>
      <c r="H443" s="157"/>
      <c r="I443" s="23"/>
      <c r="J443" s="36"/>
      <c r="K443" s="36"/>
      <c r="L443" s="35"/>
      <c r="M443" s="35"/>
      <c r="N443" s="23"/>
    </row>
    <row r="444" spans="1:16" s="24" customFormat="1" ht="15.75" customHeight="1" x14ac:dyDescent="0.3">
      <c r="A444" s="149" t="s">
        <v>283</v>
      </c>
      <c r="B444" s="150"/>
      <c r="C444" s="150"/>
      <c r="D444" s="150"/>
      <c r="E444" s="150"/>
      <c r="F444" s="150"/>
      <c r="G444" s="150"/>
      <c r="H444" s="151"/>
      <c r="I444" s="36"/>
      <c r="J444" s="36"/>
    </row>
    <row r="445" spans="1:16" s="24" customFormat="1" ht="15.75" customHeight="1" x14ac:dyDescent="0.3">
      <c r="A445" s="141">
        <v>1</v>
      </c>
      <c r="B445" s="142"/>
      <c r="C445" s="29" t="s">
        <v>288</v>
      </c>
      <c r="D445" s="29">
        <f>(109.346+1.8*3.95)*10.764</f>
        <v>1253.5323839999999</v>
      </c>
      <c r="E445" s="29">
        <v>0</v>
      </c>
      <c r="F445" s="29">
        <v>2225</v>
      </c>
      <c r="G445" s="152" t="str">
        <f>A444</f>
        <v>7th &amp; 12th Floor (Part Refuge area)</v>
      </c>
      <c r="H445" s="153"/>
      <c r="I445" s="67">
        <f>F445/D445</f>
        <v>1.7749840597656232</v>
      </c>
      <c r="J445" s="36"/>
      <c r="O445" s="36"/>
      <c r="P445" s="36"/>
    </row>
    <row r="446" spans="1:16" s="24" customFormat="1" ht="15.75" customHeight="1" x14ac:dyDescent="0.3">
      <c r="A446" s="141">
        <f t="shared" ref="A446:A448" si="60">A445+1</f>
        <v>2</v>
      </c>
      <c r="B446" s="142"/>
      <c r="C446" s="141" t="s">
        <v>291</v>
      </c>
      <c r="D446" s="264"/>
      <c r="E446" s="264"/>
      <c r="F446" s="142"/>
      <c r="G446" s="154"/>
      <c r="H446" s="155"/>
      <c r="I446" s="67" t="e">
        <f t="shared" ref="I446:I448" si="61">F446/D446</f>
        <v>#DIV/0!</v>
      </c>
      <c r="L446" s="38"/>
      <c r="M446" s="38"/>
      <c r="N446" s="38"/>
      <c r="O446" s="36"/>
      <c r="P446" s="36"/>
    </row>
    <row r="447" spans="1:16" s="24" customFormat="1" ht="15.75" customHeight="1" x14ac:dyDescent="0.3">
      <c r="A447" s="141">
        <f t="shared" si="60"/>
        <v>3</v>
      </c>
      <c r="B447" s="142"/>
      <c r="C447" s="29" t="s">
        <v>288</v>
      </c>
      <c r="D447" s="56">
        <f>(7.64*3.65+4.25*1.3+3.05*2.75+3.975*3.05+4.6*6.8+3.975*4.1+2.6*1.4+2.6*1.55+2.6*1.55+2.6*1.55+1.1*2.9+1.8*3.95)*10.764</f>
        <v>1372.730229</v>
      </c>
      <c r="E447" s="56">
        <v>0</v>
      </c>
      <c r="F447" s="56">
        <v>2485</v>
      </c>
      <c r="G447" s="154"/>
      <c r="H447" s="155"/>
      <c r="I447" s="67">
        <f t="shared" si="61"/>
        <v>1.810261002127316</v>
      </c>
      <c r="L447" s="35"/>
      <c r="M447" s="35"/>
      <c r="N447" s="23"/>
    </row>
    <row r="448" spans="1:16" s="24" customFormat="1" ht="15.75" customHeight="1" x14ac:dyDescent="0.3">
      <c r="A448" s="141">
        <f t="shared" si="60"/>
        <v>4</v>
      </c>
      <c r="B448" s="142"/>
      <c r="C448" s="29" t="s">
        <v>288</v>
      </c>
      <c r="D448" s="29">
        <f>(109.346+1.8*3.95)*10.764</f>
        <v>1253.5323839999999</v>
      </c>
      <c r="E448" s="29">
        <v>0</v>
      </c>
      <c r="F448" s="29">
        <v>2225</v>
      </c>
      <c r="G448" s="156"/>
      <c r="H448" s="157"/>
      <c r="I448" s="67">
        <f t="shared" si="61"/>
        <v>1.7749840597656232</v>
      </c>
      <c r="J448" s="36"/>
      <c r="K448" s="36"/>
      <c r="L448" s="35"/>
      <c r="M448" s="35"/>
      <c r="N448" s="23"/>
    </row>
    <row r="449" spans="1:16" s="24" customFormat="1" x14ac:dyDescent="0.3">
      <c r="A449" s="149" t="s">
        <v>263</v>
      </c>
      <c r="B449" s="150"/>
      <c r="C449" s="150"/>
      <c r="D449" s="150"/>
      <c r="E449" s="150"/>
      <c r="F449" s="150"/>
      <c r="G449" s="150"/>
      <c r="H449" s="151"/>
      <c r="I449" s="36"/>
      <c r="J449" s="23"/>
    </row>
    <row r="450" spans="1:16" s="24" customFormat="1" x14ac:dyDescent="0.3">
      <c r="A450" s="149" t="s">
        <v>313</v>
      </c>
      <c r="B450" s="150"/>
      <c r="C450" s="150"/>
      <c r="D450" s="150"/>
      <c r="E450" s="150"/>
      <c r="F450" s="150"/>
      <c r="G450" s="150"/>
      <c r="H450" s="151"/>
      <c r="J450" s="23"/>
    </row>
    <row r="451" spans="1:16" s="24" customFormat="1" ht="15.75" customHeight="1" x14ac:dyDescent="0.3">
      <c r="A451" s="149" t="s">
        <v>281</v>
      </c>
      <c r="B451" s="150"/>
      <c r="C451" s="150"/>
      <c r="D451" s="150"/>
      <c r="E451" s="150"/>
      <c r="F451" s="150"/>
      <c r="G451" s="150"/>
      <c r="H451" s="151"/>
      <c r="I451" s="36" t="s">
        <v>296</v>
      </c>
      <c r="J451" s="36" t="s">
        <v>297</v>
      </c>
    </row>
    <row r="452" spans="1:16" s="24" customFormat="1" ht="15.75" customHeight="1" x14ac:dyDescent="0.3">
      <c r="A452" s="141">
        <v>1</v>
      </c>
      <c r="B452" s="142"/>
      <c r="C452" s="29" t="s">
        <v>288</v>
      </c>
      <c r="D452" s="29">
        <f>(117.754+3.85*1.8+3.5*1.2)*10.764</f>
        <v>1387.307376</v>
      </c>
      <c r="E452" s="29">
        <f>(8.94+15.375)*10.764</f>
        <v>261.72665999999998</v>
      </c>
      <c r="F452" s="29">
        <v>2485</v>
      </c>
      <c r="G452" s="152" t="str">
        <f>A451</f>
        <v>1st Floor For Residential</v>
      </c>
      <c r="H452" s="153"/>
      <c r="I452" s="24">
        <f>(3.95*7.315+1.3*3.5+2.75*3.05+3.05*4.265+3.35*4.575+4.1*4.265+1.4*2.6+1.55*2.55+1.55*2.6+1.1*2.75+0.6*1.55)</f>
        <v>103.23025</v>
      </c>
      <c r="J452" s="24">
        <f>3.45*1.05</f>
        <v>3.6225000000000005</v>
      </c>
      <c r="O452" s="36"/>
      <c r="P452" s="36"/>
    </row>
    <row r="453" spans="1:16" s="24" customFormat="1" ht="15.75" customHeight="1" x14ac:dyDescent="0.3">
      <c r="A453" s="141">
        <f t="shared" ref="A453:A456" si="62">A452+1</f>
        <v>2</v>
      </c>
      <c r="B453" s="142"/>
      <c r="C453" s="29" t="s">
        <v>288</v>
      </c>
      <c r="D453" s="29">
        <f>(117.754+3.85*1.8+3.5*1.2)*10.764</f>
        <v>1387.307376</v>
      </c>
      <c r="E453" s="29">
        <f>(8.94+15.375)*10.764</f>
        <v>261.72665999999998</v>
      </c>
      <c r="F453" s="29">
        <v>2485</v>
      </c>
      <c r="G453" s="154"/>
      <c r="H453" s="155"/>
      <c r="I453" s="37"/>
      <c r="K453" s="36"/>
      <c r="L453" s="38"/>
      <c r="M453" s="38"/>
      <c r="N453" s="38"/>
      <c r="O453" s="36"/>
      <c r="P453" s="36"/>
    </row>
    <row r="454" spans="1:16" s="24" customFormat="1" ht="15.75" customHeight="1" x14ac:dyDescent="0.3">
      <c r="A454" s="141">
        <f t="shared" si="62"/>
        <v>3</v>
      </c>
      <c r="B454" s="142"/>
      <c r="C454" s="29" t="s">
        <v>290</v>
      </c>
      <c r="D454" s="29">
        <f>(70.903+6.3*1.2)*10.764</f>
        <v>844.57573200000002</v>
      </c>
      <c r="E454" s="29">
        <v>0</v>
      </c>
      <c r="F454" s="29">
        <v>1465</v>
      </c>
      <c r="G454" s="154"/>
      <c r="H454" s="155"/>
      <c r="I454" s="23"/>
      <c r="M454" s="35"/>
      <c r="N454" s="23"/>
    </row>
    <row r="455" spans="1:16" s="24" customFormat="1" ht="15.75" customHeight="1" x14ac:dyDescent="0.3">
      <c r="A455" s="141">
        <f t="shared" si="62"/>
        <v>4</v>
      </c>
      <c r="B455" s="142"/>
      <c r="C455" s="29" t="s">
        <v>288</v>
      </c>
      <c r="D455" s="29">
        <f>(104.725+1.8*3.9)*10.764</f>
        <v>1202.8231799999999</v>
      </c>
      <c r="E455" s="29">
        <v>0</v>
      </c>
      <c r="F455" s="29">
        <v>2095</v>
      </c>
      <c r="G455" s="154"/>
      <c r="H455" s="155"/>
      <c r="I455" s="23"/>
      <c r="J455" s="36"/>
      <c r="L455" s="35"/>
      <c r="M455" s="35"/>
      <c r="N455" s="23"/>
    </row>
    <row r="456" spans="1:16" s="24" customFormat="1" ht="15.75" customHeight="1" x14ac:dyDescent="0.3">
      <c r="A456" s="141">
        <f t="shared" si="62"/>
        <v>5</v>
      </c>
      <c r="B456" s="142"/>
      <c r="C456" s="29" t="s">
        <v>288</v>
      </c>
      <c r="D456" s="29">
        <f>(109.41+1.8*3.95)*10.764</f>
        <v>1254.22128</v>
      </c>
      <c r="E456" s="29">
        <v>0</v>
      </c>
      <c r="F456" s="29">
        <v>2280</v>
      </c>
      <c r="G456" s="156"/>
      <c r="H456" s="157"/>
      <c r="I456" s="23"/>
      <c r="J456" s="36"/>
      <c r="L456" s="35"/>
      <c r="M456" s="35"/>
      <c r="N456" s="23"/>
    </row>
    <row r="457" spans="1:16" s="24" customFormat="1" ht="15.75" customHeight="1" x14ac:dyDescent="0.3">
      <c r="A457" s="149" t="s">
        <v>316</v>
      </c>
      <c r="B457" s="150"/>
      <c r="C457" s="150"/>
      <c r="D457" s="150"/>
      <c r="E457" s="150"/>
      <c r="F457" s="150"/>
      <c r="G457" s="150"/>
      <c r="H457" s="151"/>
      <c r="I457" s="36"/>
      <c r="J457" s="36"/>
    </row>
    <row r="458" spans="1:16" s="24" customFormat="1" ht="15.75" customHeight="1" x14ac:dyDescent="0.3">
      <c r="A458" s="141">
        <v>1</v>
      </c>
      <c r="B458" s="142"/>
      <c r="C458" s="29" t="s">
        <v>288</v>
      </c>
      <c r="D458" s="29">
        <f>(117.754+3.85*1.8+3.5*1.2)*10.764</f>
        <v>1387.307376</v>
      </c>
      <c r="E458" s="29">
        <v>0</v>
      </c>
      <c r="F458" s="29">
        <v>2485</v>
      </c>
      <c r="G458" s="152" t="str">
        <f>A457</f>
        <v>2nd to 6th, 8th to 11th &amp; 13th Floor</v>
      </c>
      <c r="H458" s="153"/>
      <c r="I458" s="24">
        <f>F458/D458</f>
        <v>1.7912396654049074</v>
      </c>
      <c r="K458" s="36"/>
      <c r="O458" s="36"/>
      <c r="P458" s="36"/>
    </row>
    <row r="459" spans="1:16" s="24" customFormat="1" ht="15.75" customHeight="1" x14ac:dyDescent="0.3">
      <c r="A459" s="141">
        <f t="shared" ref="A459:A462" si="63">A458+1</f>
        <v>2</v>
      </c>
      <c r="B459" s="142"/>
      <c r="C459" s="29" t="s">
        <v>288</v>
      </c>
      <c r="D459" s="29">
        <f>(117.754+3.85*1.8+3.5*1.2)*10.764</f>
        <v>1387.307376</v>
      </c>
      <c r="E459" s="29">
        <v>0</v>
      </c>
      <c r="F459" s="29">
        <v>2485</v>
      </c>
      <c r="G459" s="154"/>
      <c r="H459" s="155"/>
      <c r="I459" s="24">
        <f t="shared" ref="I459:I462" si="64">F459/D459</f>
        <v>1.7912396654049074</v>
      </c>
      <c r="L459" s="38"/>
      <c r="M459" s="38"/>
      <c r="N459" s="38"/>
      <c r="O459" s="36"/>
      <c r="P459" s="36"/>
    </row>
    <row r="460" spans="1:16" s="24" customFormat="1" ht="15.75" customHeight="1" x14ac:dyDescent="0.3">
      <c r="A460" s="141">
        <f t="shared" si="63"/>
        <v>3</v>
      </c>
      <c r="B460" s="142"/>
      <c r="C460" s="29" t="s">
        <v>290</v>
      </c>
      <c r="D460" s="29">
        <f>(70.903+6.3*1.2)*10.764</f>
        <v>844.57573200000002</v>
      </c>
      <c r="E460" s="29">
        <v>0</v>
      </c>
      <c r="F460" s="29">
        <v>1465</v>
      </c>
      <c r="G460" s="154"/>
      <c r="H460" s="155"/>
      <c r="I460" s="24">
        <f t="shared" si="64"/>
        <v>1.7345987393348403</v>
      </c>
      <c r="M460" s="35"/>
      <c r="N460" s="23"/>
    </row>
    <row r="461" spans="1:16" s="24" customFormat="1" ht="15.75" customHeight="1" x14ac:dyDescent="0.3">
      <c r="A461" s="141">
        <f t="shared" si="63"/>
        <v>4</v>
      </c>
      <c r="B461" s="142"/>
      <c r="C461" s="29" t="s">
        <v>288</v>
      </c>
      <c r="D461" s="29">
        <f>(104.725+1.8*3.9)*10.764</f>
        <v>1202.8231799999999</v>
      </c>
      <c r="E461" s="29">
        <v>0</v>
      </c>
      <c r="F461" s="29">
        <v>2095</v>
      </c>
      <c r="G461" s="154"/>
      <c r="H461" s="155"/>
      <c r="I461" s="24">
        <f t="shared" si="64"/>
        <v>1.7417356389822818</v>
      </c>
      <c r="J461" s="36"/>
      <c r="L461" s="35"/>
      <c r="M461" s="35"/>
      <c r="N461" s="23"/>
    </row>
    <row r="462" spans="1:16" s="24" customFormat="1" ht="15.75" customHeight="1" x14ac:dyDescent="0.3">
      <c r="A462" s="141">
        <f t="shared" si="63"/>
        <v>5</v>
      </c>
      <c r="B462" s="142"/>
      <c r="C462" s="29" t="s">
        <v>288</v>
      </c>
      <c r="D462" s="29">
        <f>(109.41+1.8*3.95)*10.764</f>
        <v>1254.22128</v>
      </c>
      <c r="E462" s="29">
        <v>0</v>
      </c>
      <c r="F462" s="29">
        <v>2250</v>
      </c>
      <c r="G462" s="156"/>
      <c r="H462" s="157"/>
      <c r="I462" s="24">
        <f t="shared" si="64"/>
        <v>1.7939418154346736</v>
      </c>
      <c r="J462" s="36"/>
      <c r="L462" s="35"/>
      <c r="M462" s="35"/>
      <c r="N462" s="23"/>
    </row>
    <row r="463" spans="1:16" s="24" customFormat="1" ht="15.75" customHeight="1" x14ac:dyDescent="0.3">
      <c r="A463" s="149" t="s">
        <v>283</v>
      </c>
      <c r="B463" s="150"/>
      <c r="C463" s="150"/>
      <c r="D463" s="150"/>
      <c r="E463" s="150"/>
      <c r="F463" s="150"/>
      <c r="G463" s="150"/>
      <c r="H463" s="151"/>
      <c r="I463" s="36"/>
      <c r="J463" s="36"/>
    </row>
    <row r="464" spans="1:16" s="24" customFormat="1" ht="15.75" customHeight="1" x14ac:dyDescent="0.3">
      <c r="A464" s="141">
        <v>1</v>
      </c>
      <c r="B464" s="142"/>
      <c r="C464" s="29" t="s">
        <v>288</v>
      </c>
      <c r="D464" s="29">
        <f>(117.754+3.85*1.8+3.5*1.2)*10.764</f>
        <v>1387.307376</v>
      </c>
      <c r="E464" s="29">
        <v>0</v>
      </c>
      <c r="F464" s="29">
        <v>2485</v>
      </c>
      <c r="G464" s="152" t="str">
        <f>A463</f>
        <v>7th &amp; 12th Floor (Part Refuge area)</v>
      </c>
      <c r="H464" s="153"/>
      <c r="I464" s="24">
        <f>F464/D464</f>
        <v>1.7912396654049074</v>
      </c>
      <c r="J464" s="36"/>
      <c r="O464" s="36"/>
      <c r="P464" s="36"/>
    </row>
    <row r="465" spans="1:16" s="24" customFormat="1" ht="15.75" customHeight="1" x14ac:dyDescent="0.3">
      <c r="A465" s="141">
        <f t="shared" ref="A465:A468" si="65">A464+1</f>
        <v>2</v>
      </c>
      <c r="B465" s="142"/>
      <c r="C465" s="29" t="s">
        <v>288</v>
      </c>
      <c r="D465" s="29">
        <f>(117.754+3.85*1.8+3.5*1.2)*10.764</f>
        <v>1387.307376</v>
      </c>
      <c r="E465" s="29">
        <v>0</v>
      </c>
      <c r="F465" s="29">
        <v>2485</v>
      </c>
      <c r="G465" s="154"/>
      <c r="H465" s="155"/>
      <c r="I465" s="24">
        <f t="shared" ref="I465:I472" si="66">F465/D465</f>
        <v>1.7912396654049074</v>
      </c>
      <c r="K465" s="36"/>
      <c r="L465" s="38"/>
      <c r="M465" s="38"/>
      <c r="N465" s="38"/>
      <c r="O465" s="36"/>
      <c r="P465" s="36"/>
    </row>
    <row r="466" spans="1:16" s="24" customFormat="1" ht="15.75" customHeight="1" x14ac:dyDescent="0.3">
      <c r="A466" s="141">
        <f t="shared" si="65"/>
        <v>3</v>
      </c>
      <c r="B466" s="142"/>
      <c r="C466" s="29" t="s">
        <v>288</v>
      </c>
      <c r="D466" s="29">
        <f>(91.138+6.3*1.2)*10.764</f>
        <v>1062.385272</v>
      </c>
      <c r="E466" s="29">
        <v>0</v>
      </c>
      <c r="F466" s="29">
        <v>1865</v>
      </c>
      <c r="G466" s="154"/>
      <c r="H466" s="155"/>
      <c r="I466" s="24">
        <f t="shared" si="66"/>
        <v>1.7554836735349622</v>
      </c>
      <c r="J466" s="24">
        <f>(91.138+6.3*1.2)*10.764</f>
        <v>1062.385272</v>
      </c>
      <c r="L466" s="35"/>
      <c r="M466" s="35"/>
      <c r="N466" s="23"/>
    </row>
    <row r="467" spans="1:16" s="24" customFormat="1" ht="15.75" customHeight="1" x14ac:dyDescent="0.3">
      <c r="A467" s="141">
        <f t="shared" si="65"/>
        <v>4</v>
      </c>
      <c r="B467" s="142"/>
      <c r="C467" s="141" t="s">
        <v>291</v>
      </c>
      <c r="D467" s="264"/>
      <c r="E467" s="264"/>
      <c r="F467" s="142"/>
      <c r="G467" s="154"/>
      <c r="H467" s="155"/>
      <c r="I467" s="24" t="e">
        <f t="shared" si="66"/>
        <v>#DIV/0!</v>
      </c>
      <c r="J467" s="36"/>
      <c r="L467" s="35"/>
      <c r="M467" s="35"/>
      <c r="N467" s="23"/>
    </row>
    <row r="468" spans="1:16" s="24" customFormat="1" ht="15.75" customHeight="1" x14ac:dyDescent="0.3">
      <c r="A468" s="141">
        <f t="shared" si="65"/>
        <v>5</v>
      </c>
      <c r="B468" s="142"/>
      <c r="C468" s="29" t="s">
        <v>288</v>
      </c>
      <c r="D468" s="29">
        <f>(109.41+1.8*3.95)*10.764</f>
        <v>1254.22128</v>
      </c>
      <c r="E468" s="29">
        <v>0</v>
      </c>
      <c r="F468" s="29">
        <v>2250</v>
      </c>
      <c r="G468" s="156"/>
      <c r="H468" s="157"/>
      <c r="I468" s="24">
        <f t="shared" si="66"/>
        <v>1.7939418154346736</v>
      </c>
      <c r="J468" s="36"/>
      <c r="L468" s="35"/>
      <c r="M468" s="35"/>
      <c r="N468" s="23"/>
    </row>
    <row r="469" spans="1:16" s="24" customFormat="1" ht="15.75" customHeight="1" x14ac:dyDescent="0.3">
      <c r="A469" s="149" t="s">
        <v>301</v>
      </c>
      <c r="B469" s="150"/>
      <c r="C469" s="150"/>
      <c r="D469" s="150"/>
      <c r="E469" s="150"/>
      <c r="F469" s="150"/>
      <c r="G469" s="150"/>
      <c r="H469" s="151"/>
      <c r="I469" s="36"/>
      <c r="J469" s="36"/>
    </row>
    <row r="470" spans="1:16" s="24" customFormat="1" ht="15.75" customHeight="1" x14ac:dyDescent="0.3">
      <c r="A470" s="141">
        <v>1</v>
      </c>
      <c r="B470" s="142"/>
      <c r="C470" s="29" t="s">
        <v>288</v>
      </c>
      <c r="D470" s="29">
        <f>(117.754+3.85*1.8+3.5*1.2)*10.764</f>
        <v>1387.307376</v>
      </c>
      <c r="E470" s="29">
        <v>0</v>
      </c>
      <c r="F470" s="29">
        <v>2485</v>
      </c>
      <c r="G470" s="152" t="str">
        <f>A469</f>
        <v>14th Floor (Part Terrace area)</v>
      </c>
      <c r="H470" s="153"/>
      <c r="I470" s="24">
        <f t="shared" si="66"/>
        <v>1.7912396654049074</v>
      </c>
      <c r="O470" s="36"/>
      <c r="P470" s="36"/>
    </row>
    <row r="471" spans="1:16" s="24" customFormat="1" ht="15.75" customHeight="1" x14ac:dyDescent="0.3">
      <c r="A471" s="141">
        <f t="shared" ref="A471:A474" si="67">A470+1</f>
        <v>2</v>
      </c>
      <c r="B471" s="142"/>
      <c r="C471" s="29" t="s">
        <v>288</v>
      </c>
      <c r="D471" s="29">
        <f>(117.754+3.85*1.8+3.5*1.2)*10.764</f>
        <v>1387.307376</v>
      </c>
      <c r="E471" s="29">
        <v>0</v>
      </c>
      <c r="F471" s="29">
        <v>2485</v>
      </c>
      <c r="G471" s="154"/>
      <c r="H471" s="155"/>
      <c r="I471" s="24">
        <f t="shared" si="66"/>
        <v>1.7912396654049074</v>
      </c>
      <c r="K471" s="36"/>
      <c r="L471" s="38"/>
      <c r="M471" s="38"/>
      <c r="N471" s="38"/>
      <c r="O471" s="36"/>
      <c r="P471" s="36"/>
    </row>
    <row r="472" spans="1:16" s="24" customFormat="1" ht="15.75" customHeight="1" x14ac:dyDescent="0.3">
      <c r="A472" s="141">
        <f t="shared" si="67"/>
        <v>3</v>
      </c>
      <c r="B472" s="142"/>
      <c r="C472" s="29" t="s">
        <v>290</v>
      </c>
      <c r="D472" s="29">
        <f>(70.903+6.3*1.2)*10.764</f>
        <v>844.57573200000002</v>
      </c>
      <c r="E472" s="29">
        <v>0</v>
      </c>
      <c r="F472" s="29">
        <v>1465</v>
      </c>
      <c r="G472" s="154"/>
      <c r="H472" s="155"/>
      <c r="I472" s="24">
        <f t="shared" si="66"/>
        <v>1.7345987393348403</v>
      </c>
      <c r="M472" s="35"/>
      <c r="N472" s="23"/>
    </row>
    <row r="473" spans="1:16" s="24" customFormat="1" ht="15.75" customHeight="1" x14ac:dyDescent="0.3">
      <c r="A473" s="141">
        <f t="shared" si="67"/>
        <v>4</v>
      </c>
      <c r="B473" s="142"/>
      <c r="C473" s="152" t="s">
        <v>302</v>
      </c>
      <c r="D473" s="267"/>
      <c r="E473" s="267"/>
      <c r="F473" s="153"/>
      <c r="G473" s="154"/>
      <c r="H473" s="155"/>
      <c r="I473" s="23"/>
      <c r="J473" s="36"/>
      <c r="L473" s="35"/>
      <c r="M473" s="35"/>
      <c r="N473" s="23"/>
    </row>
    <row r="474" spans="1:16" s="24" customFormat="1" ht="15.75" customHeight="1" x14ac:dyDescent="0.3">
      <c r="A474" s="141">
        <f t="shared" si="67"/>
        <v>5</v>
      </c>
      <c r="B474" s="142"/>
      <c r="C474" s="156"/>
      <c r="D474" s="268"/>
      <c r="E474" s="268"/>
      <c r="F474" s="157"/>
      <c r="G474" s="156"/>
      <c r="H474" s="157"/>
      <c r="I474" s="23"/>
      <c r="J474" s="36"/>
      <c r="L474" s="35"/>
      <c r="M474" s="35"/>
      <c r="N474" s="23"/>
    </row>
    <row r="475" spans="1:16" s="24" customFormat="1" x14ac:dyDescent="0.3">
      <c r="A475" s="149" t="s">
        <v>264</v>
      </c>
      <c r="B475" s="150"/>
      <c r="C475" s="150"/>
      <c r="D475" s="150"/>
      <c r="E475" s="150"/>
      <c r="F475" s="150"/>
      <c r="G475" s="150"/>
      <c r="H475" s="151"/>
      <c r="J475" s="23"/>
      <c r="K475" s="24">
        <f>30000000/F531</f>
        <v>14319.80906921241</v>
      </c>
    </row>
    <row r="476" spans="1:16" s="24" customFormat="1" ht="15.75" customHeight="1" x14ac:dyDescent="0.3">
      <c r="A476" s="149" t="s">
        <v>313</v>
      </c>
      <c r="B476" s="150"/>
      <c r="C476" s="150"/>
      <c r="D476" s="150"/>
      <c r="E476" s="150"/>
      <c r="F476" s="150"/>
      <c r="G476" s="150"/>
      <c r="H476" s="151"/>
      <c r="J476" s="23"/>
    </row>
    <row r="477" spans="1:16" s="24" customFormat="1" ht="15.75" customHeight="1" x14ac:dyDescent="0.3">
      <c r="A477" s="149" t="s">
        <v>281</v>
      </c>
      <c r="B477" s="150"/>
      <c r="C477" s="150"/>
      <c r="D477" s="150"/>
      <c r="E477" s="150"/>
      <c r="F477" s="150"/>
      <c r="G477" s="150"/>
      <c r="H477" s="151"/>
      <c r="I477" s="36"/>
      <c r="J477" s="36"/>
      <c r="K477" s="36"/>
    </row>
    <row r="478" spans="1:16" s="24" customFormat="1" ht="15.75" customHeight="1" x14ac:dyDescent="0.3">
      <c r="A478" s="141">
        <v>1</v>
      </c>
      <c r="B478" s="142"/>
      <c r="C478" s="29" t="s">
        <v>288</v>
      </c>
      <c r="D478" s="29">
        <f>(117.681+3.85*1.8+3.5*1.2)*10.764</f>
        <v>1386.521604</v>
      </c>
      <c r="E478" s="29">
        <f>(8.94+3.25*1.5+2.65*1.2+4.6*1)*10.764</f>
        <v>232.44857999999996</v>
      </c>
      <c r="F478" s="29">
        <v>2485</v>
      </c>
      <c r="G478" s="152" t="str">
        <f>A477</f>
        <v>1st Floor For Residential</v>
      </c>
      <c r="H478" s="153"/>
      <c r="L478" s="24">
        <f>1.8*3.95</f>
        <v>7.11</v>
      </c>
      <c r="M478" s="24">
        <f>F548/D548</f>
        <v>1.7749840597656232</v>
      </c>
      <c r="O478" s="36"/>
      <c r="P478" s="36"/>
    </row>
    <row r="479" spans="1:16" s="24" customFormat="1" ht="15.75" customHeight="1" x14ac:dyDescent="0.3">
      <c r="A479" s="141">
        <f t="shared" ref="A479:A481" si="68">A478+1</f>
        <v>2</v>
      </c>
      <c r="B479" s="142"/>
      <c r="C479" s="29" t="s">
        <v>288</v>
      </c>
      <c r="D479" s="29">
        <f t="shared" ref="D479:D481" si="69">(117.681+3.85*1.8+3.5*1.2)*10.764</f>
        <v>1386.521604</v>
      </c>
      <c r="E479" s="29">
        <v>0</v>
      </c>
      <c r="F479" s="29">
        <v>2485</v>
      </c>
      <c r="G479" s="154"/>
      <c r="H479" s="155"/>
      <c r="I479" s="37">
        <f>(3.95*7.135+1.3*3.55+2.75*3.05+3.05*4.265+3.35*4.575+4.1*4.265+1.4*2.6+1.55*2.5+1.55*2.6+1.1*3.05+0.6*1.55)</f>
        <v>102.83675000000001</v>
      </c>
      <c r="J479" s="36">
        <f>3.45*1.05</f>
        <v>3.6225000000000005</v>
      </c>
      <c r="L479" s="38"/>
      <c r="M479" s="24">
        <f t="shared" ref="M479:M481" si="70">F549/D549</f>
        <v>1.7371496695651112</v>
      </c>
      <c r="N479" s="38"/>
      <c r="O479" s="36"/>
      <c r="P479" s="36"/>
    </row>
    <row r="480" spans="1:16" s="24" customFormat="1" ht="15.75" customHeight="1" x14ac:dyDescent="0.3">
      <c r="A480" s="141">
        <f t="shared" si="68"/>
        <v>3</v>
      </c>
      <c r="B480" s="142"/>
      <c r="C480" s="29" t="s">
        <v>288</v>
      </c>
      <c r="D480" s="29">
        <f t="shared" si="69"/>
        <v>1386.521604</v>
      </c>
      <c r="E480" s="29">
        <v>0</v>
      </c>
      <c r="F480" s="29">
        <v>2485</v>
      </c>
      <c r="G480" s="154"/>
      <c r="H480" s="155"/>
      <c r="I480" s="23"/>
      <c r="K480" s="24">
        <f>33000000/F536</f>
        <v>17694.369973190347</v>
      </c>
      <c r="M480" s="24">
        <f t="shared" si="70"/>
        <v>1.7371496695651112</v>
      </c>
      <c r="N480" s="23"/>
    </row>
    <row r="481" spans="1:16" s="24" customFormat="1" ht="15.75" customHeight="1" x14ac:dyDescent="0.3">
      <c r="A481" s="141">
        <f t="shared" si="68"/>
        <v>4</v>
      </c>
      <c r="B481" s="142"/>
      <c r="C481" s="29" t="s">
        <v>288</v>
      </c>
      <c r="D481" s="29">
        <f t="shared" si="69"/>
        <v>1386.521604</v>
      </c>
      <c r="E481" s="29">
        <f>(8.94+3.25*1.5+2.65*1.2+4.6*1)*10.764</f>
        <v>232.44857999999996</v>
      </c>
      <c r="F481" s="29">
        <v>2485</v>
      </c>
      <c r="G481" s="154"/>
      <c r="H481" s="155"/>
      <c r="I481" s="23"/>
      <c r="J481" s="36"/>
      <c r="L481" s="35"/>
      <c r="M481" s="24">
        <f t="shared" si="70"/>
        <v>1.7749840597656232</v>
      </c>
      <c r="N481" s="23"/>
    </row>
    <row r="482" spans="1:16" s="24" customFormat="1" ht="15.75" customHeight="1" x14ac:dyDescent="0.3">
      <c r="A482" s="149" t="s">
        <v>317</v>
      </c>
      <c r="B482" s="150"/>
      <c r="C482" s="150"/>
      <c r="D482" s="150"/>
      <c r="E482" s="150"/>
      <c r="F482" s="150"/>
      <c r="G482" s="150"/>
      <c r="H482" s="151"/>
      <c r="I482" s="69"/>
      <c r="J482" s="36"/>
    </row>
    <row r="483" spans="1:16" s="24" customFormat="1" ht="15.75" customHeight="1" x14ac:dyDescent="0.3">
      <c r="A483" s="141">
        <v>1</v>
      </c>
      <c r="B483" s="142"/>
      <c r="C483" s="29" t="s">
        <v>288</v>
      </c>
      <c r="D483" s="29">
        <f>(117.681+3.85*1.8+3.5*1.2)*10.764</f>
        <v>1386.521604</v>
      </c>
      <c r="E483" s="29">
        <v>0</v>
      </c>
      <c r="F483" s="29">
        <v>2485</v>
      </c>
      <c r="G483" s="152" t="str">
        <f>A482</f>
        <v>2nd to 6th, 8th to 11th &amp;13th Floor For Residential</v>
      </c>
      <c r="H483" s="153"/>
      <c r="K483" s="36"/>
      <c r="M483" s="24">
        <f>F553/D553</f>
        <v>1.7749840597656232</v>
      </c>
      <c r="O483" s="36"/>
      <c r="P483" s="36"/>
    </row>
    <row r="484" spans="1:16" s="24" customFormat="1" ht="15.75" customHeight="1" x14ac:dyDescent="0.3">
      <c r="A484" s="141">
        <f t="shared" ref="A484:A486" si="71">A483+1</f>
        <v>2</v>
      </c>
      <c r="B484" s="142"/>
      <c r="C484" s="29" t="s">
        <v>288</v>
      </c>
      <c r="D484" s="29">
        <f t="shared" ref="D484:D486" si="72">(117.681+3.85*1.8+3.5*1.2)*10.764</f>
        <v>1386.521604</v>
      </c>
      <c r="E484" s="29">
        <v>0</v>
      </c>
      <c r="F484" s="29">
        <v>2485</v>
      </c>
      <c r="G484" s="154"/>
      <c r="H484" s="155"/>
      <c r="I484" s="37">
        <f>(3.95*7.135+1.3*3.55+2.75*3.05+3.05*4.265+3.35*4.575+4.1*4.265+1.4*2.6+1.55*2.5+1.55*2.6+1.1*3.05+0.6*1.55)</f>
        <v>102.83675000000001</v>
      </c>
      <c r="J484" s="36">
        <f>3.45*1.05</f>
        <v>3.6225000000000005</v>
      </c>
      <c r="L484" s="38"/>
      <c r="M484" s="24" t="e">
        <f t="shared" ref="M484:M486" si="73">F554/D554</f>
        <v>#DIV/0!</v>
      </c>
      <c r="N484" s="38"/>
      <c r="O484" s="36"/>
      <c r="P484" s="36"/>
    </row>
    <row r="485" spans="1:16" s="24" customFormat="1" ht="15.75" customHeight="1" x14ac:dyDescent="0.3">
      <c r="A485" s="141">
        <f t="shared" si="71"/>
        <v>3</v>
      </c>
      <c r="B485" s="142"/>
      <c r="C485" s="29" t="s">
        <v>288</v>
      </c>
      <c r="D485" s="29">
        <f t="shared" si="72"/>
        <v>1386.521604</v>
      </c>
      <c r="E485" s="29">
        <v>0</v>
      </c>
      <c r="F485" s="29">
        <v>2485</v>
      </c>
      <c r="G485" s="154"/>
      <c r="H485" s="155"/>
      <c r="I485" s="23"/>
      <c r="L485" s="35"/>
      <c r="M485" s="24">
        <f t="shared" si="73"/>
        <v>1.7993338733418391</v>
      </c>
      <c r="N485" s="23"/>
    </row>
    <row r="486" spans="1:16" s="24" customFormat="1" ht="15.75" customHeight="1" x14ac:dyDescent="0.3">
      <c r="A486" s="141">
        <f t="shared" si="71"/>
        <v>4</v>
      </c>
      <c r="B486" s="142"/>
      <c r="C486" s="29" t="s">
        <v>288</v>
      </c>
      <c r="D486" s="29">
        <f t="shared" si="72"/>
        <v>1386.521604</v>
      </c>
      <c r="E486" s="29">
        <v>0</v>
      </c>
      <c r="F486" s="29">
        <v>2485</v>
      </c>
      <c r="G486" s="154"/>
      <c r="H486" s="155"/>
      <c r="I486" s="23"/>
      <c r="J486" s="36"/>
      <c r="L486" s="35"/>
      <c r="M486" s="24">
        <f t="shared" si="73"/>
        <v>1.7749840597656232</v>
      </c>
      <c r="N486" s="23"/>
    </row>
    <row r="487" spans="1:16" s="24" customFormat="1" x14ac:dyDescent="0.3">
      <c r="A487" s="149" t="s">
        <v>283</v>
      </c>
      <c r="B487" s="150"/>
      <c r="C487" s="150"/>
      <c r="D487" s="150"/>
      <c r="E487" s="150"/>
      <c r="F487" s="150"/>
      <c r="G487" s="150"/>
      <c r="H487" s="151"/>
      <c r="I487" s="36"/>
      <c r="J487" s="36"/>
    </row>
    <row r="488" spans="1:16" s="24" customFormat="1" ht="15.75" customHeight="1" x14ac:dyDescent="0.3">
      <c r="A488" s="141">
        <v>1</v>
      </c>
      <c r="B488" s="142"/>
      <c r="C488" s="29" t="s">
        <v>288</v>
      </c>
      <c r="D488" s="29">
        <f t="shared" ref="D488" si="74">(117.681+3.85*1.8+3.5*1.2)*10.764</f>
        <v>1386.521604</v>
      </c>
      <c r="E488" s="29">
        <v>0</v>
      </c>
      <c r="F488" s="29">
        <v>2485</v>
      </c>
      <c r="G488" s="152" t="str">
        <f>A487</f>
        <v>7th &amp; 12th Floor (Part Refuge area)</v>
      </c>
      <c r="H488" s="153"/>
      <c r="I488" s="37"/>
      <c r="J488" s="36">
        <f>F488/D488</f>
        <v>1.7922547999475671</v>
      </c>
    </row>
    <row r="489" spans="1:16" s="24" customFormat="1" ht="15.75" customHeight="1" x14ac:dyDescent="0.3">
      <c r="A489" s="141">
        <f t="shared" ref="A489:A491" si="75">A488+1</f>
        <v>2</v>
      </c>
      <c r="B489" s="142"/>
      <c r="C489" s="141" t="s">
        <v>291</v>
      </c>
      <c r="D489" s="264"/>
      <c r="E489" s="264"/>
      <c r="F489" s="142"/>
      <c r="G489" s="154"/>
      <c r="H489" s="155"/>
      <c r="I489" s="37"/>
    </row>
    <row r="490" spans="1:16" s="24" customFormat="1" ht="15.75" customHeight="1" x14ac:dyDescent="0.3">
      <c r="A490" s="141">
        <f t="shared" si="75"/>
        <v>3</v>
      </c>
      <c r="B490" s="142"/>
      <c r="C490" s="29" t="s">
        <v>289</v>
      </c>
      <c r="D490" s="29">
        <f>(117.681+3.3*4.575+1.55*2.5+1.55*0.7+3.5*1.2+3.85*1.8+3.5*1.2)*10.764</f>
        <v>1647.629334</v>
      </c>
      <c r="E490" s="29">
        <v>0</v>
      </c>
      <c r="F490" s="61">
        <f>D490*1.75</f>
        <v>2883.3513345000001</v>
      </c>
      <c r="G490" s="154"/>
      <c r="H490" s="155"/>
      <c r="I490" s="23"/>
      <c r="J490" s="36">
        <f>F490/D490</f>
        <v>1.75</v>
      </c>
      <c r="L490" s="24">
        <f>1.8*3.95</f>
        <v>7.11</v>
      </c>
      <c r="M490" s="24">
        <f>F560/D560</f>
        <v>1.7749840597656232</v>
      </c>
      <c r="O490" s="36"/>
      <c r="P490" s="36"/>
    </row>
    <row r="491" spans="1:16" s="24" customFormat="1" ht="15.75" customHeight="1" x14ac:dyDescent="0.3">
      <c r="A491" s="141">
        <f t="shared" si="75"/>
        <v>4</v>
      </c>
      <c r="B491" s="142"/>
      <c r="C491" s="29" t="s">
        <v>288</v>
      </c>
      <c r="D491" s="29">
        <f t="shared" ref="D491" si="76">(117.681+3.85*1.8+3.5*1.2)*10.764</f>
        <v>1386.521604</v>
      </c>
      <c r="E491" s="29">
        <v>0</v>
      </c>
      <c r="F491" s="29">
        <v>2485</v>
      </c>
      <c r="G491" s="156"/>
      <c r="H491" s="157"/>
      <c r="I491" s="23"/>
      <c r="J491" s="36">
        <f>F491/D491</f>
        <v>1.7922547999475671</v>
      </c>
      <c r="K491" s="36"/>
      <c r="L491" s="38"/>
      <c r="M491" s="24">
        <f t="shared" ref="M491:M493" si="77">F561/D561</f>
        <v>1.7371496695651112</v>
      </c>
      <c r="N491" s="38"/>
      <c r="O491" s="36"/>
      <c r="P491" s="36"/>
    </row>
    <row r="492" spans="1:16" s="24" customFormat="1" ht="15.75" customHeight="1" x14ac:dyDescent="0.3">
      <c r="A492" s="149" t="s">
        <v>301</v>
      </c>
      <c r="B492" s="150"/>
      <c r="C492" s="150"/>
      <c r="D492" s="150"/>
      <c r="E492" s="150"/>
      <c r="F492" s="150"/>
      <c r="G492" s="150"/>
      <c r="H492" s="151"/>
      <c r="I492" s="36"/>
      <c r="J492" s="36"/>
      <c r="K492" s="24">
        <f>1.05*3.875</f>
        <v>4.0687500000000005</v>
      </c>
      <c r="M492" s="24">
        <f t="shared" si="77"/>
        <v>1.7371496695651112</v>
      </c>
      <c r="N492" s="23"/>
    </row>
    <row r="493" spans="1:16" s="24" customFormat="1" ht="15.75" customHeight="1" x14ac:dyDescent="0.3">
      <c r="A493" s="141">
        <v>1</v>
      </c>
      <c r="B493" s="142"/>
      <c r="C493" s="29" t="s">
        <v>288</v>
      </c>
      <c r="D493" s="29">
        <f t="shared" ref="D493" si="78">(117.681+3.85*1.8+3.5*1.2)*10.764</f>
        <v>1386.521604</v>
      </c>
      <c r="E493" s="29">
        <v>0</v>
      </c>
      <c r="F493" s="29">
        <v>2485</v>
      </c>
      <c r="G493" s="152" t="str">
        <f>A492</f>
        <v>14th Floor (Part Terrace area)</v>
      </c>
      <c r="H493" s="153"/>
      <c r="I493" s="37"/>
      <c r="J493" s="36"/>
      <c r="L493" s="35"/>
      <c r="M493" s="24">
        <f t="shared" si="77"/>
        <v>1.7749840597656232</v>
      </c>
      <c r="N493" s="23"/>
    </row>
    <row r="494" spans="1:16" s="24" customFormat="1" ht="15.75" customHeight="1" x14ac:dyDescent="0.3">
      <c r="A494" s="141">
        <f t="shared" ref="A494:A496" si="79">A493+1</f>
        <v>2</v>
      </c>
      <c r="B494" s="142"/>
      <c r="C494" s="152" t="s">
        <v>302</v>
      </c>
      <c r="D494" s="267"/>
      <c r="E494" s="267"/>
      <c r="F494" s="153"/>
      <c r="G494" s="154"/>
      <c r="H494" s="155"/>
      <c r="I494" s="37"/>
    </row>
    <row r="495" spans="1:16" s="24" customFormat="1" ht="15.75" customHeight="1" x14ac:dyDescent="0.3">
      <c r="A495" s="141">
        <f t="shared" si="79"/>
        <v>3</v>
      </c>
      <c r="B495" s="142"/>
      <c r="C495" s="156"/>
      <c r="D495" s="268"/>
      <c r="E495" s="268"/>
      <c r="F495" s="157"/>
      <c r="G495" s="154"/>
      <c r="H495" s="155"/>
      <c r="I495" s="23"/>
      <c r="M495" s="24">
        <f>F565/D565</f>
        <v>1.7749840597656232</v>
      </c>
      <c r="O495" s="36"/>
      <c r="P495" s="36"/>
    </row>
    <row r="496" spans="1:16" s="24" customFormat="1" ht="15.75" customHeight="1" x14ac:dyDescent="0.3">
      <c r="A496" s="141">
        <f t="shared" si="79"/>
        <v>4</v>
      </c>
      <c r="B496" s="142"/>
      <c r="C496" s="29" t="s">
        <v>288</v>
      </c>
      <c r="D496" s="29">
        <f t="shared" ref="D496" si="80">(117.681+3.85*1.8+3.5*1.2)*10.764</f>
        <v>1386.521604</v>
      </c>
      <c r="E496" s="29">
        <v>0</v>
      </c>
      <c r="F496" s="29">
        <v>2485</v>
      </c>
      <c r="G496" s="156"/>
      <c r="H496" s="157"/>
      <c r="I496" s="23"/>
      <c r="J496" s="36"/>
      <c r="K496" s="36"/>
      <c r="L496" s="38"/>
      <c r="M496" s="24" t="e">
        <f t="shared" ref="M496:M498" si="81">F566/D566</f>
        <v>#DIV/0!</v>
      </c>
      <c r="N496" s="38"/>
      <c r="O496" s="36"/>
      <c r="P496" s="36"/>
    </row>
    <row r="497" spans="1:14" s="24" customFormat="1" ht="15.75" customHeight="1" x14ac:dyDescent="0.3">
      <c r="A497" s="149" t="s">
        <v>265</v>
      </c>
      <c r="B497" s="150"/>
      <c r="C497" s="150"/>
      <c r="D497" s="150"/>
      <c r="E497" s="150"/>
      <c r="F497" s="150"/>
      <c r="G497" s="150"/>
      <c r="H497" s="151"/>
      <c r="J497" s="23"/>
      <c r="L497" s="35"/>
      <c r="M497" s="24">
        <f t="shared" si="81"/>
        <v>1.7993338733418391</v>
      </c>
      <c r="N497" s="23"/>
    </row>
    <row r="498" spans="1:14" s="24" customFormat="1" ht="15.75" customHeight="1" x14ac:dyDescent="0.3">
      <c r="A498" s="149" t="s">
        <v>313</v>
      </c>
      <c r="B498" s="150"/>
      <c r="C498" s="150"/>
      <c r="D498" s="150"/>
      <c r="E498" s="150"/>
      <c r="F498" s="150"/>
      <c r="G498" s="150"/>
      <c r="H498" s="151"/>
      <c r="J498" s="23"/>
      <c r="L498" s="35"/>
      <c r="M498" s="24">
        <f t="shared" si="81"/>
        <v>1.7749840597656232</v>
      </c>
      <c r="N498" s="23"/>
    </row>
    <row r="499" spans="1:14" s="22" customFormat="1" x14ac:dyDescent="0.3">
      <c r="A499" s="149" t="s">
        <v>281</v>
      </c>
      <c r="B499" s="150"/>
      <c r="C499" s="150"/>
      <c r="D499" s="150"/>
      <c r="E499" s="150"/>
      <c r="F499" s="150"/>
      <c r="G499" s="150"/>
      <c r="H499" s="151"/>
      <c r="I499" s="36"/>
      <c r="J499" s="36"/>
      <c r="K499" s="24"/>
    </row>
    <row r="500" spans="1:14" s="22" customFormat="1" x14ac:dyDescent="0.3">
      <c r="A500" s="141">
        <v>1</v>
      </c>
      <c r="B500" s="142"/>
      <c r="C500" s="29" t="s">
        <v>288</v>
      </c>
      <c r="D500" s="29">
        <f>(117.681+3.85*1.8+3.5*1.2)*10.764</f>
        <v>1386.521604</v>
      </c>
      <c r="E500" s="29">
        <v>0</v>
      </c>
      <c r="F500" s="29">
        <v>2485</v>
      </c>
      <c r="G500" s="152" t="str">
        <f>A499</f>
        <v>1st Floor For Residential</v>
      </c>
      <c r="H500" s="153"/>
      <c r="I500" s="24">
        <f>F500/D500</f>
        <v>1.7922547999475671</v>
      </c>
      <c r="J500" s="24"/>
      <c r="K500" s="24"/>
    </row>
    <row r="501" spans="1:14" s="22" customFormat="1" x14ac:dyDescent="0.3">
      <c r="A501" s="141">
        <f t="shared" ref="A501:A503" si="82">A500+1</f>
        <v>2</v>
      </c>
      <c r="B501" s="142"/>
      <c r="C501" s="29" t="s">
        <v>288</v>
      </c>
      <c r="D501" s="29">
        <f t="shared" ref="D501:D510" si="83">(117.681+3.85*1.8+3.5*1.2)*10.764</f>
        <v>1386.521604</v>
      </c>
      <c r="E501" s="29">
        <v>0</v>
      </c>
      <c r="F501" s="29">
        <v>2485</v>
      </c>
      <c r="G501" s="154"/>
      <c r="H501" s="155"/>
      <c r="I501" s="24">
        <f t="shared" ref="I501:I503" si="84">F501/D501</f>
        <v>1.7922547999475671</v>
      </c>
      <c r="J501" s="24"/>
      <c r="K501" s="24"/>
    </row>
    <row r="502" spans="1:14" s="22" customFormat="1" x14ac:dyDescent="0.3">
      <c r="A502" s="141">
        <f t="shared" si="82"/>
        <v>3</v>
      </c>
      <c r="B502" s="142"/>
      <c r="C502" s="29" t="s">
        <v>288</v>
      </c>
      <c r="D502" s="29">
        <f t="shared" si="83"/>
        <v>1386.521604</v>
      </c>
      <c r="E502" s="29">
        <v>0</v>
      </c>
      <c r="F502" s="29">
        <v>2485</v>
      </c>
      <c r="G502" s="154"/>
      <c r="H502" s="155"/>
      <c r="I502" s="24">
        <f t="shared" si="84"/>
        <v>1.7922547999475671</v>
      </c>
      <c r="J502" s="24"/>
      <c r="K502" s="24"/>
    </row>
    <row r="503" spans="1:14" s="22" customFormat="1" x14ac:dyDescent="0.3">
      <c r="A503" s="141">
        <f t="shared" si="82"/>
        <v>4</v>
      </c>
      <c r="B503" s="142"/>
      <c r="C503" s="29" t="s">
        <v>288</v>
      </c>
      <c r="D503" s="29">
        <f t="shared" si="83"/>
        <v>1386.521604</v>
      </c>
      <c r="E503" s="29">
        <v>0</v>
      </c>
      <c r="F503" s="29">
        <v>2485</v>
      </c>
      <c r="G503" s="154"/>
      <c r="H503" s="155"/>
      <c r="I503" s="24">
        <f t="shared" si="84"/>
        <v>1.7922547999475671</v>
      </c>
      <c r="J503" s="36"/>
      <c r="K503" s="36"/>
    </row>
    <row r="504" spans="1:14" s="22" customFormat="1" x14ac:dyDescent="0.3">
      <c r="A504" s="149" t="s">
        <v>317</v>
      </c>
      <c r="B504" s="150"/>
      <c r="C504" s="150"/>
      <c r="D504" s="150"/>
      <c r="E504" s="150"/>
      <c r="F504" s="150"/>
      <c r="G504" s="150"/>
      <c r="H504" s="151"/>
      <c r="I504" s="36"/>
      <c r="J504" s="36"/>
      <c r="K504" s="24">
        <f>1.05*3.875</f>
        <v>4.0687500000000005</v>
      </c>
    </row>
    <row r="505" spans="1:14" s="22" customFormat="1" x14ac:dyDescent="0.3">
      <c r="A505" s="141">
        <v>1</v>
      </c>
      <c r="B505" s="142"/>
      <c r="C505" s="29" t="s">
        <v>288</v>
      </c>
      <c r="D505" s="29">
        <f>(117.681+3.85*1.8+3.5*1.2)*10.764</f>
        <v>1386.521604</v>
      </c>
      <c r="E505" s="29">
        <v>0</v>
      </c>
      <c r="F505" s="29">
        <v>2485</v>
      </c>
      <c r="G505" s="152" t="str">
        <f>A504</f>
        <v>2nd to 6th, 8th to 11th &amp;13th Floor For Residential</v>
      </c>
      <c r="H505" s="153"/>
      <c r="I505" s="24">
        <f>F505/D505</f>
        <v>1.7922547999475671</v>
      </c>
      <c r="J505" s="24"/>
      <c r="K505" s="24"/>
    </row>
    <row r="506" spans="1:14" s="22" customFormat="1" x14ac:dyDescent="0.3">
      <c r="A506" s="141">
        <f t="shared" ref="A506:A508" si="85">A505+1</f>
        <v>2</v>
      </c>
      <c r="B506" s="142"/>
      <c r="C506" s="29" t="s">
        <v>288</v>
      </c>
      <c r="D506" s="29">
        <f t="shared" si="83"/>
        <v>1386.521604</v>
      </c>
      <c r="E506" s="29">
        <v>0</v>
      </c>
      <c r="F506" s="29">
        <v>2485</v>
      </c>
      <c r="G506" s="154"/>
      <c r="H506" s="155"/>
      <c r="I506" s="24">
        <f t="shared" ref="I506:I508" si="86">F506/D506</f>
        <v>1.7922547999475671</v>
      </c>
      <c r="J506" s="24"/>
      <c r="K506" s="24"/>
    </row>
    <row r="507" spans="1:14" s="22" customFormat="1" x14ac:dyDescent="0.3">
      <c r="A507" s="141">
        <f t="shared" si="85"/>
        <v>3</v>
      </c>
      <c r="B507" s="142"/>
      <c r="C507" s="29" t="s">
        <v>288</v>
      </c>
      <c r="D507" s="29">
        <f t="shared" si="83"/>
        <v>1386.521604</v>
      </c>
      <c r="E507" s="29">
        <v>0</v>
      </c>
      <c r="F507" s="29">
        <v>2485</v>
      </c>
      <c r="G507" s="154"/>
      <c r="H507" s="155"/>
      <c r="I507" s="24">
        <f t="shared" si="86"/>
        <v>1.7922547999475671</v>
      </c>
      <c r="J507" s="24"/>
      <c r="K507" s="24"/>
    </row>
    <row r="508" spans="1:14" s="22" customFormat="1" x14ac:dyDescent="0.3">
      <c r="A508" s="141">
        <f t="shared" si="85"/>
        <v>4</v>
      </c>
      <c r="B508" s="142"/>
      <c r="C508" s="29" t="s">
        <v>288</v>
      </c>
      <c r="D508" s="29">
        <f t="shared" si="83"/>
        <v>1386.521604</v>
      </c>
      <c r="E508" s="29">
        <v>0</v>
      </c>
      <c r="F508" s="29">
        <v>2485</v>
      </c>
      <c r="G508" s="154"/>
      <c r="H508" s="155"/>
      <c r="I508" s="24">
        <f t="shared" si="86"/>
        <v>1.7922547999475671</v>
      </c>
      <c r="J508" s="36"/>
      <c r="K508" s="36"/>
    </row>
    <row r="509" spans="1:14" s="22" customFormat="1" x14ac:dyDescent="0.3">
      <c r="A509" s="149" t="s">
        <v>283</v>
      </c>
      <c r="B509" s="150"/>
      <c r="C509" s="150"/>
      <c r="D509" s="150"/>
      <c r="E509" s="150"/>
      <c r="F509" s="150"/>
      <c r="G509" s="150"/>
      <c r="H509" s="151"/>
      <c r="I509" s="36"/>
      <c r="J509" s="36"/>
      <c r="K509" s="24"/>
    </row>
    <row r="510" spans="1:14" s="22" customFormat="1" x14ac:dyDescent="0.3">
      <c r="A510" s="141">
        <v>1</v>
      </c>
      <c r="B510" s="142"/>
      <c r="C510" s="29" t="s">
        <v>288</v>
      </c>
      <c r="D510" s="29">
        <f t="shared" si="83"/>
        <v>1386.521604</v>
      </c>
      <c r="E510" s="29">
        <v>0</v>
      </c>
      <c r="F510" s="29">
        <v>2485</v>
      </c>
      <c r="G510" s="152" t="str">
        <f>A509</f>
        <v>7th &amp; 12th Floor (Part Refuge area)</v>
      </c>
      <c r="H510" s="153"/>
      <c r="I510" s="24">
        <f>F510/D510</f>
        <v>1.7922547999475671</v>
      </c>
      <c r="J510" s="36"/>
      <c r="K510" s="24"/>
    </row>
    <row r="511" spans="1:14" x14ac:dyDescent="0.3">
      <c r="A511" s="141">
        <f t="shared" ref="A511:A513" si="87">A510+1</f>
        <v>2</v>
      </c>
      <c r="B511" s="142"/>
      <c r="C511" s="141" t="s">
        <v>291</v>
      </c>
      <c r="D511" s="264"/>
      <c r="E511" s="264"/>
      <c r="F511" s="142"/>
      <c r="G511" s="154"/>
      <c r="H511" s="155"/>
      <c r="I511" s="24" t="e">
        <f t="shared" ref="I511:I513" si="88">F511/D511</f>
        <v>#DIV/0!</v>
      </c>
      <c r="J511" s="24"/>
      <c r="K511" s="24"/>
    </row>
    <row r="512" spans="1:14" x14ac:dyDescent="0.3">
      <c r="A512" s="141">
        <f t="shared" si="87"/>
        <v>3</v>
      </c>
      <c r="B512" s="142"/>
      <c r="C512" s="29" t="s">
        <v>289</v>
      </c>
      <c r="D512" s="29">
        <f>(117.681+3.3*4.575+1.55*2.5+1.55*0.7+3.5*1.2+3.85*1.8+3.5*1.2)*10.764</f>
        <v>1647.629334</v>
      </c>
      <c r="E512" s="29">
        <v>0</v>
      </c>
      <c r="F512" s="61">
        <f>D512*1.75</f>
        <v>2883.3513345000001</v>
      </c>
      <c r="G512" s="154"/>
      <c r="H512" s="155"/>
      <c r="I512" s="24">
        <f t="shared" si="88"/>
        <v>1.75</v>
      </c>
      <c r="J512" s="24">
        <f>F512/D512</f>
        <v>1.75</v>
      </c>
      <c r="K512" s="24"/>
    </row>
    <row r="513" spans="1:11" ht="15.75" customHeight="1" x14ac:dyDescent="0.3">
      <c r="A513" s="141">
        <f t="shared" si="87"/>
        <v>4</v>
      </c>
      <c r="B513" s="142"/>
      <c r="C513" s="29" t="s">
        <v>288</v>
      </c>
      <c r="D513" s="29">
        <f t="shared" ref="D513" si="89">(117.681+3.85*1.8+3.5*1.2)*10.764</f>
        <v>1386.521604</v>
      </c>
      <c r="E513" s="29">
        <v>0</v>
      </c>
      <c r="F513" s="29">
        <v>2485</v>
      </c>
      <c r="G513" s="156"/>
      <c r="H513" s="157"/>
      <c r="I513" s="24">
        <f t="shared" si="88"/>
        <v>1.7922547999475671</v>
      </c>
      <c r="J513" s="36"/>
      <c r="K513" s="22"/>
    </row>
    <row r="514" spans="1:11" x14ac:dyDescent="0.3">
      <c r="A514" s="149" t="s">
        <v>301</v>
      </c>
      <c r="B514" s="150"/>
      <c r="C514" s="150"/>
      <c r="D514" s="150"/>
      <c r="E514" s="150"/>
      <c r="F514" s="150"/>
      <c r="G514" s="150"/>
      <c r="H514" s="151"/>
      <c r="I514" s="36"/>
      <c r="J514" s="36"/>
      <c r="K514" s="22"/>
    </row>
    <row r="515" spans="1:11" x14ac:dyDescent="0.3">
      <c r="A515" s="141">
        <v>1</v>
      </c>
      <c r="B515" s="142"/>
      <c r="C515" s="29" t="s">
        <v>288</v>
      </c>
      <c r="D515" s="29">
        <f t="shared" ref="D515" si="90">(117.681+3.85*1.8+3.5*1.2)*10.764</f>
        <v>1386.521604</v>
      </c>
      <c r="E515" s="29">
        <v>0</v>
      </c>
      <c r="F515" s="29">
        <v>2485</v>
      </c>
      <c r="G515" s="152" t="str">
        <f>A514</f>
        <v>14th Floor (Part Terrace area)</v>
      </c>
      <c r="H515" s="153"/>
      <c r="I515" s="24">
        <f>F515/D515</f>
        <v>1.7922547999475671</v>
      </c>
      <c r="J515" s="36"/>
      <c r="K515" s="22"/>
    </row>
    <row r="516" spans="1:11" x14ac:dyDescent="0.3">
      <c r="A516" s="141">
        <f t="shared" ref="A516:A518" si="91">A515+1</f>
        <v>2</v>
      </c>
      <c r="B516" s="142"/>
      <c r="C516" s="152" t="s">
        <v>302</v>
      </c>
      <c r="D516" s="267"/>
      <c r="E516" s="267"/>
      <c r="F516" s="153"/>
      <c r="G516" s="154"/>
      <c r="H516" s="155"/>
      <c r="I516" s="24" t="e">
        <f t="shared" ref="I516:I518" si="92">F516/D516</f>
        <v>#DIV/0!</v>
      </c>
      <c r="J516" s="24"/>
      <c r="K516" s="22"/>
    </row>
    <row r="517" spans="1:11" x14ac:dyDescent="0.3">
      <c r="A517" s="141">
        <f t="shared" si="91"/>
        <v>3</v>
      </c>
      <c r="B517" s="142"/>
      <c r="C517" s="156"/>
      <c r="D517" s="268"/>
      <c r="E517" s="268"/>
      <c r="F517" s="157"/>
      <c r="G517" s="154"/>
      <c r="H517" s="155"/>
      <c r="I517" s="24" t="e">
        <f t="shared" si="92"/>
        <v>#DIV/0!</v>
      </c>
      <c r="J517" s="24"/>
      <c r="K517" s="22"/>
    </row>
    <row r="518" spans="1:11" x14ac:dyDescent="0.3">
      <c r="A518" s="141">
        <f t="shared" si="91"/>
        <v>4</v>
      </c>
      <c r="B518" s="142"/>
      <c r="C518" s="29" t="s">
        <v>288</v>
      </c>
      <c r="D518" s="29">
        <f t="shared" ref="D518" si="93">(117.681+3.85*1.8+3.5*1.2)*10.764</f>
        <v>1386.521604</v>
      </c>
      <c r="E518" s="29">
        <v>0</v>
      </c>
      <c r="F518" s="29">
        <v>2485</v>
      </c>
      <c r="G518" s="156"/>
      <c r="H518" s="157"/>
      <c r="I518" s="24">
        <f t="shared" si="92"/>
        <v>1.7922547999475671</v>
      </c>
      <c r="J518" s="36"/>
      <c r="K518" s="22"/>
    </row>
    <row r="519" spans="1:11" x14ac:dyDescent="0.3">
      <c r="A519" s="149" t="s">
        <v>266</v>
      </c>
      <c r="B519" s="150"/>
      <c r="C519" s="150"/>
      <c r="D519" s="150"/>
      <c r="E519" s="150"/>
      <c r="F519" s="150"/>
      <c r="G519" s="150"/>
      <c r="H519" s="151"/>
      <c r="I519" s="24"/>
      <c r="J519" s="23"/>
      <c r="K519" s="22"/>
    </row>
    <row r="520" spans="1:11" x14ac:dyDescent="0.3">
      <c r="A520" s="149" t="s">
        <v>313</v>
      </c>
      <c r="B520" s="150"/>
      <c r="C520" s="150"/>
      <c r="D520" s="150"/>
      <c r="E520" s="150"/>
      <c r="F520" s="150"/>
      <c r="G520" s="150"/>
      <c r="H520" s="151"/>
      <c r="I520" s="24"/>
      <c r="J520" s="23"/>
      <c r="K520" s="22"/>
    </row>
    <row r="521" spans="1:11" x14ac:dyDescent="0.3">
      <c r="A521" s="149" t="s">
        <v>281</v>
      </c>
      <c r="B521" s="150"/>
      <c r="C521" s="150"/>
      <c r="D521" s="150"/>
      <c r="E521" s="150"/>
      <c r="F521" s="150"/>
      <c r="G521" s="150"/>
      <c r="H521" s="151"/>
      <c r="I521" s="36"/>
      <c r="J521" s="36"/>
      <c r="K521" s="22"/>
    </row>
    <row r="522" spans="1:11" x14ac:dyDescent="0.3">
      <c r="A522" s="141">
        <v>1</v>
      </c>
      <c r="B522" s="142"/>
      <c r="C522" s="29" t="s">
        <v>288</v>
      </c>
      <c r="D522" s="29">
        <f>(117.754+3.85*1.8+3.5*1.2)*10.764</f>
        <v>1387.307376</v>
      </c>
      <c r="E522" s="29">
        <f>(8.94+15.375)*10.764</f>
        <v>261.72665999999998</v>
      </c>
      <c r="F522" s="29">
        <v>2485</v>
      </c>
      <c r="G522" s="152" t="str">
        <f>A521</f>
        <v>1st Floor For Residential</v>
      </c>
      <c r="H522" s="153"/>
      <c r="I522" s="24">
        <f>F522/D522</f>
        <v>1.7912396654049074</v>
      </c>
      <c r="J522" s="24"/>
      <c r="K522" s="22"/>
    </row>
    <row r="523" spans="1:11" x14ac:dyDescent="0.3">
      <c r="A523" s="141">
        <f t="shared" ref="A523:A526" si="94">A522+1</f>
        <v>2</v>
      </c>
      <c r="B523" s="142"/>
      <c r="C523" s="29" t="s">
        <v>288</v>
      </c>
      <c r="D523" s="29">
        <f>(117.754+3.85*1.8+3.5*1.2)*10.764</f>
        <v>1387.307376</v>
      </c>
      <c r="E523" s="29">
        <f>(8.94+15.375)*10.764</f>
        <v>261.72665999999998</v>
      </c>
      <c r="F523" s="29">
        <v>2485</v>
      </c>
      <c r="G523" s="154"/>
      <c r="H523" s="155"/>
      <c r="I523" s="24">
        <f t="shared" ref="I523:I525" si="95">F523/D523</f>
        <v>1.7912396654049074</v>
      </c>
      <c r="J523" s="24"/>
      <c r="K523" s="22"/>
    </row>
    <row r="524" spans="1:11" x14ac:dyDescent="0.3">
      <c r="A524" s="141">
        <f t="shared" si="94"/>
        <v>3</v>
      </c>
      <c r="B524" s="142"/>
      <c r="C524" s="29" t="s">
        <v>290</v>
      </c>
      <c r="D524" s="29">
        <f>(70.903+6.3*1.2)*10.764</f>
        <v>844.57573200000002</v>
      </c>
      <c r="E524" s="29">
        <v>0</v>
      </c>
      <c r="F524" s="29">
        <v>1465</v>
      </c>
      <c r="G524" s="154"/>
      <c r="H524" s="155"/>
      <c r="I524" s="24">
        <f t="shared" si="95"/>
        <v>1.7345987393348403</v>
      </c>
      <c r="J524" s="24"/>
      <c r="K524" s="22"/>
    </row>
    <row r="525" spans="1:11" x14ac:dyDescent="0.3">
      <c r="A525" s="141">
        <f t="shared" si="94"/>
        <v>4</v>
      </c>
      <c r="B525" s="142"/>
      <c r="C525" s="29" t="s">
        <v>288</v>
      </c>
      <c r="D525" s="29">
        <f>(104.725+1.8*3.9)*10.764</f>
        <v>1202.8231799999999</v>
      </c>
      <c r="E525" s="29">
        <v>0</v>
      </c>
      <c r="F525" s="29">
        <v>2095</v>
      </c>
      <c r="G525" s="154"/>
      <c r="H525" s="155"/>
      <c r="I525" s="24">
        <f t="shared" si="95"/>
        <v>1.7417356389822818</v>
      </c>
      <c r="J525" s="36"/>
    </row>
    <row r="526" spans="1:11" ht="15" customHeight="1" x14ac:dyDescent="0.3">
      <c r="A526" s="141">
        <f t="shared" si="94"/>
        <v>5</v>
      </c>
      <c r="B526" s="142"/>
      <c r="C526" s="29" t="s">
        <v>288</v>
      </c>
      <c r="D526" s="29">
        <f>(109.41+1.8*3.95)*10.764</f>
        <v>1254.22128</v>
      </c>
      <c r="E526" s="29">
        <v>0</v>
      </c>
      <c r="F526" s="29">
        <v>2280</v>
      </c>
      <c r="G526" s="156"/>
      <c r="H526" s="157"/>
      <c r="I526" s="24">
        <f>F526/D526</f>
        <v>1.8178610396404693</v>
      </c>
      <c r="J526" s="36"/>
    </row>
    <row r="527" spans="1:11" x14ac:dyDescent="0.3">
      <c r="A527" s="149" t="s">
        <v>316</v>
      </c>
      <c r="B527" s="150"/>
      <c r="C527" s="150"/>
      <c r="D527" s="150"/>
      <c r="E527" s="150"/>
      <c r="F527" s="150"/>
      <c r="G527" s="150"/>
      <c r="H527" s="151"/>
      <c r="I527" s="36"/>
      <c r="J527" s="36"/>
    </row>
    <row r="528" spans="1:11" x14ac:dyDescent="0.3">
      <c r="A528" s="141">
        <v>1</v>
      </c>
      <c r="B528" s="142"/>
      <c r="C528" s="29" t="s">
        <v>288</v>
      </c>
      <c r="D528" s="29">
        <f>(117.754+3.85*1.8+3.5*1.2)*10.764</f>
        <v>1387.307376</v>
      </c>
      <c r="E528" s="29">
        <v>0</v>
      </c>
      <c r="F528" s="29">
        <v>2485</v>
      </c>
      <c r="G528" s="152" t="str">
        <f>A527</f>
        <v>2nd to 6th, 8th to 11th &amp; 13th Floor</v>
      </c>
      <c r="H528" s="153"/>
      <c r="I528" s="24">
        <f>F528/D528</f>
        <v>1.7912396654049074</v>
      </c>
      <c r="J528" s="24"/>
    </row>
    <row r="529" spans="1:10" x14ac:dyDescent="0.3">
      <c r="A529" s="141">
        <f t="shared" ref="A529:A532" si="96">A528+1</f>
        <v>2</v>
      </c>
      <c r="B529" s="142"/>
      <c r="C529" s="29" t="s">
        <v>288</v>
      </c>
      <c r="D529" s="29">
        <f>(117.754+3.85*1.8+3.5*1.2)*10.764</f>
        <v>1387.307376</v>
      </c>
      <c r="E529" s="29">
        <v>0</v>
      </c>
      <c r="F529" s="29">
        <v>2485</v>
      </c>
      <c r="G529" s="154"/>
      <c r="H529" s="155"/>
      <c r="I529" s="24">
        <f t="shared" ref="I529:I531" si="97">F529/D529</f>
        <v>1.7912396654049074</v>
      </c>
      <c r="J529" s="24"/>
    </row>
    <row r="530" spans="1:10" x14ac:dyDescent="0.3">
      <c r="A530" s="141">
        <f t="shared" si="96"/>
        <v>3</v>
      </c>
      <c r="B530" s="142"/>
      <c r="C530" s="29" t="s">
        <v>290</v>
      </c>
      <c r="D530" s="29">
        <f>(70.903+6.3*1.2)*10.764</f>
        <v>844.57573200000002</v>
      </c>
      <c r="E530" s="29">
        <v>0</v>
      </c>
      <c r="F530" s="29">
        <v>1465</v>
      </c>
      <c r="G530" s="154"/>
      <c r="H530" s="155"/>
      <c r="I530" s="24">
        <f t="shared" si="97"/>
        <v>1.7345987393348403</v>
      </c>
      <c r="J530" s="24"/>
    </row>
    <row r="531" spans="1:10" x14ac:dyDescent="0.3">
      <c r="A531" s="141">
        <f t="shared" si="96"/>
        <v>4</v>
      </c>
      <c r="B531" s="142"/>
      <c r="C531" s="29" t="s">
        <v>288</v>
      </c>
      <c r="D531" s="29">
        <f>(104.725+1.8*3.9)*10.764</f>
        <v>1202.8231799999999</v>
      </c>
      <c r="E531" s="29">
        <v>0</v>
      </c>
      <c r="F531" s="29">
        <v>2095</v>
      </c>
      <c r="G531" s="154"/>
      <c r="H531" s="155"/>
      <c r="I531" s="24">
        <f t="shared" si="97"/>
        <v>1.7417356389822818</v>
      </c>
      <c r="J531" s="36"/>
    </row>
    <row r="532" spans="1:10" x14ac:dyDescent="0.3">
      <c r="A532" s="141">
        <f t="shared" si="96"/>
        <v>5</v>
      </c>
      <c r="B532" s="142"/>
      <c r="C532" s="29" t="s">
        <v>288</v>
      </c>
      <c r="D532" s="29">
        <f>(109.41+1.8*3.95)*10.764</f>
        <v>1254.22128</v>
      </c>
      <c r="E532" s="29">
        <v>0</v>
      </c>
      <c r="F532" s="29">
        <v>2250</v>
      </c>
      <c r="G532" s="156"/>
      <c r="H532" s="157"/>
      <c r="I532" s="24">
        <f>F532/D532</f>
        <v>1.7939418154346736</v>
      </c>
      <c r="J532" s="36"/>
    </row>
    <row r="533" spans="1:10" x14ac:dyDescent="0.3">
      <c r="A533" s="149" t="s">
        <v>283</v>
      </c>
      <c r="B533" s="150"/>
      <c r="C533" s="150"/>
      <c r="D533" s="150"/>
      <c r="E533" s="150"/>
      <c r="F533" s="150"/>
      <c r="G533" s="150"/>
      <c r="H533" s="151"/>
      <c r="I533" s="36"/>
      <c r="J533" s="36"/>
    </row>
    <row r="534" spans="1:10" x14ac:dyDescent="0.3">
      <c r="A534" s="141">
        <v>1</v>
      </c>
      <c r="B534" s="142"/>
      <c r="C534" s="29" t="s">
        <v>288</v>
      </c>
      <c r="D534" s="29">
        <f>(117.754+3.85*1.8+3.5*1.2)*10.764</f>
        <v>1387.307376</v>
      </c>
      <c r="E534" s="29">
        <v>0</v>
      </c>
      <c r="F534" s="29">
        <v>2485</v>
      </c>
      <c r="G534" s="152" t="str">
        <f>A533</f>
        <v>7th &amp; 12th Floor (Part Refuge area)</v>
      </c>
      <c r="H534" s="153"/>
      <c r="I534" s="24">
        <f>F534/D534</f>
        <v>1.7912396654049074</v>
      </c>
      <c r="J534" s="36"/>
    </row>
    <row r="535" spans="1:10" x14ac:dyDescent="0.3">
      <c r="A535" s="141">
        <f t="shared" ref="A535:A538" si="98">A534+1</f>
        <v>2</v>
      </c>
      <c r="B535" s="142"/>
      <c r="C535" s="29" t="s">
        <v>288</v>
      </c>
      <c r="D535" s="29">
        <f>(117.754+3.85*1.8+3.5*1.2)*10.764</f>
        <v>1387.307376</v>
      </c>
      <c r="E535" s="29">
        <v>0</v>
      </c>
      <c r="F535" s="29">
        <v>2485</v>
      </c>
      <c r="G535" s="154"/>
      <c r="H535" s="155"/>
      <c r="I535" s="24">
        <f t="shared" ref="I535:I537" si="99">F535/D535</f>
        <v>1.7912396654049074</v>
      </c>
      <c r="J535" s="24"/>
    </row>
    <row r="536" spans="1:10" x14ac:dyDescent="0.3">
      <c r="A536" s="141">
        <f t="shared" si="98"/>
        <v>3</v>
      </c>
      <c r="B536" s="142"/>
      <c r="C536" s="29" t="s">
        <v>288</v>
      </c>
      <c r="D536" s="29">
        <f>(91.138+6.3*1.2)*10.764</f>
        <v>1062.385272</v>
      </c>
      <c r="E536" s="29">
        <v>0</v>
      </c>
      <c r="F536" s="29">
        <v>1865</v>
      </c>
      <c r="G536" s="154"/>
      <c r="H536" s="155"/>
      <c r="I536" s="24">
        <f t="shared" si="99"/>
        <v>1.7554836735349622</v>
      </c>
      <c r="J536" s="24"/>
    </row>
    <row r="537" spans="1:10" x14ac:dyDescent="0.3">
      <c r="A537" s="141">
        <f t="shared" si="98"/>
        <v>4</v>
      </c>
      <c r="B537" s="142"/>
      <c r="C537" s="141" t="s">
        <v>291</v>
      </c>
      <c r="D537" s="264"/>
      <c r="E537" s="264"/>
      <c r="F537" s="142"/>
      <c r="G537" s="154"/>
      <c r="H537" s="155"/>
      <c r="I537" s="24" t="e">
        <f t="shared" si="99"/>
        <v>#DIV/0!</v>
      </c>
      <c r="J537" s="36"/>
    </row>
    <row r="538" spans="1:10" x14ac:dyDescent="0.3">
      <c r="A538" s="141">
        <f t="shared" si="98"/>
        <v>5</v>
      </c>
      <c r="B538" s="142"/>
      <c r="C538" s="29" t="s">
        <v>288</v>
      </c>
      <c r="D538" s="29">
        <f>(109.41+1.8*3.95)*10.764</f>
        <v>1254.22128</v>
      </c>
      <c r="E538" s="29">
        <v>0</v>
      </c>
      <c r="F538" s="29">
        <v>2250</v>
      </c>
      <c r="G538" s="156"/>
      <c r="H538" s="157"/>
      <c r="I538" s="24">
        <f>F538/D538</f>
        <v>1.7939418154346736</v>
      </c>
      <c r="J538" s="36"/>
    </row>
    <row r="539" spans="1:10" x14ac:dyDescent="0.3">
      <c r="A539" s="149" t="s">
        <v>301</v>
      </c>
      <c r="B539" s="150"/>
      <c r="C539" s="150"/>
      <c r="D539" s="150"/>
      <c r="E539" s="150"/>
      <c r="F539" s="150"/>
      <c r="G539" s="150"/>
      <c r="H539" s="151"/>
      <c r="I539" s="36"/>
      <c r="J539" s="36"/>
    </row>
    <row r="540" spans="1:10" x14ac:dyDescent="0.3">
      <c r="A540" s="141">
        <v>1</v>
      </c>
      <c r="B540" s="142"/>
      <c r="C540" s="29" t="s">
        <v>288</v>
      </c>
      <c r="D540" s="29">
        <f>(117.754+3.85*1.8+3.5*1.2)*10.764</f>
        <v>1387.307376</v>
      </c>
      <c r="E540" s="29">
        <v>0</v>
      </c>
      <c r="F540" s="29">
        <v>2485</v>
      </c>
      <c r="G540" s="152" t="str">
        <f>A539</f>
        <v>14th Floor (Part Terrace area)</v>
      </c>
      <c r="H540" s="153"/>
      <c r="I540" s="24">
        <f t="shared" ref="I540:I544" si="100">F540/D540</f>
        <v>1.7912396654049074</v>
      </c>
      <c r="J540" s="24"/>
    </row>
    <row r="541" spans="1:10" x14ac:dyDescent="0.3">
      <c r="A541" s="141">
        <f t="shared" ref="A541:A544" si="101">A540+1</f>
        <v>2</v>
      </c>
      <c r="B541" s="142"/>
      <c r="C541" s="29" t="s">
        <v>288</v>
      </c>
      <c r="D541" s="29">
        <f>(117.754+3.85*1.8+3.5*1.2)*10.764</f>
        <v>1387.307376</v>
      </c>
      <c r="E541" s="29">
        <v>0</v>
      </c>
      <c r="F541" s="29">
        <v>2485</v>
      </c>
      <c r="G541" s="154"/>
      <c r="H541" s="155"/>
      <c r="I541" s="24">
        <f t="shared" si="100"/>
        <v>1.7912396654049074</v>
      </c>
      <c r="J541" s="24"/>
    </row>
    <row r="542" spans="1:10" x14ac:dyDescent="0.3">
      <c r="A542" s="141">
        <f t="shared" si="101"/>
        <v>3</v>
      </c>
      <c r="B542" s="142"/>
      <c r="C542" s="29" t="s">
        <v>290</v>
      </c>
      <c r="D542" s="29">
        <f>(70.903+6.3*1.2)*10.764</f>
        <v>844.57573200000002</v>
      </c>
      <c r="E542" s="29">
        <v>0</v>
      </c>
      <c r="F542" s="29">
        <v>1465</v>
      </c>
      <c r="G542" s="154"/>
      <c r="H542" s="155"/>
      <c r="I542" s="24">
        <f t="shared" si="100"/>
        <v>1.7345987393348403</v>
      </c>
      <c r="J542" s="24"/>
    </row>
    <row r="543" spans="1:10" x14ac:dyDescent="0.3">
      <c r="A543" s="141">
        <f t="shared" si="101"/>
        <v>4</v>
      </c>
      <c r="B543" s="142"/>
      <c r="C543" s="152" t="s">
        <v>302</v>
      </c>
      <c r="D543" s="267"/>
      <c r="E543" s="267"/>
      <c r="F543" s="153"/>
      <c r="G543" s="154"/>
      <c r="H543" s="155"/>
      <c r="I543" s="24" t="e">
        <f t="shared" si="100"/>
        <v>#DIV/0!</v>
      </c>
      <c r="J543" s="36"/>
    </row>
    <row r="544" spans="1:10" x14ac:dyDescent="0.3">
      <c r="A544" s="141">
        <f t="shared" si="101"/>
        <v>5</v>
      </c>
      <c r="B544" s="142"/>
      <c r="C544" s="156"/>
      <c r="D544" s="268"/>
      <c r="E544" s="268"/>
      <c r="F544" s="157"/>
      <c r="G544" s="156"/>
      <c r="H544" s="157"/>
      <c r="I544" s="24" t="e">
        <f t="shared" si="100"/>
        <v>#DIV/0!</v>
      </c>
      <c r="J544" s="36"/>
    </row>
    <row r="545" spans="1:14" x14ac:dyDescent="0.3">
      <c r="A545" s="222" t="s">
        <v>267</v>
      </c>
      <c r="B545" s="223"/>
      <c r="C545" s="223"/>
      <c r="D545" s="223"/>
      <c r="E545" s="223"/>
      <c r="F545" s="223"/>
      <c r="G545" s="223"/>
      <c r="H545" s="224"/>
      <c r="I545" s="24"/>
      <c r="J545" s="23"/>
    </row>
    <row r="546" spans="1:14" x14ac:dyDescent="0.3">
      <c r="A546" s="149" t="s">
        <v>315</v>
      </c>
      <c r="B546" s="150"/>
      <c r="C546" s="150"/>
      <c r="D546" s="150"/>
      <c r="E546" s="150"/>
      <c r="F546" s="150"/>
      <c r="G546" s="150"/>
      <c r="H546" s="151"/>
      <c r="I546" s="24"/>
      <c r="J546" s="23"/>
    </row>
    <row r="547" spans="1:14" x14ac:dyDescent="0.3">
      <c r="A547" s="149" t="s">
        <v>295</v>
      </c>
      <c r="B547" s="150"/>
      <c r="C547" s="150"/>
      <c r="D547" s="150"/>
      <c r="E547" s="150"/>
      <c r="F547" s="150"/>
      <c r="G547" s="150"/>
      <c r="H547" s="151"/>
      <c r="I547" s="36"/>
      <c r="J547" s="36"/>
    </row>
    <row r="548" spans="1:14" x14ac:dyDescent="0.3">
      <c r="A548" s="141">
        <v>1</v>
      </c>
      <c r="B548" s="142"/>
      <c r="C548" s="29" t="s">
        <v>288</v>
      </c>
      <c r="D548" s="29">
        <f>(109.346+1.8*3.95)*10.764</f>
        <v>1253.5323839999999</v>
      </c>
      <c r="E548" s="29">
        <v>0</v>
      </c>
      <c r="F548" s="29">
        <v>2225</v>
      </c>
      <c r="G548" s="152" t="str">
        <f>A547</f>
        <v>1st to 6th, 8th to 11th &amp;13th Floor For Residential</v>
      </c>
      <c r="H548" s="153"/>
      <c r="I548" s="24">
        <f>(7.64*3.65+3.565*1.3+3.05*2.75+3.975*3.05+4.3*3.35+3.975*4.1+2.6*1.4+2.6*1.55+2.6*1.55+1.2*2.75+0.6*1.55)</f>
        <v>99.66425000000001</v>
      </c>
      <c r="J548" s="24">
        <f>1.985*3+1*1.95</f>
        <v>7.9050000000000002</v>
      </c>
    </row>
    <row r="549" spans="1:14" x14ac:dyDescent="0.3">
      <c r="A549" s="141">
        <f t="shared" ref="A549:A551" si="102">A548+1</f>
        <v>2</v>
      </c>
      <c r="B549" s="142"/>
      <c r="C549" s="29" t="s">
        <v>288</v>
      </c>
      <c r="D549" s="29">
        <f>(104.93+1.8*3.95)*10.764</f>
        <v>1205.99856</v>
      </c>
      <c r="E549" s="29">
        <v>0</v>
      </c>
      <c r="F549" s="29">
        <v>2095</v>
      </c>
      <c r="G549" s="154"/>
      <c r="H549" s="155"/>
      <c r="I549" s="37"/>
      <c r="J549" s="24"/>
    </row>
    <row r="550" spans="1:14" x14ac:dyDescent="0.3">
      <c r="A550" s="141">
        <f t="shared" si="102"/>
        <v>3</v>
      </c>
      <c r="B550" s="142"/>
      <c r="C550" s="29" t="s">
        <v>288</v>
      </c>
      <c r="D550" s="29">
        <f>(104.93+1.8*3.95)*10.764</f>
        <v>1205.99856</v>
      </c>
      <c r="E550" s="29">
        <v>0</v>
      </c>
      <c r="F550" s="29">
        <v>2095</v>
      </c>
      <c r="G550" s="154"/>
      <c r="H550" s="155"/>
      <c r="I550" s="23"/>
      <c r="J550" s="24"/>
    </row>
    <row r="551" spans="1:14" x14ac:dyDescent="0.3">
      <c r="A551" s="141">
        <f t="shared" si="102"/>
        <v>4</v>
      </c>
      <c r="B551" s="142"/>
      <c r="C551" s="29" t="s">
        <v>288</v>
      </c>
      <c r="D551" s="29">
        <f>(109.346+1.8*3.95)*10.764</f>
        <v>1253.5323839999999</v>
      </c>
      <c r="E551" s="29">
        <v>0</v>
      </c>
      <c r="F551" s="29">
        <v>2225</v>
      </c>
      <c r="G551" s="156"/>
      <c r="H551" s="157"/>
      <c r="I551" s="23"/>
      <c r="J551" s="36"/>
    </row>
    <row r="552" spans="1:14" x14ac:dyDescent="0.3">
      <c r="A552" s="149" t="s">
        <v>283</v>
      </c>
      <c r="B552" s="150"/>
      <c r="C552" s="150"/>
      <c r="D552" s="150"/>
      <c r="E552" s="150"/>
      <c r="F552" s="150"/>
      <c r="G552" s="150"/>
      <c r="H552" s="151"/>
      <c r="I552" s="36"/>
      <c r="J552" s="36"/>
    </row>
    <row r="553" spans="1:14" x14ac:dyDescent="0.3">
      <c r="A553" s="141">
        <v>1</v>
      </c>
      <c r="B553" s="142"/>
      <c r="C553" s="29" t="s">
        <v>288</v>
      </c>
      <c r="D553" s="29">
        <f>(109.346+1.8*3.95)*10.764</f>
        <v>1253.5323839999999</v>
      </c>
      <c r="E553" s="29">
        <v>0</v>
      </c>
      <c r="F553" s="29">
        <v>2225</v>
      </c>
      <c r="G553" s="152" t="str">
        <f>A552</f>
        <v>7th &amp; 12th Floor (Part Refuge area)</v>
      </c>
      <c r="H553" s="153"/>
      <c r="I553" s="37"/>
      <c r="J553" s="36"/>
    </row>
    <row r="554" spans="1:14" x14ac:dyDescent="0.3">
      <c r="A554" s="141">
        <f t="shared" ref="A554:A556" si="103">A553+1</f>
        <v>2</v>
      </c>
      <c r="B554" s="142"/>
      <c r="C554" s="141" t="s">
        <v>291</v>
      </c>
      <c r="D554" s="264"/>
      <c r="E554" s="264"/>
      <c r="F554" s="142"/>
      <c r="G554" s="154"/>
      <c r="H554" s="155"/>
      <c r="I554" s="37"/>
      <c r="J554" s="24"/>
    </row>
    <row r="555" spans="1:14" x14ac:dyDescent="0.3">
      <c r="A555" s="141">
        <f t="shared" si="103"/>
        <v>3</v>
      </c>
      <c r="B555" s="142"/>
      <c r="C555" s="29" t="s">
        <v>288</v>
      </c>
      <c r="D555" s="29">
        <f>(7.64*3.65+4.25*1.3+3.05*2.75+3.975*3.05+4.6*6.8+3.975*4.1+2.6*1.4+2.6*1.55+2.6*1.55+2.6*1.55+1.1*2.9+1.8*3.95)*10.764</f>
        <v>1372.730229</v>
      </c>
      <c r="E555" s="29">
        <v>0</v>
      </c>
      <c r="F555" s="29">
        <v>2470</v>
      </c>
      <c r="G555" s="154"/>
      <c r="H555" s="155"/>
      <c r="I555" s="23"/>
      <c r="J555" s="24"/>
    </row>
    <row r="556" spans="1:14" ht="18" x14ac:dyDescent="0.3">
      <c r="A556" s="141">
        <f t="shared" si="103"/>
        <v>4</v>
      </c>
      <c r="B556" s="142"/>
      <c r="C556" s="29" t="s">
        <v>288</v>
      </c>
      <c r="D556" s="29">
        <f>(109.346+1.8*3.95)*10.764</f>
        <v>1253.5323839999999</v>
      </c>
      <c r="E556" s="29">
        <v>0</v>
      </c>
      <c r="F556" s="29">
        <v>2225</v>
      </c>
      <c r="G556" s="156"/>
      <c r="H556" s="157"/>
      <c r="I556" s="23"/>
      <c r="J556" s="36"/>
      <c r="L556" s="92"/>
      <c r="M556" s="92"/>
      <c r="N556" s="92"/>
    </row>
    <row r="557" spans="1:14" x14ac:dyDescent="0.3">
      <c r="A557" s="222" t="s">
        <v>268</v>
      </c>
      <c r="B557" s="223"/>
      <c r="C557" s="223"/>
      <c r="D557" s="223"/>
      <c r="E557" s="223"/>
      <c r="F557" s="223"/>
      <c r="G557" s="223"/>
      <c r="H557" s="224"/>
      <c r="I557" s="24"/>
      <c r="J557" s="23"/>
    </row>
    <row r="558" spans="1:14" x14ac:dyDescent="0.3">
      <c r="A558" s="149" t="s">
        <v>315</v>
      </c>
      <c r="B558" s="150"/>
      <c r="C558" s="150"/>
      <c r="D558" s="150"/>
      <c r="E558" s="150"/>
      <c r="F558" s="150"/>
      <c r="G558" s="150"/>
      <c r="H558" s="151"/>
      <c r="I558" s="24"/>
      <c r="J558" s="23"/>
    </row>
    <row r="559" spans="1:14" x14ac:dyDescent="0.3">
      <c r="A559" s="149" t="s">
        <v>295</v>
      </c>
      <c r="B559" s="150"/>
      <c r="C559" s="150"/>
      <c r="D559" s="150"/>
      <c r="E559" s="150"/>
      <c r="F559" s="150"/>
      <c r="G559" s="150"/>
      <c r="H559" s="151"/>
      <c r="I559" s="36"/>
      <c r="J559" s="36"/>
    </row>
    <row r="560" spans="1:14" x14ac:dyDescent="0.3">
      <c r="A560" s="141">
        <v>1</v>
      </c>
      <c r="B560" s="142"/>
      <c r="C560" s="29" t="s">
        <v>288</v>
      </c>
      <c r="D560" s="29">
        <f>(109.346+1.8*3.95)*10.764</f>
        <v>1253.5323839999999</v>
      </c>
      <c r="E560" s="29">
        <v>0</v>
      </c>
      <c r="F560" s="29">
        <v>2225</v>
      </c>
      <c r="G560" s="152" t="str">
        <f>A559</f>
        <v>1st to 6th, 8th to 11th &amp;13th Floor For Residential</v>
      </c>
      <c r="H560" s="153"/>
      <c r="I560" s="24">
        <f>(7.64*3.65+3.565*1.3+3.05*2.75+3.975*3.05+4.3*3.35+3.975*4.1+2.6*1.4+2.6*1.55+2.6*1.55+1.2*2.75+0.6*1.55)</f>
        <v>99.66425000000001</v>
      </c>
      <c r="J560" s="24">
        <f>1.985*3+1*1.95</f>
        <v>7.9050000000000002</v>
      </c>
    </row>
    <row r="561" spans="1:14" x14ac:dyDescent="0.3">
      <c r="A561" s="141">
        <f t="shared" ref="A561:A563" si="104">A560+1</f>
        <v>2</v>
      </c>
      <c r="B561" s="142"/>
      <c r="C561" s="29" t="s">
        <v>288</v>
      </c>
      <c r="D561" s="29">
        <f>(104.93+1.8*3.95)*10.764</f>
        <v>1205.99856</v>
      </c>
      <c r="E561" s="29">
        <v>0</v>
      </c>
      <c r="F561" s="29">
        <v>2095</v>
      </c>
      <c r="G561" s="154"/>
      <c r="H561" s="155"/>
      <c r="I561" s="37"/>
      <c r="J561" s="24"/>
    </row>
    <row r="562" spans="1:14" x14ac:dyDescent="0.3">
      <c r="A562" s="141">
        <f t="shared" si="104"/>
        <v>3</v>
      </c>
      <c r="B562" s="142"/>
      <c r="C562" s="29" t="s">
        <v>288</v>
      </c>
      <c r="D562" s="29">
        <f>(104.93+1.8*3.95)*10.764</f>
        <v>1205.99856</v>
      </c>
      <c r="E562" s="29">
        <v>0</v>
      </c>
      <c r="F562" s="29">
        <v>2095</v>
      </c>
      <c r="G562" s="154"/>
      <c r="H562" s="155"/>
      <c r="I562" s="23"/>
      <c r="J562" s="24"/>
    </row>
    <row r="563" spans="1:14" x14ac:dyDescent="0.3">
      <c r="A563" s="141">
        <f t="shared" si="104"/>
        <v>4</v>
      </c>
      <c r="B563" s="142"/>
      <c r="C563" s="29" t="s">
        <v>288</v>
      </c>
      <c r="D563" s="29">
        <f>(109.346+1.8*3.95)*10.764</f>
        <v>1253.5323839999999</v>
      </c>
      <c r="E563" s="29">
        <v>0</v>
      </c>
      <c r="F563" s="29">
        <v>2225</v>
      </c>
      <c r="G563" s="156"/>
      <c r="H563" s="157"/>
      <c r="I563" s="23"/>
      <c r="J563" s="36"/>
    </row>
    <row r="564" spans="1:14" x14ac:dyDescent="0.3">
      <c r="A564" s="149" t="s">
        <v>283</v>
      </c>
      <c r="B564" s="150"/>
      <c r="C564" s="150"/>
      <c r="D564" s="150"/>
      <c r="E564" s="150"/>
      <c r="F564" s="150"/>
      <c r="G564" s="150"/>
      <c r="H564" s="151"/>
      <c r="I564" s="36"/>
      <c r="J564" s="36"/>
    </row>
    <row r="565" spans="1:14" x14ac:dyDescent="0.3">
      <c r="A565" s="141">
        <v>1</v>
      </c>
      <c r="B565" s="142"/>
      <c r="C565" s="29" t="s">
        <v>288</v>
      </c>
      <c r="D565" s="29">
        <f>(109.346+1.8*3.95)*10.764</f>
        <v>1253.5323839999999</v>
      </c>
      <c r="E565" s="29">
        <v>0</v>
      </c>
      <c r="F565" s="29">
        <v>2225</v>
      </c>
      <c r="G565" s="152" t="str">
        <f>A564</f>
        <v>7th &amp; 12th Floor (Part Refuge area)</v>
      </c>
      <c r="H565" s="153"/>
      <c r="I565" s="37"/>
      <c r="J565" s="36"/>
    </row>
    <row r="566" spans="1:14" x14ac:dyDescent="0.3">
      <c r="A566" s="141">
        <f t="shared" ref="A566:A568" si="105">A565+1</f>
        <v>2</v>
      </c>
      <c r="B566" s="142"/>
      <c r="C566" s="141" t="s">
        <v>291</v>
      </c>
      <c r="D566" s="264"/>
      <c r="E566" s="264"/>
      <c r="F566" s="142"/>
      <c r="G566" s="154"/>
      <c r="H566" s="155"/>
      <c r="I566" s="37"/>
      <c r="J566" s="24"/>
    </row>
    <row r="567" spans="1:14" x14ac:dyDescent="0.3">
      <c r="A567" s="141">
        <f t="shared" si="105"/>
        <v>3</v>
      </c>
      <c r="B567" s="142"/>
      <c r="C567" s="29" t="s">
        <v>288</v>
      </c>
      <c r="D567" s="29">
        <f>(7.64*3.65+4.25*1.3+3.05*2.75+3.975*3.05+4.6*6.8+3.975*4.1+2.6*1.4+2.6*1.55+2.6*1.55+2.6*1.55+1.1*2.9+1.8*3.95)*10.764</f>
        <v>1372.730229</v>
      </c>
      <c r="E567" s="29">
        <v>0</v>
      </c>
      <c r="F567" s="29">
        <v>2470</v>
      </c>
      <c r="G567" s="154"/>
      <c r="H567" s="155"/>
      <c r="I567" s="23"/>
      <c r="J567" s="24"/>
    </row>
    <row r="568" spans="1:14" x14ac:dyDescent="0.3">
      <c r="A568" s="141">
        <f t="shared" si="105"/>
        <v>4</v>
      </c>
      <c r="B568" s="142"/>
      <c r="C568" s="29" t="s">
        <v>288</v>
      </c>
      <c r="D568" s="29">
        <f>(109.346+1.8*3.95)*10.764</f>
        <v>1253.5323839999999</v>
      </c>
      <c r="E568" s="29">
        <v>0</v>
      </c>
      <c r="F568" s="29">
        <v>2225</v>
      </c>
      <c r="G568" s="156"/>
      <c r="H568" s="157"/>
      <c r="I568" s="23"/>
      <c r="J568" s="36"/>
    </row>
    <row r="569" spans="1:14" x14ac:dyDescent="0.3">
      <c r="A569" s="227" t="s">
        <v>68</v>
      </c>
      <c r="B569" s="227"/>
      <c r="C569" s="227"/>
      <c r="D569" s="227"/>
      <c r="E569" s="227"/>
      <c r="F569" s="227"/>
      <c r="G569" s="227"/>
      <c r="H569" s="227"/>
      <c r="I569" s="123" t="s">
        <v>334</v>
      </c>
      <c r="J569" s="124"/>
      <c r="K569" s="124"/>
      <c r="L569" s="124"/>
      <c r="M569" s="124"/>
      <c r="N569" s="124"/>
    </row>
    <row r="570" spans="1:14" ht="31.5" customHeight="1" x14ac:dyDescent="0.3">
      <c r="A570" s="68" t="s">
        <v>152</v>
      </c>
      <c r="B570" s="143" t="s">
        <v>342</v>
      </c>
      <c r="C570" s="144"/>
      <c r="D570" s="144"/>
      <c r="E570" s="144"/>
      <c r="F570" s="144"/>
      <c r="G570" s="144"/>
      <c r="H570" s="145"/>
      <c r="I570" s="123"/>
      <c r="J570" s="124"/>
      <c r="K570" s="124"/>
      <c r="L570" s="124"/>
      <c r="M570" s="124"/>
      <c r="N570" s="124"/>
    </row>
    <row r="571" spans="1:14" x14ac:dyDescent="0.3">
      <c r="A571" s="32" t="s">
        <v>152</v>
      </c>
      <c r="B571" s="146" t="str">
        <f>(IF(F333="Saleable area Loading :","We have considered Saleable area of Flats as per our Calculation.","We considered Saleable area of Flat as per Builder area Sheet."))</f>
        <v>We considered Saleable area of Flat as per Builder area Sheet.</v>
      </c>
      <c r="C571" s="147"/>
      <c r="D571" s="147"/>
      <c r="E571" s="147"/>
      <c r="F571" s="147"/>
      <c r="G571" s="147"/>
      <c r="H571" s="148"/>
      <c r="I571" s="22"/>
      <c r="J571" s="22"/>
    </row>
    <row r="572" spans="1:14" x14ac:dyDescent="0.3">
      <c r="A572" s="32" t="s">
        <v>152</v>
      </c>
      <c r="B572" s="146" t="str">
        <f>(IF(F239="Saleable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572" s="147"/>
      <c r="D572" s="147"/>
      <c r="E572" s="147"/>
      <c r="F572" s="147"/>
      <c r="G572" s="147"/>
      <c r="H572" s="148"/>
      <c r="I572" s="22"/>
      <c r="J572" s="22"/>
    </row>
    <row r="573" spans="1:14" x14ac:dyDescent="0.3">
      <c r="A573" s="32" t="s">
        <v>152</v>
      </c>
      <c r="B573" s="131" t="s">
        <v>123</v>
      </c>
      <c r="C573" s="132"/>
      <c r="D573" s="132"/>
      <c r="E573" s="132"/>
      <c r="F573" s="132"/>
      <c r="G573" s="132"/>
      <c r="H573" s="133"/>
      <c r="I573" s="22"/>
      <c r="J573" s="22"/>
    </row>
    <row r="574" spans="1:14" x14ac:dyDescent="0.3">
      <c r="A574" s="32" t="s">
        <v>152</v>
      </c>
      <c r="B574" s="131" t="s">
        <v>330</v>
      </c>
      <c r="C574" s="132"/>
      <c r="D574" s="132"/>
      <c r="E574" s="132"/>
      <c r="F574" s="132"/>
      <c r="G574" s="132"/>
      <c r="H574" s="133"/>
      <c r="I574" s="22"/>
      <c r="J574" s="22"/>
    </row>
    <row r="575" spans="1:14" x14ac:dyDescent="0.3">
      <c r="A575" s="32" t="s">
        <v>152</v>
      </c>
      <c r="B575" s="131" t="s">
        <v>151</v>
      </c>
      <c r="C575" s="132"/>
      <c r="D575" s="132"/>
      <c r="E575" s="132"/>
      <c r="F575" s="132"/>
      <c r="G575" s="132"/>
      <c r="H575" s="133"/>
      <c r="I575" s="22"/>
      <c r="J575" s="22"/>
    </row>
    <row r="576" spans="1:14" x14ac:dyDescent="0.3">
      <c r="A576" s="32" t="s">
        <v>152</v>
      </c>
      <c r="B576" s="131" t="s">
        <v>124</v>
      </c>
      <c r="C576" s="132"/>
      <c r="D576" s="132"/>
      <c r="E576" s="132"/>
      <c r="F576" s="132"/>
      <c r="G576" s="132"/>
      <c r="H576" s="133"/>
      <c r="I576" s="22"/>
      <c r="J576" s="22"/>
    </row>
    <row r="577" spans="1:10" ht="33" customHeight="1" x14ac:dyDescent="0.3">
      <c r="A577" s="32" t="s">
        <v>152</v>
      </c>
      <c r="B577" s="131" t="s">
        <v>153</v>
      </c>
      <c r="C577" s="132"/>
      <c r="D577" s="132"/>
      <c r="E577" s="132"/>
      <c r="F577" s="132"/>
      <c r="G577" s="132"/>
      <c r="H577" s="133"/>
      <c r="I577" s="22"/>
      <c r="J577" s="22"/>
    </row>
    <row r="578" spans="1:10" x14ac:dyDescent="0.3">
      <c r="A578" s="32" t="s">
        <v>152</v>
      </c>
      <c r="B578" s="131" t="s">
        <v>125</v>
      </c>
      <c r="C578" s="132"/>
      <c r="D578" s="132"/>
      <c r="E578" s="132"/>
      <c r="F578" s="132"/>
      <c r="G578" s="132"/>
      <c r="H578" s="133"/>
      <c r="I578" s="22"/>
      <c r="J578" s="22"/>
    </row>
    <row r="579" spans="1:10" x14ac:dyDescent="0.3">
      <c r="A579" s="32" t="s">
        <v>152</v>
      </c>
      <c r="B579" s="143" t="s">
        <v>320</v>
      </c>
      <c r="C579" s="144"/>
      <c r="D579" s="144"/>
      <c r="E579" s="144"/>
      <c r="F579" s="144"/>
      <c r="G579" s="144"/>
      <c r="H579" s="145"/>
      <c r="I579" s="22" t="s">
        <v>303</v>
      </c>
      <c r="J579" s="22"/>
    </row>
    <row r="580" spans="1:10" ht="33" customHeight="1" x14ac:dyDescent="0.3">
      <c r="A580" s="32" t="s">
        <v>152</v>
      </c>
      <c r="B580" s="143" t="s">
        <v>321</v>
      </c>
      <c r="C580" s="144"/>
      <c r="D580" s="144"/>
      <c r="E580" s="144"/>
      <c r="F580" s="144"/>
      <c r="G580" s="144"/>
      <c r="H580" s="145"/>
      <c r="I580" s="22" t="s">
        <v>307</v>
      </c>
      <c r="J580" s="22"/>
    </row>
    <row r="581" spans="1:10" x14ac:dyDescent="0.3">
      <c r="A581" s="226" t="s">
        <v>61</v>
      </c>
      <c r="B581" s="226"/>
      <c r="C581" s="226"/>
      <c r="D581" s="226"/>
      <c r="E581" s="226"/>
      <c r="F581" s="226"/>
      <c r="G581" s="226"/>
      <c r="H581" s="226"/>
      <c r="I581" t="s">
        <v>321</v>
      </c>
    </row>
    <row r="582" spans="1:10" x14ac:dyDescent="0.3">
      <c r="A582" s="128" t="s">
        <v>62</v>
      </c>
      <c r="B582" s="128"/>
      <c r="C582" s="128"/>
      <c r="D582" s="128"/>
      <c r="E582" s="128"/>
      <c r="F582" s="128"/>
      <c r="G582" s="128"/>
      <c r="H582" s="128"/>
    </row>
    <row r="583" spans="1:10" x14ac:dyDescent="0.3">
      <c r="A583" s="228" t="s">
        <v>63</v>
      </c>
      <c r="B583" s="228"/>
      <c r="C583" s="228"/>
      <c r="D583" s="228"/>
      <c r="E583" s="228"/>
      <c r="F583" s="228"/>
      <c r="G583" s="228"/>
      <c r="H583" s="228"/>
    </row>
    <row r="584" spans="1:10" x14ac:dyDescent="0.3">
      <c r="A584" s="128" t="s">
        <v>64</v>
      </c>
      <c r="B584" s="128"/>
      <c r="C584" s="128"/>
      <c r="D584" s="128"/>
      <c r="E584" s="128"/>
      <c r="F584" s="128"/>
      <c r="G584" s="128"/>
      <c r="H584" s="128"/>
    </row>
    <row r="585" spans="1:10" x14ac:dyDescent="0.3">
      <c r="A585" s="128" t="s">
        <v>65</v>
      </c>
      <c r="B585" s="128"/>
      <c r="C585" s="128"/>
      <c r="D585" s="128"/>
      <c r="E585" s="128"/>
      <c r="F585" s="128"/>
      <c r="G585" s="128"/>
      <c r="H585" s="128"/>
    </row>
    <row r="586" spans="1:10" x14ac:dyDescent="0.3">
      <c r="A586" s="128" t="s">
        <v>126</v>
      </c>
      <c r="B586" s="128"/>
      <c r="C586" s="128"/>
      <c r="D586" s="128"/>
      <c r="E586" s="128"/>
      <c r="F586" s="128"/>
      <c r="G586" s="128"/>
      <c r="H586" s="128"/>
    </row>
    <row r="587" spans="1:10" x14ac:dyDescent="0.3">
      <c r="A587" s="207" t="s">
        <v>127</v>
      </c>
      <c r="B587" s="207"/>
      <c r="C587" s="207"/>
      <c r="D587" s="207"/>
      <c r="E587" s="207"/>
      <c r="F587" s="207"/>
      <c r="G587" s="207"/>
      <c r="H587" s="207"/>
    </row>
    <row r="588" spans="1:10" x14ac:dyDescent="0.3">
      <c r="A588" s="219" t="s">
        <v>77</v>
      </c>
      <c r="B588" s="219"/>
      <c r="C588" s="219" t="s">
        <v>344</v>
      </c>
      <c r="D588" s="219"/>
      <c r="E588" s="219" t="s">
        <v>107</v>
      </c>
      <c r="F588" s="219"/>
      <c r="G588" s="219" t="s">
        <v>343</v>
      </c>
      <c r="H588" s="219"/>
    </row>
    <row r="589" spans="1:10" x14ac:dyDescent="0.3">
      <c r="A589" s="218" t="s">
        <v>79</v>
      </c>
      <c r="B589" s="218"/>
      <c r="C589" s="218"/>
      <c r="D589" s="218"/>
      <c r="E589" s="218"/>
      <c r="F589" s="218"/>
      <c r="G589" s="218"/>
      <c r="H589" s="218"/>
    </row>
    <row r="590" spans="1:10" x14ac:dyDescent="0.3">
      <c r="A590" s="218"/>
      <c r="B590" s="218"/>
      <c r="C590" s="218"/>
      <c r="D590" s="218"/>
      <c r="E590" s="218"/>
      <c r="F590" s="218"/>
      <c r="G590" s="218"/>
      <c r="H590" s="218"/>
    </row>
    <row r="591" spans="1:10" x14ac:dyDescent="0.3">
      <c r="A591" s="218"/>
      <c r="B591" s="218"/>
      <c r="C591" s="218"/>
      <c r="D591" s="218"/>
      <c r="E591" s="218"/>
      <c r="F591" s="218"/>
      <c r="G591" s="218"/>
      <c r="H591" s="218"/>
    </row>
    <row r="592" spans="1:10" x14ac:dyDescent="0.3">
      <c r="A592" s="218"/>
      <c r="B592" s="218"/>
      <c r="C592" s="218"/>
      <c r="D592" s="218"/>
      <c r="E592" s="218"/>
      <c r="F592" s="218"/>
      <c r="G592" s="218"/>
      <c r="H592" s="218"/>
    </row>
    <row r="593" spans="1:8" x14ac:dyDescent="0.3">
      <c r="A593" s="25" t="s">
        <v>66</v>
      </c>
      <c r="B593" s="26"/>
      <c r="C593" s="26"/>
      <c r="D593" s="25" t="str">
        <f>E8</f>
        <v>Delta Palm Beach</v>
      </c>
      <c r="F593" s="26"/>
      <c r="G593" s="26"/>
      <c r="H593" s="26"/>
    </row>
    <row r="594" spans="1:8" x14ac:dyDescent="0.3">
      <c r="A594" s="26"/>
      <c r="B594" s="26"/>
      <c r="C594" s="26"/>
      <c r="D594" s="26"/>
      <c r="E594" s="26"/>
      <c r="F594" s="26"/>
      <c r="G594" s="26"/>
      <c r="H594" s="26"/>
    </row>
    <row r="595" spans="1:8" x14ac:dyDescent="0.3">
      <c r="A595" s="26"/>
      <c r="B595" s="26"/>
      <c r="C595" s="26"/>
      <c r="D595" s="26"/>
      <c r="E595" s="26"/>
      <c r="F595" s="26"/>
      <c r="G595" s="26"/>
      <c r="H595" s="26"/>
    </row>
    <row r="633" spans="1:8" hidden="1" x14ac:dyDescent="0.3"/>
    <row r="634" spans="1:8" hidden="1" x14ac:dyDescent="0.3"/>
    <row r="636" spans="1:8" x14ac:dyDescent="0.3">
      <c r="A636" s="25" t="s">
        <v>66</v>
      </c>
      <c r="B636" s="26"/>
      <c r="C636" s="26"/>
      <c r="D636" s="25" t="str">
        <f>E8</f>
        <v>Delta Palm Beach</v>
      </c>
      <c r="F636" s="26"/>
      <c r="G636" s="26"/>
      <c r="H636" s="26"/>
    </row>
    <row r="637" spans="1:8" x14ac:dyDescent="0.3">
      <c r="A637" s="26"/>
      <c r="B637" s="26"/>
      <c r="C637" s="26"/>
      <c r="D637" s="26"/>
      <c r="E637" s="26"/>
      <c r="F637" s="26"/>
      <c r="G637" s="26"/>
      <c r="H637" s="26"/>
    </row>
    <row r="638" spans="1:8" x14ac:dyDescent="0.3">
      <c r="A638" s="26"/>
      <c r="B638" s="26"/>
      <c r="C638" s="26"/>
      <c r="D638" s="26"/>
      <c r="E638" s="26"/>
      <c r="F638" s="26"/>
      <c r="G638" s="26"/>
      <c r="H638" s="26"/>
    </row>
    <row r="678" spans="1:1" x14ac:dyDescent="0.3">
      <c r="A678" s="28" t="s">
        <v>163</v>
      </c>
    </row>
    <row r="720" spans="1:1" x14ac:dyDescent="0.3">
      <c r="A720" s="28" t="s">
        <v>67</v>
      </c>
    </row>
  </sheetData>
  <mergeCells count="946"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540:B540"/>
    <mergeCell ref="G540:H544"/>
    <mergeCell ref="A541:B541"/>
    <mergeCell ref="A542:B542"/>
    <mergeCell ref="A543:B543"/>
    <mergeCell ref="C543:F544"/>
    <mergeCell ref="A544:B544"/>
    <mergeCell ref="A482:H482"/>
    <mergeCell ref="A483:B483"/>
    <mergeCell ref="G483:H486"/>
    <mergeCell ref="A484:B484"/>
    <mergeCell ref="A485:B485"/>
    <mergeCell ref="A486:B486"/>
    <mergeCell ref="A538:B538"/>
    <mergeCell ref="A527:H527"/>
    <mergeCell ref="A528:B528"/>
    <mergeCell ref="A530:B530"/>
    <mergeCell ref="A531:B531"/>
    <mergeCell ref="A532:B532"/>
    <mergeCell ref="G534:H538"/>
    <mergeCell ref="A537:B537"/>
    <mergeCell ref="A514:H514"/>
    <mergeCell ref="A510:B510"/>
    <mergeCell ref="G510:H513"/>
    <mergeCell ref="A470:B470"/>
    <mergeCell ref="G470:H474"/>
    <mergeCell ref="A471:B471"/>
    <mergeCell ref="A472:B472"/>
    <mergeCell ref="A473:B473"/>
    <mergeCell ref="A474:B474"/>
    <mergeCell ref="C473:F474"/>
    <mergeCell ref="A503:B503"/>
    <mergeCell ref="A509:H509"/>
    <mergeCell ref="A508:B508"/>
    <mergeCell ref="A475:H475"/>
    <mergeCell ref="A477:H477"/>
    <mergeCell ref="A492:H492"/>
    <mergeCell ref="A493:B493"/>
    <mergeCell ref="A494:B494"/>
    <mergeCell ref="A500:B500"/>
    <mergeCell ref="G500:H503"/>
    <mergeCell ref="A501:B501"/>
    <mergeCell ref="A502:B502"/>
    <mergeCell ref="A491:B491"/>
    <mergeCell ref="A506:B506"/>
    <mergeCell ref="A507:B507"/>
    <mergeCell ref="C537:F537"/>
    <mergeCell ref="G528:H532"/>
    <mergeCell ref="A529:B529"/>
    <mergeCell ref="G445:H448"/>
    <mergeCell ref="G314:H321"/>
    <mergeCell ref="A315:B315"/>
    <mergeCell ref="A468:B468"/>
    <mergeCell ref="A437:H437"/>
    <mergeCell ref="A469:H469"/>
    <mergeCell ref="A438:H438"/>
    <mergeCell ref="A439:H439"/>
    <mergeCell ref="A440:B440"/>
    <mergeCell ref="G440:H443"/>
    <mergeCell ref="A441:B441"/>
    <mergeCell ref="A442:B442"/>
    <mergeCell ref="A443:B443"/>
    <mergeCell ref="A444:H444"/>
    <mergeCell ref="A495:B495"/>
    <mergeCell ref="A496:B496"/>
    <mergeCell ref="C494:F495"/>
    <mergeCell ref="C489:F489"/>
    <mergeCell ref="A497:H497"/>
    <mergeCell ref="A489:B489"/>
    <mergeCell ref="A490:B490"/>
    <mergeCell ref="B580:H580"/>
    <mergeCell ref="A450:H450"/>
    <mergeCell ref="A476:H476"/>
    <mergeCell ref="A498:H498"/>
    <mergeCell ref="A520:H520"/>
    <mergeCell ref="A515:B515"/>
    <mergeCell ref="G515:H518"/>
    <mergeCell ref="A516:B516"/>
    <mergeCell ref="C516:F517"/>
    <mergeCell ref="A517:B517"/>
    <mergeCell ref="A518:B518"/>
    <mergeCell ref="A539:H539"/>
    <mergeCell ref="A511:B511"/>
    <mergeCell ref="C511:F511"/>
    <mergeCell ref="A512:B512"/>
    <mergeCell ref="A513:B513"/>
    <mergeCell ref="A535:B535"/>
    <mergeCell ref="A536:B536"/>
    <mergeCell ref="A499:H499"/>
    <mergeCell ref="A454:B454"/>
    <mergeCell ref="A455:B455"/>
    <mergeCell ref="A456:B456"/>
    <mergeCell ref="C467:F467"/>
    <mergeCell ref="G493:H496"/>
    <mergeCell ref="A464:B464"/>
    <mergeCell ref="A445:B445"/>
    <mergeCell ref="A552:H552"/>
    <mergeCell ref="A553:B553"/>
    <mergeCell ref="G553:H556"/>
    <mergeCell ref="A478:B478"/>
    <mergeCell ref="G478:H481"/>
    <mergeCell ref="A479:B479"/>
    <mergeCell ref="A480:B480"/>
    <mergeCell ref="A481:B481"/>
    <mergeCell ref="A487:H487"/>
    <mergeCell ref="A522:B522"/>
    <mergeCell ref="G522:H526"/>
    <mergeCell ref="A523:B523"/>
    <mergeCell ref="A524:B524"/>
    <mergeCell ref="A525:B525"/>
    <mergeCell ref="A526:B526"/>
    <mergeCell ref="A488:B488"/>
    <mergeCell ref="G488:H491"/>
    <mergeCell ref="A519:H519"/>
    <mergeCell ref="A521:H521"/>
    <mergeCell ref="A504:H504"/>
    <mergeCell ref="A505:B505"/>
    <mergeCell ref="G505:H508"/>
    <mergeCell ref="G565:H568"/>
    <mergeCell ref="C566:F566"/>
    <mergeCell ref="A292:H292"/>
    <mergeCell ref="A293:H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G294:H301"/>
    <mergeCell ref="A449:H449"/>
    <mergeCell ref="A451:H451"/>
    <mergeCell ref="A457:H457"/>
    <mergeCell ref="A460:B460"/>
    <mergeCell ref="A461:B461"/>
    <mergeCell ref="A463:H463"/>
    <mergeCell ref="A533:H533"/>
    <mergeCell ref="A534:B534"/>
    <mergeCell ref="A422:B422"/>
    <mergeCell ref="A423:B423"/>
    <mergeCell ref="A424:B424"/>
    <mergeCell ref="C554:F554"/>
    <mergeCell ref="A558:H558"/>
    <mergeCell ref="A559:H559"/>
    <mergeCell ref="G560:H563"/>
    <mergeCell ref="A563:B563"/>
    <mergeCell ref="A564:H564"/>
    <mergeCell ref="A446:B446"/>
    <mergeCell ref="C446:F446"/>
    <mergeCell ref="A447:B447"/>
    <mergeCell ref="A448:B448"/>
    <mergeCell ref="A546:H546"/>
    <mergeCell ref="A547:H547"/>
    <mergeCell ref="G548:H551"/>
    <mergeCell ref="A551:B551"/>
    <mergeCell ref="A466:B466"/>
    <mergeCell ref="A467:B467"/>
    <mergeCell ref="A462:B462"/>
    <mergeCell ref="G458:H462"/>
    <mergeCell ref="A452:B452"/>
    <mergeCell ref="G452:H456"/>
    <mergeCell ref="A453:B453"/>
    <mergeCell ref="A556:B556"/>
    <mergeCell ref="A458:B458"/>
    <mergeCell ref="A550:B550"/>
    <mergeCell ref="A415:H415"/>
    <mergeCell ref="A416:B416"/>
    <mergeCell ref="G416:H419"/>
    <mergeCell ref="A417:B417"/>
    <mergeCell ref="A418:B418"/>
    <mergeCell ref="A419:B419"/>
    <mergeCell ref="A420:H420"/>
    <mergeCell ref="A421:B421"/>
    <mergeCell ref="G421:H424"/>
    <mergeCell ref="A426:H426"/>
    <mergeCell ref="C434:F434"/>
    <mergeCell ref="A425:H425"/>
    <mergeCell ref="A427:H427"/>
    <mergeCell ref="A428:B428"/>
    <mergeCell ref="G428:H431"/>
    <mergeCell ref="A429:B429"/>
    <mergeCell ref="A430:B430"/>
    <mergeCell ref="A431:B431"/>
    <mergeCell ref="A432:H432"/>
    <mergeCell ref="A433:B433"/>
    <mergeCell ref="G433:H436"/>
    <mergeCell ref="A434:B434"/>
    <mergeCell ref="A435:B435"/>
    <mergeCell ref="A436:B436"/>
    <mergeCell ref="A375:H375"/>
    <mergeCell ref="L249:M249"/>
    <mergeCell ref="A320:B320"/>
    <mergeCell ref="L250:M250"/>
    <mergeCell ref="A321:B321"/>
    <mergeCell ref="L251:M251"/>
    <mergeCell ref="L259:M259"/>
    <mergeCell ref="A330:B330"/>
    <mergeCell ref="L260:M260"/>
    <mergeCell ref="A331:B331"/>
    <mergeCell ref="G304:H311"/>
    <mergeCell ref="A307:B307"/>
    <mergeCell ref="A308:B308"/>
    <mergeCell ref="A309:B309"/>
    <mergeCell ref="L254:M254"/>
    <mergeCell ref="I302:J302"/>
    <mergeCell ref="A302:H302"/>
    <mergeCell ref="A303:H303"/>
    <mergeCell ref="A304:B304"/>
    <mergeCell ref="A310:B310"/>
    <mergeCell ref="A322:H322"/>
    <mergeCell ref="A323:H323"/>
    <mergeCell ref="A370:B370"/>
    <mergeCell ref="G370:H373"/>
    <mergeCell ref="A408:H408"/>
    <mergeCell ref="A410:H410"/>
    <mergeCell ref="A411:B411"/>
    <mergeCell ref="G411:H414"/>
    <mergeCell ref="A412:B412"/>
    <mergeCell ref="A413:B413"/>
    <mergeCell ref="A414:B414"/>
    <mergeCell ref="A398:H398"/>
    <mergeCell ref="A376:H376"/>
    <mergeCell ref="A403:H403"/>
    <mergeCell ref="G377:H380"/>
    <mergeCell ref="A378:B378"/>
    <mergeCell ref="A379:B379"/>
    <mergeCell ref="A380:B380"/>
    <mergeCell ref="A392:H392"/>
    <mergeCell ref="A409:H409"/>
    <mergeCell ref="A381:H381"/>
    <mergeCell ref="A404:B404"/>
    <mergeCell ref="G404:H407"/>
    <mergeCell ref="A405:B405"/>
    <mergeCell ref="A406:B406"/>
    <mergeCell ref="A407:B407"/>
    <mergeCell ref="A399:B399"/>
    <mergeCell ref="G399:H402"/>
    <mergeCell ref="A400:B400"/>
    <mergeCell ref="A401:B401"/>
    <mergeCell ref="A402:B402"/>
    <mergeCell ref="A386:H386"/>
    <mergeCell ref="A387:B387"/>
    <mergeCell ref="G387:H390"/>
    <mergeCell ref="A388:B388"/>
    <mergeCell ref="A389:B389"/>
    <mergeCell ref="A390:B390"/>
    <mergeCell ref="A391:H391"/>
    <mergeCell ref="A393:H393"/>
    <mergeCell ref="A394:B394"/>
    <mergeCell ref="G394:H397"/>
    <mergeCell ref="A395:B395"/>
    <mergeCell ref="A396:B396"/>
    <mergeCell ref="A397:B397"/>
    <mergeCell ref="A360:B360"/>
    <mergeCell ref="A362:B362"/>
    <mergeCell ref="A332:H332"/>
    <mergeCell ref="A341:B341"/>
    <mergeCell ref="A343:B343"/>
    <mergeCell ref="A361:B361"/>
    <mergeCell ref="A355:H355"/>
    <mergeCell ref="A340:H340"/>
    <mergeCell ref="A339:H339"/>
    <mergeCell ref="A358:H358"/>
    <mergeCell ref="A344:B344"/>
    <mergeCell ref="A338:H338"/>
    <mergeCell ref="A286:B286"/>
    <mergeCell ref="A287:B287"/>
    <mergeCell ref="A288:B288"/>
    <mergeCell ref="A289:B289"/>
    <mergeCell ref="A290:B290"/>
    <mergeCell ref="A291:B291"/>
    <mergeCell ref="A305:B305"/>
    <mergeCell ref="A306:B306"/>
    <mergeCell ref="A369:H369"/>
    <mergeCell ref="A328:B328"/>
    <mergeCell ref="A324:B324"/>
    <mergeCell ref="G324:H331"/>
    <mergeCell ref="A329:B329"/>
    <mergeCell ref="A311:B311"/>
    <mergeCell ref="A312:H312"/>
    <mergeCell ref="A313:H313"/>
    <mergeCell ref="A314:B314"/>
    <mergeCell ref="A351:B351"/>
    <mergeCell ref="G351:H354"/>
    <mergeCell ref="A348:B348"/>
    <mergeCell ref="A366:B366"/>
    <mergeCell ref="A367:B367"/>
    <mergeCell ref="A368:B368"/>
    <mergeCell ref="A342:B342"/>
    <mergeCell ref="L195:M195"/>
    <mergeCell ref="A266:B266"/>
    <mergeCell ref="L196:M196"/>
    <mergeCell ref="L197:M197"/>
    <mergeCell ref="A268:B268"/>
    <mergeCell ref="L198:M198"/>
    <mergeCell ref="L244:M244"/>
    <mergeCell ref="L245:M245"/>
    <mergeCell ref="L224:M224"/>
    <mergeCell ref="L225:M225"/>
    <mergeCell ref="L226:M226"/>
    <mergeCell ref="L227:M227"/>
    <mergeCell ref="A262:B262"/>
    <mergeCell ref="A256:B256"/>
    <mergeCell ref="A227:B227"/>
    <mergeCell ref="C214:D214"/>
    <mergeCell ref="C210:D210"/>
    <mergeCell ref="G210:H210"/>
    <mergeCell ref="A216:B216"/>
    <mergeCell ref="C216:D216"/>
    <mergeCell ref="E216:F216"/>
    <mergeCell ref="C215:D215"/>
    <mergeCell ref="L246:M246"/>
    <mergeCell ref="L247:M247"/>
    <mergeCell ref="L202:M202"/>
    <mergeCell ref="L205:M205"/>
    <mergeCell ref="L206:M206"/>
    <mergeCell ref="L207:M207"/>
    <mergeCell ref="L208:M208"/>
    <mergeCell ref="G265:H272"/>
    <mergeCell ref="A270:B270"/>
    <mergeCell ref="L209:M209"/>
    <mergeCell ref="L240:M240"/>
    <mergeCell ref="L255:M255"/>
    <mergeCell ref="L256:M256"/>
    <mergeCell ref="L257:M257"/>
    <mergeCell ref="L258:M258"/>
    <mergeCell ref="L239:M239"/>
    <mergeCell ref="G228:H228"/>
    <mergeCell ref="A255:B255"/>
    <mergeCell ref="C209:D209"/>
    <mergeCell ref="C235:D235"/>
    <mergeCell ref="L248:M248"/>
    <mergeCell ref="L241:M241"/>
    <mergeCell ref="G227:H227"/>
    <mergeCell ref="A234:B234"/>
    <mergeCell ref="C234:D234"/>
    <mergeCell ref="E234:F234"/>
    <mergeCell ref="L281:M281"/>
    <mergeCell ref="A352:B352"/>
    <mergeCell ref="L282:M282"/>
    <mergeCell ref="A353:B353"/>
    <mergeCell ref="L283:M283"/>
    <mergeCell ref="A354:B354"/>
    <mergeCell ref="L284:M284"/>
    <mergeCell ref="A325:B325"/>
    <mergeCell ref="A326:B326"/>
    <mergeCell ref="A316:B316"/>
    <mergeCell ref="G275:H282"/>
    <mergeCell ref="A276:B276"/>
    <mergeCell ref="A277:B277"/>
    <mergeCell ref="A278:B278"/>
    <mergeCell ref="A279:B279"/>
    <mergeCell ref="A280:B280"/>
    <mergeCell ref="A281:B281"/>
    <mergeCell ref="A282:B282"/>
    <mergeCell ref="A283:H283"/>
    <mergeCell ref="A284:H284"/>
    <mergeCell ref="A285:B285"/>
    <mergeCell ref="G285:H291"/>
    <mergeCell ref="A319:B319"/>
    <mergeCell ref="A347:B347"/>
    <mergeCell ref="L177:M177"/>
    <mergeCell ref="L229:M229"/>
    <mergeCell ref="A248:B248"/>
    <mergeCell ref="L178:M178"/>
    <mergeCell ref="A249:B249"/>
    <mergeCell ref="L179:M179"/>
    <mergeCell ref="A250:B250"/>
    <mergeCell ref="L180:M180"/>
    <mergeCell ref="A251:B251"/>
    <mergeCell ref="L181:M181"/>
    <mergeCell ref="L182:M182"/>
    <mergeCell ref="E226:F226"/>
    <mergeCell ref="G226:H226"/>
    <mergeCell ref="L186:M186"/>
    <mergeCell ref="L187:M187"/>
    <mergeCell ref="L188:M188"/>
    <mergeCell ref="L199:M199"/>
    <mergeCell ref="L189:M189"/>
    <mergeCell ref="L190:M190"/>
    <mergeCell ref="L192:M192"/>
    <mergeCell ref="L210:M210"/>
    <mergeCell ref="L211:M211"/>
    <mergeCell ref="L212:M212"/>
    <mergeCell ref="L200:M200"/>
    <mergeCell ref="L279:M279"/>
    <mergeCell ref="A275:B275"/>
    <mergeCell ref="A327:B327"/>
    <mergeCell ref="L185:M185"/>
    <mergeCell ref="A349:B349"/>
    <mergeCell ref="A244:H244"/>
    <mergeCell ref="A246:B246"/>
    <mergeCell ref="L228:M228"/>
    <mergeCell ref="A247:B247"/>
    <mergeCell ref="A252:B252"/>
    <mergeCell ref="A253:H253"/>
    <mergeCell ref="A254:H254"/>
    <mergeCell ref="A258:B258"/>
    <mergeCell ref="A267:B267"/>
    <mergeCell ref="L286:M286"/>
    <mergeCell ref="A269:B269"/>
    <mergeCell ref="A259:B259"/>
    <mergeCell ref="A260:B260"/>
    <mergeCell ref="A261:B261"/>
    <mergeCell ref="A271:B271"/>
    <mergeCell ref="L201:M201"/>
    <mergeCell ref="A272:B272"/>
    <mergeCell ref="C226:D226"/>
    <mergeCell ref="C227:D227"/>
    <mergeCell ref="C233:D233"/>
    <mergeCell ref="E233:F233"/>
    <mergeCell ref="G233:H233"/>
    <mergeCell ref="L277:M277"/>
    <mergeCell ref="L278:M278"/>
    <mergeCell ref="A240:H240"/>
    <mergeCell ref="A345:H345"/>
    <mergeCell ref="A346:B346"/>
    <mergeCell ref="L276:M276"/>
    <mergeCell ref="G246:H252"/>
    <mergeCell ref="G341:H344"/>
    <mergeCell ref="G346:H349"/>
    <mergeCell ref="A241:H241"/>
    <mergeCell ref="A242:H242"/>
    <mergeCell ref="A243:H243"/>
    <mergeCell ref="A245:H245"/>
    <mergeCell ref="A257:B257"/>
    <mergeCell ref="G255:H262"/>
    <mergeCell ref="A263:H263"/>
    <mergeCell ref="A264:H264"/>
    <mergeCell ref="A265:B265"/>
    <mergeCell ref="A273:H273"/>
    <mergeCell ref="A274:H274"/>
    <mergeCell ref="A318:B318"/>
    <mergeCell ref="G230:H230"/>
    <mergeCell ref="A231:B231"/>
    <mergeCell ref="C231:D231"/>
    <mergeCell ref="E231:F231"/>
    <mergeCell ref="G231:H231"/>
    <mergeCell ref="A232:B232"/>
    <mergeCell ref="C232:D232"/>
    <mergeCell ref="E232:F232"/>
    <mergeCell ref="G232:H232"/>
    <mergeCell ref="G209:H209"/>
    <mergeCell ref="A204:E204"/>
    <mergeCell ref="A53:B53"/>
    <mergeCell ref="C53:E53"/>
    <mergeCell ref="D55:H55"/>
    <mergeCell ref="F204:H204"/>
    <mergeCell ref="E209:F209"/>
    <mergeCell ref="A209:B209"/>
    <mergeCell ref="A229:B229"/>
    <mergeCell ref="C221:D221"/>
    <mergeCell ref="A211:B211"/>
    <mergeCell ref="C211:D211"/>
    <mergeCell ref="D65:H65"/>
    <mergeCell ref="A66:C66"/>
    <mergeCell ref="E142:F151"/>
    <mergeCell ref="A149:B149"/>
    <mergeCell ref="A223:B223"/>
    <mergeCell ref="C223:D223"/>
    <mergeCell ref="E223:F223"/>
    <mergeCell ref="G223:H223"/>
    <mergeCell ref="A72:B72"/>
    <mergeCell ref="G71:H71"/>
    <mergeCell ref="E227:F227"/>
    <mergeCell ref="A96:B96"/>
    <mergeCell ref="C50:E50"/>
    <mergeCell ref="A58:C60"/>
    <mergeCell ref="A46:D46"/>
    <mergeCell ref="A47:H47"/>
    <mergeCell ref="A65:C65"/>
    <mergeCell ref="I14:P14"/>
    <mergeCell ref="F205:H205"/>
    <mergeCell ref="F203:H203"/>
    <mergeCell ref="L191:M191"/>
    <mergeCell ref="I58:L58"/>
    <mergeCell ref="E183:F183"/>
    <mergeCell ref="G183:H183"/>
    <mergeCell ref="A176:B176"/>
    <mergeCell ref="D57:H57"/>
    <mergeCell ref="A57:C57"/>
    <mergeCell ref="G50:H50"/>
    <mergeCell ref="A78:B78"/>
    <mergeCell ref="A71:B71"/>
    <mergeCell ref="A74:B74"/>
    <mergeCell ref="A70:B70"/>
    <mergeCell ref="A68:B68"/>
    <mergeCell ref="C68:H68"/>
    <mergeCell ref="A76:B76"/>
    <mergeCell ref="L176:M176"/>
    <mergeCell ref="E42:H42"/>
    <mergeCell ref="A42:D42"/>
    <mergeCell ref="A138:B138"/>
    <mergeCell ref="C138:H138"/>
    <mergeCell ref="A77:B77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C51:E51"/>
    <mergeCell ref="D58:H58"/>
    <mergeCell ref="A63:C63"/>
    <mergeCell ref="D63:H63"/>
    <mergeCell ref="C70:H70"/>
    <mergeCell ref="A73:B73"/>
    <mergeCell ref="A75:B75"/>
    <mergeCell ref="E71:F71"/>
    <mergeCell ref="A182:B182"/>
    <mergeCell ref="C182:H182"/>
    <mergeCell ref="A183:B183"/>
    <mergeCell ref="D59:H59"/>
    <mergeCell ref="A582:H582"/>
    <mergeCell ref="E221:F221"/>
    <mergeCell ref="B578:H578"/>
    <mergeCell ref="B576:H576"/>
    <mergeCell ref="B572:H572"/>
    <mergeCell ref="A566:B566"/>
    <mergeCell ref="B579:H579"/>
    <mergeCell ref="A236:B236"/>
    <mergeCell ref="C236:D236"/>
    <mergeCell ref="E236:F236"/>
    <mergeCell ref="G236:H236"/>
    <mergeCell ref="A465:B465"/>
    <mergeCell ref="A565:B565"/>
    <mergeCell ref="A237:H237"/>
    <mergeCell ref="A561:B561"/>
    <mergeCell ref="A562:B562"/>
    <mergeCell ref="A557:H557"/>
    <mergeCell ref="A363:B363"/>
    <mergeCell ref="A459:B459"/>
    <mergeCell ref="A238:H238"/>
    <mergeCell ref="A586:H586"/>
    <mergeCell ref="A583:H583"/>
    <mergeCell ref="A221:B221"/>
    <mergeCell ref="G333:H333"/>
    <mergeCell ref="A226:B226"/>
    <mergeCell ref="A377:B377"/>
    <mergeCell ref="A548:B548"/>
    <mergeCell ref="G239:H239"/>
    <mergeCell ref="C229:D229"/>
    <mergeCell ref="E229:F229"/>
    <mergeCell ref="G229:H229"/>
    <mergeCell ref="A334:H334"/>
    <mergeCell ref="A335:H335"/>
    <mergeCell ref="A336:H336"/>
    <mergeCell ref="A337:H337"/>
    <mergeCell ref="A235:B235"/>
    <mergeCell ref="E235:F235"/>
    <mergeCell ref="A365:B365"/>
    <mergeCell ref="G365:H368"/>
    <mergeCell ref="A233:B233"/>
    <mergeCell ref="G234:H234"/>
    <mergeCell ref="A230:B230"/>
    <mergeCell ref="E228:F228"/>
    <mergeCell ref="A317:B317"/>
    <mergeCell ref="A589:H592"/>
    <mergeCell ref="A588:B588"/>
    <mergeCell ref="E588:F588"/>
    <mergeCell ref="C588:D588"/>
    <mergeCell ref="G588:H588"/>
    <mergeCell ref="A208:H208"/>
    <mergeCell ref="A206:E206"/>
    <mergeCell ref="F206:H206"/>
    <mergeCell ref="A207:E207"/>
    <mergeCell ref="F207:H207"/>
    <mergeCell ref="A545:H545"/>
    <mergeCell ref="A554:B554"/>
    <mergeCell ref="A210:B210"/>
    <mergeCell ref="A584:H584"/>
    <mergeCell ref="A220:H220"/>
    <mergeCell ref="A587:H587"/>
    <mergeCell ref="A585:H585"/>
    <mergeCell ref="A581:H581"/>
    <mergeCell ref="C222:D222"/>
    <mergeCell ref="E222:F222"/>
    <mergeCell ref="G222:H222"/>
    <mergeCell ref="B573:H573"/>
    <mergeCell ref="B574:H574"/>
    <mergeCell ref="A569:H569"/>
    <mergeCell ref="A64:C64"/>
    <mergeCell ref="D64:H64"/>
    <mergeCell ref="F199:H199"/>
    <mergeCell ref="A142:B142"/>
    <mergeCell ref="A199:E199"/>
    <mergeCell ref="A151:B151"/>
    <mergeCell ref="A170:B170"/>
    <mergeCell ref="E170:F179"/>
    <mergeCell ref="A150:B150"/>
    <mergeCell ref="E169:F169"/>
    <mergeCell ref="A175:B175"/>
    <mergeCell ref="A148:B148"/>
    <mergeCell ref="A127:B127"/>
    <mergeCell ref="E127:F127"/>
    <mergeCell ref="G127:H127"/>
    <mergeCell ref="A128:B128"/>
    <mergeCell ref="E128:F137"/>
    <mergeCell ref="G128:H137"/>
    <mergeCell ref="A129:B129"/>
    <mergeCell ref="A130:B130"/>
    <mergeCell ref="A131:B131"/>
    <mergeCell ref="A132:B132"/>
    <mergeCell ref="A133:B133"/>
    <mergeCell ref="A134:B134"/>
    <mergeCell ref="A205:E205"/>
    <mergeCell ref="G235:H23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G170:H179"/>
    <mergeCell ref="A41:D41"/>
    <mergeCell ref="E41:H41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A141:B141"/>
    <mergeCell ref="E46:H46"/>
    <mergeCell ref="A140:B140"/>
    <mergeCell ref="C140:H140"/>
    <mergeCell ref="A44:D44"/>
    <mergeCell ref="E212:F212"/>
    <mergeCell ref="G212:H212"/>
    <mergeCell ref="A213:B213"/>
    <mergeCell ref="C213:D213"/>
    <mergeCell ref="E213:F213"/>
    <mergeCell ref="G213:H213"/>
    <mergeCell ref="A222:B222"/>
    <mergeCell ref="E210:F210"/>
    <mergeCell ref="E211:F211"/>
    <mergeCell ref="A214:B214"/>
    <mergeCell ref="G215:H215"/>
    <mergeCell ref="A215:B215"/>
    <mergeCell ref="E215:F215"/>
    <mergeCell ref="A212:B212"/>
    <mergeCell ref="C212:D212"/>
    <mergeCell ref="E214:F214"/>
    <mergeCell ref="G214:H214"/>
    <mergeCell ref="G211:H211"/>
    <mergeCell ref="E219:F219"/>
    <mergeCell ref="G219:H219"/>
    <mergeCell ref="G221:H221"/>
    <mergeCell ref="G216:H216"/>
    <mergeCell ref="A217:B217"/>
    <mergeCell ref="C217:D217"/>
    <mergeCell ref="A200:E200"/>
    <mergeCell ref="F200:H200"/>
    <mergeCell ref="A201:E201"/>
    <mergeCell ref="A203:E203"/>
    <mergeCell ref="F197:H197"/>
    <mergeCell ref="A202:E202"/>
    <mergeCell ref="F195:H195"/>
    <mergeCell ref="A179:B179"/>
    <mergeCell ref="F194:H194"/>
    <mergeCell ref="A184:B184"/>
    <mergeCell ref="E184:F193"/>
    <mergeCell ref="G184:H193"/>
    <mergeCell ref="A189:B189"/>
    <mergeCell ref="A190:B190"/>
    <mergeCell ref="A191:B191"/>
    <mergeCell ref="A192:B192"/>
    <mergeCell ref="A193:B193"/>
    <mergeCell ref="A180:B180"/>
    <mergeCell ref="F202:H202"/>
    <mergeCell ref="A185:B185"/>
    <mergeCell ref="A186:B186"/>
    <mergeCell ref="A187:B187"/>
    <mergeCell ref="A188:B188"/>
    <mergeCell ref="C180:H180"/>
    <mergeCell ref="A38:B38"/>
    <mergeCell ref="C38:H38"/>
    <mergeCell ref="A45:D45"/>
    <mergeCell ref="L274:M274"/>
    <mergeCell ref="L273:M273"/>
    <mergeCell ref="L272:M272"/>
    <mergeCell ref="L271:M271"/>
    <mergeCell ref="A79:B79"/>
    <mergeCell ref="F201:H201"/>
    <mergeCell ref="A195:E195"/>
    <mergeCell ref="A166:B166"/>
    <mergeCell ref="C166:H166"/>
    <mergeCell ref="A67:C67"/>
    <mergeCell ref="D67:H67"/>
    <mergeCell ref="G53:H53"/>
    <mergeCell ref="D60:H60"/>
    <mergeCell ref="C52:H52"/>
    <mergeCell ref="D66:H66"/>
    <mergeCell ref="E141:F141"/>
    <mergeCell ref="G141:H141"/>
    <mergeCell ref="A173:B173"/>
    <mergeCell ref="A174:B174"/>
    <mergeCell ref="A146:B146"/>
    <mergeCell ref="A147:B147"/>
    <mergeCell ref="E217:F217"/>
    <mergeCell ref="G217:H217"/>
    <mergeCell ref="A218:B218"/>
    <mergeCell ref="L230:M230"/>
    <mergeCell ref="L231:M231"/>
    <mergeCell ref="L234:M234"/>
    <mergeCell ref="L235:M235"/>
    <mergeCell ref="L236:M236"/>
    <mergeCell ref="L237:M237"/>
    <mergeCell ref="C218:D218"/>
    <mergeCell ref="E218:F218"/>
    <mergeCell ref="G218:H218"/>
    <mergeCell ref="A224:B224"/>
    <mergeCell ref="C224:D224"/>
    <mergeCell ref="E224:F224"/>
    <mergeCell ref="G224:H224"/>
    <mergeCell ref="A225:B225"/>
    <mergeCell ref="C225:D225"/>
    <mergeCell ref="E225:F225"/>
    <mergeCell ref="G225:H225"/>
    <mergeCell ref="A219:B219"/>
    <mergeCell ref="C219:D219"/>
    <mergeCell ref="C230:D230"/>
    <mergeCell ref="E230:F230"/>
    <mergeCell ref="A568:B568"/>
    <mergeCell ref="A567:B567"/>
    <mergeCell ref="B570:H570"/>
    <mergeCell ref="B571:H571"/>
    <mergeCell ref="A350:H350"/>
    <mergeCell ref="A357:H357"/>
    <mergeCell ref="A382:B382"/>
    <mergeCell ref="G382:H385"/>
    <mergeCell ref="A383:B383"/>
    <mergeCell ref="A384:B384"/>
    <mergeCell ref="A385:B385"/>
    <mergeCell ref="A374:H374"/>
    <mergeCell ref="G464:H468"/>
    <mergeCell ref="A359:H359"/>
    <mergeCell ref="A555:B555"/>
    <mergeCell ref="A356:B356"/>
    <mergeCell ref="G356:H356"/>
    <mergeCell ref="G360:H363"/>
    <mergeCell ref="A364:H364"/>
    <mergeCell ref="A560:B560"/>
    <mergeCell ref="A549:B549"/>
    <mergeCell ref="A371:B371"/>
    <mergeCell ref="A372:B372"/>
    <mergeCell ref="A373:B373"/>
    <mergeCell ref="A39:B39"/>
    <mergeCell ref="C39:H39"/>
    <mergeCell ref="B577:H577"/>
    <mergeCell ref="A48:B48"/>
    <mergeCell ref="C48:H48"/>
    <mergeCell ref="B575:H575"/>
    <mergeCell ref="A171:B171"/>
    <mergeCell ref="A172:B172"/>
    <mergeCell ref="G142:H151"/>
    <mergeCell ref="A143:B143"/>
    <mergeCell ref="A144:B144"/>
    <mergeCell ref="A145:B145"/>
    <mergeCell ref="F196:H196"/>
    <mergeCell ref="A196:E196"/>
    <mergeCell ref="A198:E198"/>
    <mergeCell ref="A177:B177"/>
    <mergeCell ref="A178:B178"/>
    <mergeCell ref="A197:E197"/>
    <mergeCell ref="A194:E194"/>
    <mergeCell ref="F198:H198"/>
    <mergeCell ref="G169:H169"/>
    <mergeCell ref="A168:B168"/>
    <mergeCell ref="C168:H168"/>
    <mergeCell ref="A169:B169"/>
    <mergeCell ref="I569:N570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L238:M238"/>
    <mergeCell ref="A228:B228"/>
    <mergeCell ref="C228:D228"/>
    <mergeCell ref="C124:H124"/>
    <mergeCell ref="A126:B126"/>
    <mergeCell ref="C126:H126"/>
    <mergeCell ref="A152:B152"/>
    <mergeCell ref="C152:H152"/>
    <mergeCell ref="A154:B154"/>
    <mergeCell ref="C154:H154"/>
    <mergeCell ref="A155:B155"/>
    <mergeCell ref="E155:F155"/>
    <mergeCell ref="G155:H155"/>
    <mergeCell ref="A135:B135"/>
    <mergeCell ref="A136:B136"/>
    <mergeCell ref="A137:B137"/>
    <mergeCell ref="A156:B156"/>
    <mergeCell ref="E156:F165"/>
    <mergeCell ref="G156:H165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239" xr:uid="{00000000-0002-0000-0000-000003000000}">
      <formula1>"Attached Loft area,Attached Terrace area,Attached Mezzanine area"</formula1>
    </dataValidation>
    <dataValidation type="list" allowBlank="1" showInputMessage="1" showErrorMessage="1" sqref="G588:H588" xr:uid="{00000000-0002-0000-0000-000004000000}">
      <formula1>"Kunal Kadam,Shruti Tathare,Pranita Mhatre,Shruti Fule,Pooja Kawale,Mansee Mohite,Anjali Kamble, Hitakshi Mhatre, Sachin Sawant"</formula1>
    </dataValidation>
    <dataValidation type="list" allowBlank="1" showInputMessage="1" showErrorMessage="1" sqref="F194:H194" xr:uid="{00000000-0002-0000-0000-000005000000}">
      <formula1>"On Saleable Area,On Builtup Area,On Carpet Area,On Plot Area"</formula1>
    </dataValidation>
    <dataValidation type="list" allowBlank="1" showInputMessage="1" showErrorMessage="1" sqref="F206:H206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239 F333" xr:uid="{00000000-0002-0000-0000-000007000000}">
      <formula1>"Saleable area Loading :,Builder Saleable area"</formula1>
    </dataValidation>
    <dataValidation type="list" allowBlank="1" showInputMessage="1" showErrorMessage="1" sqref="B239" xr:uid="{00000000-0002-0000-0000-000008000000}">
      <formula1>"Shop No. (Sale Plan),Sale / Rehab,Sale / Mhada"</formula1>
    </dataValidation>
    <dataValidation type="list" allowBlank="1" showInputMessage="1" showErrorMessage="1" sqref="B333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  <hyperlink ref="I64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95" max="16383" man="1"/>
    <brk id="592" max="7" man="1"/>
    <brk id="635" max="16383" man="1"/>
    <brk id="677" max="7" man="1"/>
    <brk id="719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0"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69" t="s">
        <v>108</v>
      </c>
      <c r="C3" s="269"/>
      <c r="D3" s="269"/>
      <c r="E3" s="269"/>
      <c r="F3" s="269"/>
      <c r="G3" s="269"/>
      <c r="H3" s="269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33"/>
      <c r="C4" s="33" t="s">
        <v>12</v>
      </c>
      <c r="D4" s="34" t="s">
        <v>177</v>
      </c>
      <c r="E4" s="34" t="s">
        <v>187</v>
      </c>
      <c r="F4" s="34" t="s">
        <v>171</v>
      </c>
      <c r="G4" s="34" t="s">
        <v>192</v>
      </c>
      <c r="H4" s="34" t="s">
        <v>210</v>
      </c>
      <c r="J4" t="s">
        <v>192</v>
      </c>
      <c r="K4" t="s">
        <v>208</v>
      </c>
    </row>
    <row r="5" spans="2:11" x14ac:dyDescent="0.3">
      <c r="B5" s="33"/>
      <c r="C5" s="33"/>
      <c r="D5" s="34" t="s">
        <v>178</v>
      </c>
      <c r="E5" s="34" t="s">
        <v>185</v>
      </c>
      <c r="F5" s="34" t="s">
        <v>207</v>
      </c>
      <c r="G5" s="34" t="s">
        <v>193</v>
      </c>
      <c r="H5" s="34" t="s">
        <v>211</v>
      </c>
    </row>
    <row r="6" spans="2:11" x14ac:dyDescent="0.3">
      <c r="B6" s="33"/>
      <c r="C6" s="33"/>
      <c r="D6" s="34" t="s">
        <v>179</v>
      </c>
      <c r="E6" s="34" t="s">
        <v>186</v>
      </c>
      <c r="F6" s="34" t="s">
        <v>208</v>
      </c>
      <c r="G6" s="34" t="s">
        <v>194</v>
      </c>
      <c r="H6" s="34" t="s">
        <v>224</v>
      </c>
    </row>
    <row r="7" spans="2:11" x14ac:dyDescent="0.3">
      <c r="B7" s="33"/>
      <c r="C7" s="33"/>
      <c r="D7" s="34" t="s">
        <v>180</v>
      </c>
      <c r="E7" s="34" t="s">
        <v>188</v>
      </c>
      <c r="F7" s="34" t="s">
        <v>209</v>
      </c>
      <c r="G7" s="34" t="s">
        <v>195</v>
      </c>
      <c r="H7" s="34" t="s">
        <v>212</v>
      </c>
    </row>
    <row r="8" spans="2:11" x14ac:dyDescent="0.3">
      <c r="B8" s="33"/>
      <c r="C8" s="33"/>
      <c r="D8" s="34" t="s">
        <v>181</v>
      </c>
      <c r="E8" s="34" t="s">
        <v>189</v>
      </c>
      <c r="F8" s="34"/>
      <c r="G8" s="34" t="s">
        <v>196</v>
      </c>
      <c r="H8" s="34" t="s">
        <v>213</v>
      </c>
    </row>
    <row r="9" spans="2:11" x14ac:dyDescent="0.3">
      <c r="B9" s="33"/>
      <c r="C9" s="33"/>
      <c r="D9" s="34" t="s">
        <v>182</v>
      </c>
      <c r="E9" s="34" t="s">
        <v>187</v>
      </c>
      <c r="F9" s="34"/>
      <c r="G9" s="34" t="s">
        <v>197</v>
      </c>
      <c r="H9" s="34" t="s">
        <v>214</v>
      </c>
    </row>
    <row r="10" spans="2:11" x14ac:dyDescent="0.3">
      <c r="B10" s="33"/>
      <c r="C10" s="33"/>
      <c r="D10" s="34" t="s">
        <v>183</v>
      </c>
      <c r="E10" s="34" t="s">
        <v>190</v>
      </c>
      <c r="F10" s="34"/>
      <c r="G10" s="34" t="s">
        <v>198</v>
      </c>
      <c r="H10" s="34" t="s">
        <v>215</v>
      </c>
    </row>
    <row r="11" spans="2:11" x14ac:dyDescent="0.3">
      <c r="B11" s="33"/>
      <c r="C11" s="33"/>
      <c r="D11" s="34" t="s">
        <v>184</v>
      </c>
      <c r="E11" s="34" t="s">
        <v>191</v>
      </c>
      <c r="F11" s="34"/>
      <c r="G11" s="34" t="s">
        <v>199</v>
      </c>
      <c r="H11" s="34" t="s">
        <v>216</v>
      </c>
    </row>
    <row r="12" spans="2:11" x14ac:dyDescent="0.3">
      <c r="B12" s="33"/>
      <c r="C12" s="33"/>
      <c r="D12" s="34"/>
      <c r="E12" s="34"/>
      <c r="F12" s="34"/>
      <c r="G12" s="34" t="s">
        <v>200</v>
      </c>
      <c r="H12" s="34" t="s">
        <v>217</v>
      </c>
    </row>
    <row r="13" spans="2:11" x14ac:dyDescent="0.3">
      <c r="B13" s="33"/>
      <c r="C13" s="33"/>
      <c r="D13" s="34"/>
      <c r="E13" s="34"/>
      <c r="F13" s="34"/>
      <c r="G13" s="34" t="s">
        <v>201</v>
      </c>
      <c r="H13" s="34" t="s">
        <v>218</v>
      </c>
    </row>
    <row r="14" spans="2:11" x14ac:dyDescent="0.3">
      <c r="B14" s="33"/>
      <c r="C14" s="33"/>
      <c r="D14" s="34"/>
      <c r="E14" s="34"/>
      <c r="F14" s="34"/>
      <c r="G14" s="34" t="s">
        <v>202</v>
      </c>
      <c r="H14" s="34" t="s">
        <v>219</v>
      </c>
    </row>
    <row r="15" spans="2:11" x14ac:dyDescent="0.3">
      <c r="B15" s="33"/>
      <c r="C15" s="33"/>
      <c r="D15" s="34"/>
      <c r="E15" s="34"/>
      <c r="F15" s="34"/>
      <c r="G15" s="34" t="s">
        <v>203</v>
      </c>
      <c r="H15" s="34" t="s">
        <v>220</v>
      </c>
    </row>
    <row r="16" spans="2:11" x14ac:dyDescent="0.3">
      <c r="B16" s="33"/>
      <c r="C16" s="33"/>
      <c r="D16" s="34"/>
      <c r="E16" s="34"/>
      <c r="F16" s="34"/>
      <c r="G16" s="34" t="s">
        <v>204</v>
      </c>
      <c r="H16" s="34" t="s">
        <v>221</v>
      </c>
    </row>
    <row r="17" spans="2:8" x14ac:dyDescent="0.3">
      <c r="B17" s="33"/>
      <c r="C17" s="33"/>
      <c r="D17" s="34"/>
      <c r="E17" s="34"/>
      <c r="F17" s="34"/>
      <c r="G17" s="34" t="s">
        <v>205</v>
      </c>
      <c r="H17" s="34" t="s">
        <v>222</v>
      </c>
    </row>
    <row r="18" spans="2:8" x14ac:dyDescent="0.3">
      <c r="B18" s="33"/>
      <c r="C18" s="33"/>
      <c r="D18" s="34"/>
      <c r="E18" s="34"/>
      <c r="F18" s="34"/>
      <c r="G18" s="34" t="s">
        <v>206</v>
      </c>
      <c r="H18" s="34" t="s">
        <v>223</v>
      </c>
    </row>
    <row r="24" spans="2:8" x14ac:dyDescent="0.3">
      <c r="C24" t="s">
        <v>169</v>
      </c>
    </row>
    <row r="25" spans="2:8" x14ac:dyDescent="0.3">
      <c r="C25" t="s">
        <v>225</v>
      </c>
    </row>
    <row r="26" spans="2:8" x14ac:dyDescent="0.3">
      <c r="C26" t="s">
        <v>226</v>
      </c>
    </row>
    <row r="27" spans="2:8" x14ac:dyDescent="0.3">
      <c r="C27" t="s">
        <v>227</v>
      </c>
    </row>
    <row r="28" spans="2:8" x14ac:dyDescent="0.3">
      <c r="C28" t="s">
        <v>228</v>
      </c>
    </row>
    <row r="29" spans="2:8" x14ac:dyDescent="0.3">
      <c r="C29" t="s">
        <v>229</v>
      </c>
    </row>
    <row r="30" spans="2:8" x14ac:dyDescent="0.3">
      <c r="C30" t="s">
        <v>169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2025-07-14T10:52:37Z</cp:lastPrinted>
  <dcterms:created xsi:type="dcterms:W3CDTF">2019-07-16T09:29:46Z</dcterms:created>
  <dcterms:modified xsi:type="dcterms:W3CDTF">2025-07-14T10:52:37Z</dcterms:modified>
</cp:coreProperties>
</file>