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Dump\April 25\"/>
    </mc:Choice>
  </mc:AlternateContent>
  <bookViews>
    <workbookView xWindow="0" yWindow="0" windowWidth="20490" windowHeight="77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Report!$A$1:$H$384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4" i="1" l="1"/>
  <c r="I175" i="1" s="1"/>
  <c r="E184" i="1"/>
  <c r="F184" i="1" s="1"/>
  <c r="J184" i="1" s="1"/>
  <c r="D184" i="1"/>
  <c r="E183" i="1"/>
  <c r="D183" i="1"/>
  <c r="F183" i="1" s="1"/>
  <c r="J183" i="1" s="1"/>
  <c r="E182" i="1"/>
  <c r="D182" i="1"/>
  <c r="F182" i="1" s="1"/>
  <c r="J182" i="1" s="1"/>
  <c r="E181" i="1"/>
  <c r="D181" i="1"/>
  <c r="F181" i="1" s="1"/>
  <c r="J181" i="1" s="1"/>
  <c r="E180" i="1"/>
  <c r="D180" i="1"/>
  <c r="F180" i="1" s="1"/>
  <c r="J180" i="1" s="1"/>
  <c r="E179" i="1"/>
  <c r="D179" i="1"/>
  <c r="F179" i="1" s="1"/>
  <c r="J179" i="1" s="1"/>
  <c r="E178" i="1"/>
  <c r="D178" i="1"/>
  <c r="F178" i="1" s="1"/>
  <c r="J178" i="1" s="1"/>
  <c r="A178" i="1"/>
  <c r="A179" i="1" s="1"/>
  <c r="A180" i="1" s="1"/>
  <c r="A181" i="1" s="1"/>
  <c r="A182" i="1" s="1"/>
  <c r="A183" i="1" s="1"/>
  <c r="A184" i="1" s="1"/>
  <c r="F177" i="1"/>
  <c r="J177" i="1" s="1"/>
  <c r="E177" i="1"/>
  <c r="D177" i="1"/>
  <c r="A177" i="1"/>
  <c r="E176" i="1"/>
  <c r="D176" i="1"/>
  <c r="F176" i="1" s="1"/>
  <c r="J176" i="1" s="1"/>
  <c r="E175" i="1"/>
  <c r="D175" i="1"/>
  <c r="F175" i="1" s="1"/>
  <c r="J175" i="1" s="1"/>
  <c r="E174" i="1"/>
  <c r="F174" i="1" s="1"/>
  <c r="J174" i="1" s="1"/>
  <c r="D174" i="1"/>
  <c r="E173" i="1"/>
  <c r="D173" i="1"/>
  <c r="F173" i="1" s="1"/>
  <c r="J173" i="1" s="1"/>
  <c r="A173" i="1"/>
  <c r="A174" i="1" s="1"/>
  <c r="A175" i="1" s="1"/>
  <c r="E172" i="1"/>
  <c r="D172" i="1"/>
  <c r="F172" i="1" s="1"/>
  <c r="J172" i="1" s="1"/>
  <c r="A172" i="1"/>
  <c r="E171" i="1"/>
  <c r="F171" i="1" s="1"/>
  <c r="D171" i="1"/>
  <c r="K170" i="1"/>
  <c r="K171" i="1" l="1"/>
  <c r="J171" i="1"/>
  <c r="K126" i="1"/>
  <c r="K154" i="1"/>
  <c r="K155" i="1"/>
  <c r="K113" i="1" l="1"/>
  <c r="K137" i="1"/>
  <c r="E229" i="1"/>
  <c r="E228" i="1"/>
  <c r="E226" i="1"/>
  <c r="E224" i="1"/>
  <c r="E223" i="1"/>
  <c r="E221" i="1"/>
  <c r="E220" i="1"/>
  <c r="E219" i="1"/>
  <c r="E218" i="1"/>
  <c r="E217" i="1"/>
  <c r="E216" i="1"/>
  <c r="E214" i="1"/>
  <c r="E213" i="1"/>
  <c r="E212" i="1"/>
  <c r="E211" i="1"/>
  <c r="E210" i="1"/>
  <c r="E205" i="1"/>
  <c r="D205" i="1"/>
  <c r="E204" i="1"/>
  <c r="E203" i="1"/>
  <c r="E209" i="1"/>
  <c r="E208" i="1"/>
  <c r="E207" i="1"/>
  <c r="E206" i="1"/>
  <c r="E202" i="1"/>
  <c r="E201" i="1"/>
  <c r="E199" i="1"/>
  <c r="E198" i="1"/>
  <c r="E194" i="1"/>
  <c r="E191" i="1"/>
  <c r="E187" i="1"/>
  <c r="E186" i="1"/>
  <c r="E169" i="1"/>
  <c r="E168" i="1"/>
  <c r="E164" i="1"/>
  <c r="E163" i="1"/>
  <c r="E162" i="1"/>
  <c r="E161" i="1"/>
  <c r="E157" i="1"/>
  <c r="E156" i="1"/>
  <c r="E150" i="1"/>
  <c r="E149" i="1"/>
  <c r="E148" i="1"/>
  <c r="E147" i="1"/>
  <c r="D227" i="1"/>
  <c r="E227" i="1"/>
  <c r="D226" i="1"/>
  <c r="D225" i="1"/>
  <c r="E225" i="1"/>
  <c r="D224" i="1"/>
  <c r="D223" i="1"/>
  <c r="D221" i="1"/>
  <c r="D220" i="1"/>
  <c r="D218" i="1"/>
  <c r="D204" i="1"/>
  <c r="D203" i="1"/>
  <c r="D199" i="1"/>
  <c r="D198" i="1"/>
  <c r="E197" i="1"/>
  <c r="D197" i="1"/>
  <c r="E196" i="1"/>
  <c r="D196" i="1"/>
  <c r="E195" i="1"/>
  <c r="D195" i="1"/>
  <c r="F195" i="1" s="1"/>
  <c r="D194" i="1"/>
  <c r="D191" i="1"/>
  <c r="E190" i="1"/>
  <c r="D190" i="1"/>
  <c r="E189" i="1"/>
  <c r="D189" i="1"/>
  <c r="E188" i="1"/>
  <c r="D188" i="1"/>
  <c r="F188" i="1" s="1"/>
  <c r="D187" i="1"/>
  <c r="F187" i="1" s="1"/>
  <c r="D186" i="1"/>
  <c r="E167" i="1"/>
  <c r="E166" i="1"/>
  <c r="E165" i="1"/>
  <c r="E160" i="1"/>
  <c r="E159" i="1"/>
  <c r="E158" i="1"/>
  <c r="E153" i="1"/>
  <c r="E152" i="1"/>
  <c r="E151" i="1"/>
  <c r="E146" i="1"/>
  <c r="E145" i="1"/>
  <c r="E144" i="1"/>
  <c r="F186" i="1" l="1"/>
  <c r="F191" i="1"/>
  <c r="F196" i="1"/>
  <c r="F198" i="1"/>
  <c r="F190" i="1"/>
  <c r="F199" i="1"/>
  <c r="F194" i="1"/>
  <c r="F189" i="1"/>
  <c r="F197" i="1"/>
  <c r="D229" i="1"/>
  <c r="F229" i="1" s="1"/>
  <c r="J229" i="1" s="1"/>
  <c r="D228" i="1"/>
  <c r="F228" i="1" s="1"/>
  <c r="J228" i="1" s="1"/>
  <c r="F224" i="1"/>
  <c r="J224" i="1" s="1"/>
  <c r="D219" i="1"/>
  <c r="F219" i="1" s="1"/>
  <c r="J219" i="1" s="1"/>
  <c r="D217" i="1"/>
  <c r="F217" i="1" s="1"/>
  <c r="J217" i="1" s="1"/>
  <c r="D216" i="1"/>
  <c r="F216" i="1" s="1"/>
  <c r="J216" i="1" s="1"/>
  <c r="D214" i="1"/>
  <c r="F214" i="1" s="1"/>
  <c r="D213" i="1"/>
  <c r="D212" i="1"/>
  <c r="F212" i="1" s="1"/>
  <c r="D211" i="1"/>
  <c r="D210" i="1"/>
  <c r="D209" i="1"/>
  <c r="F209" i="1" s="1"/>
  <c r="D208" i="1"/>
  <c r="F208" i="1" s="1"/>
  <c r="D207" i="1"/>
  <c r="F207" i="1" s="1"/>
  <c r="D206" i="1"/>
  <c r="F206" i="1" s="1"/>
  <c r="D202" i="1"/>
  <c r="F202" i="1" s="1"/>
  <c r="D201" i="1"/>
  <c r="F201" i="1" s="1"/>
  <c r="D169" i="1"/>
  <c r="D168" i="1"/>
  <c r="D167" i="1"/>
  <c r="D166" i="1"/>
  <c r="D165" i="1"/>
  <c r="D164" i="1"/>
  <c r="F164" i="1" s="1"/>
  <c r="J164" i="1" s="1"/>
  <c r="D163" i="1"/>
  <c r="F163" i="1" s="1"/>
  <c r="J163" i="1" s="1"/>
  <c r="D162" i="1"/>
  <c r="F162" i="1" s="1"/>
  <c r="J162" i="1" s="1"/>
  <c r="D161" i="1"/>
  <c r="F161" i="1" s="1"/>
  <c r="J161" i="1" s="1"/>
  <c r="D160" i="1"/>
  <c r="D159" i="1"/>
  <c r="D158" i="1"/>
  <c r="D157" i="1"/>
  <c r="F157" i="1" s="1"/>
  <c r="J157" i="1" s="1"/>
  <c r="D156" i="1"/>
  <c r="F156" i="1" s="1"/>
  <c r="D153" i="1"/>
  <c r="D152" i="1"/>
  <c r="D151" i="1"/>
  <c r="D150" i="1"/>
  <c r="D149" i="1"/>
  <c r="D148" i="1"/>
  <c r="F148" i="1" s="1"/>
  <c r="K148" i="1" s="1"/>
  <c r="D147" i="1"/>
  <c r="D146" i="1"/>
  <c r="D145" i="1"/>
  <c r="D144" i="1"/>
  <c r="D136" i="1"/>
  <c r="D135" i="1"/>
  <c r="F135" i="1" s="1"/>
  <c r="H135" i="1" s="1"/>
  <c r="K135" i="1" s="1"/>
  <c r="D134" i="1"/>
  <c r="F134" i="1" s="1"/>
  <c r="H134" i="1" s="1"/>
  <c r="K134" i="1" s="1"/>
  <c r="D133" i="1"/>
  <c r="F133" i="1" s="1"/>
  <c r="H133" i="1" s="1"/>
  <c r="K133" i="1" s="1"/>
  <c r="D132" i="1"/>
  <c r="F132" i="1" s="1"/>
  <c r="H132" i="1" s="1"/>
  <c r="K132" i="1" s="1"/>
  <c r="D131" i="1"/>
  <c r="F131" i="1" s="1"/>
  <c r="H131" i="1" s="1"/>
  <c r="K131" i="1" s="1"/>
  <c r="D130" i="1"/>
  <c r="F130" i="1" s="1"/>
  <c r="H130" i="1" s="1"/>
  <c r="K130" i="1" s="1"/>
  <c r="D129" i="1"/>
  <c r="F129" i="1" s="1"/>
  <c r="H129" i="1" s="1"/>
  <c r="K129" i="1" s="1"/>
  <c r="D128" i="1"/>
  <c r="F128" i="1" s="1"/>
  <c r="H128" i="1" s="1"/>
  <c r="K128" i="1" s="1"/>
  <c r="D127" i="1"/>
  <c r="F127" i="1" s="1"/>
  <c r="H127" i="1" s="1"/>
  <c r="K127" i="1" s="1"/>
  <c r="D125" i="1"/>
  <c r="F125" i="1" s="1"/>
  <c r="H125" i="1" s="1"/>
  <c r="K125" i="1" s="1"/>
  <c r="D124" i="1"/>
  <c r="F124" i="1" s="1"/>
  <c r="H124" i="1" s="1"/>
  <c r="K124" i="1" s="1"/>
  <c r="D123" i="1"/>
  <c r="F123" i="1" s="1"/>
  <c r="H123" i="1" s="1"/>
  <c r="K123" i="1" s="1"/>
  <c r="D122" i="1"/>
  <c r="F122" i="1" s="1"/>
  <c r="H122" i="1" s="1"/>
  <c r="K122" i="1" s="1"/>
  <c r="D121" i="1"/>
  <c r="F121" i="1" s="1"/>
  <c r="H121" i="1" s="1"/>
  <c r="K121" i="1" s="1"/>
  <c r="D120" i="1"/>
  <c r="F120" i="1" s="1"/>
  <c r="H120" i="1" s="1"/>
  <c r="K120" i="1" s="1"/>
  <c r="D119" i="1"/>
  <c r="D118" i="1"/>
  <c r="D117" i="1"/>
  <c r="D116" i="1"/>
  <c r="A224" i="1"/>
  <c r="A225" i="1" s="1"/>
  <c r="A226" i="1" s="1"/>
  <c r="A227" i="1" s="1"/>
  <c r="A228" i="1" s="1"/>
  <c r="A229" i="1" s="1"/>
  <c r="A217" i="1"/>
  <c r="A218" i="1" s="1"/>
  <c r="A219" i="1" s="1"/>
  <c r="A220" i="1" s="1"/>
  <c r="F213" i="1"/>
  <c r="A207" i="1"/>
  <c r="A208" i="1" s="1"/>
  <c r="A209" i="1" s="1"/>
  <c r="A210" i="1" s="1"/>
  <c r="A211" i="1" s="1"/>
  <c r="A212" i="1" s="1"/>
  <c r="A213" i="1" s="1"/>
  <c r="A214" i="1" s="1"/>
  <c r="A202" i="1"/>
  <c r="A203" i="1" s="1"/>
  <c r="A204" i="1" s="1"/>
  <c r="A205" i="1" s="1"/>
  <c r="A195" i="1"/>
  <c r="A196" i="1" s="1"/>
  <c r="A197" i="1" s="1"/>
  <c r="A198" i="1" s="1"/>
  <c r="A199" i="1" s="1"/>
  <c r="A187" i="1"/>
  <c r="A188" i="1" s="1"/>
  <c r="A189" i="1" s="1"/>
  <c r="A190" i="1" s="1"/>
  <c r="F159" i="1"/>
  <c r="J159" i="1" s="1"/>
  <c r="A162" i="1"/>
  <c r="A163" i="1" s="1"/>
  <c r="A164" i="1" s="1"/>
  <c r="A165" i="1" s="1"/>
  <c r="A166" i="1" s="1"/>
  <c r="A167" i="1" s="1"/>
  <c r="A168" i="1" s="1"/>
  <c r="A169" i="1" s="1"/>
  <c r="A157" i="1"/>
  <c r="A158" i="1" s="1"/>
  <c r="A159" i="1" s="1"/>
  <c r="A160" i="1" s="1"/>
  <c r="I148" i="1"/>
  <c r="I153" i="1"/>
  <c r="F136" i="1"/>
  <c r="H136" i="1" s="1"/>
  <c r="K136" i="1" s="1"/>
  <c r="A128" i="1"/>
  <c r="A129" i="1" s="1"/>
  <c r="A130" i="1" s="1"/>
  <c r="A131" i="1" s="1"/>
  <c r="A132" i="1" s="1"/>
  <c r="A133" i="1" s="1"/>
  <c r="A134" i="1" s="1"/>
  <c r="A135" i="1" s="1"/>
  <c r="A136" i="1" s="1"/>
  <c r="I118" i="1"/>
  <c r="I116" i="1"/>
  <c r="G51" i="1"/>
  <c r="G52" i="1" s="1"/>
  <c r="C107" i="1" l="1"/>
  <c r="C108" i="1" s="1"/>
  <c r="C102" i="1"/>
  <c r="K156" i="1"/>
  <c r="J156" i="1"/>
  <c r="G103" i="1"/>
  <c r="E103" i="1"/>
  <c r="F223" i="1"/>
  <c r="J223" i="1" s="1"/>
  <c r="F227" i="1"/>
  <c r="J227" i="1" s="1"/>
  <c r="C103" i="1"/>
  <c r="F210" i="1"/>
  <c r="F204" i="1"/>
  <c r="F211" i="1"/>
  <c r="F218" i="1"/>
  <c r="J218" i="1" s="1"/>
  <c r="F220" i="1"/>
  <c r="J220" i="1" s="1"/>
  <c r="F226" i="1"/>
  <c r="J226" i="1" s="1"/>
  <c r="F225" i="1"/>
  <c r="J225" i="1" s="1"/>
  <c r="F221" i="1"/>
  <c r="J221" i="1" s="1"/>
  <c r="F203" i="1"/>
  <c r="F205" i="1"/>
  <c r="F165" i="1"/>
  <c r="J165" i="1" s="1"/>
  <c r="F160" i="1"/>
  <c r="J160" i="1" s="1"/>
  <c r="F158" i="1"/>
  <c r="J158" i="1" s="1"/>
  <c r="F167" i="1"/>
  <c r="J167" i="1" s="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C104" i="1" l="1"/>
  <c r="L42" i="7"/>
  <c r="K42" i="7" s="1"/>
  <c r="I42" i="7"/>
  <c r="H42" i="7" s="1"/>
  <c r="E42" i="7"/>
  <c r="D42" i="7"/>
  <c r="E44" i="7"/>
  <c r="D44" i="7" l="1"/>
  <c r="E31" i="1"/>
  <c r="B233" i="1" l="1"/>
  <c r="F117" i="1" l="1"/>
  <c r="H117" i="1" s="1"/>
  <c r="K117" i="1" s="1"/>
  <c r="F118" i="1"/>
  <c r="H118" i="1" s="1"/>
  <c r="K118" i="1" s="1"/>
  <c r="F119" i="1"/>
  <c r="H119" i="1" s="1"/>
  <c r="K119" i="1" s="1"/>
  <c r="F116" i="1"/>
  <c r="H116" i="1" s="1"/>
  <c r="K116" i="1" s="1"/>
  <c r="I114" i="1" l="1"/>
  <c r="G102" i="1"/>
  <c r="G104" i="1" s="1"/>
  <c r="E102" i="1"/>
  <c r="E104" i="1" s="1"/>
  <c r="G58" i="1"/>
  <c r="C58" i="1"/>
  <c r="G56" i="1"/>
  <c r="C56" i="1"/>
  <c r="C54" i="1"/>
  <c r="S33" i="1" l="1"/>
  <c r="F11" i="5" l="1"/>
  <c r="G11" i="5" s="1"/>
  <c r="G10" i="5"/>
  <c r="F10" i="5"/>
  <c r="F9" i="5"/>
  <c r="G9" i="5" s="1"/>
  <c r="G8" i="5"/>
  <c r="F8" i="5"/>
  <c r="F7" i="5"/>
  <c r="G7" i="5" s="1"/>
  <c r="G6" i="5"/>
  <c r="F6" i="5"/>
  <c r="F5" i="5"/>
  <c r="G5" i="5" s="1"/>
  <c r="G12" i="5" s="1"/>
  <c r="D256" i="1"/>
  <c r="B234" i="1"/>
  <c r="F169" i="1"/>
  <c r="J169" i="1" s="1"/>
  <c r="F168" i="1"/>
  <c r="J168" i="1" s="1"/>
  <c r="F166" i="1"/>
  <c r="J166" i="1" s="1"/>
  <c r="F153" i="1"/>
  <c r="K153" i="1" s="1"/>
  <c r="F152" i="1"/>
  <c r="K152" i="1" s="1"/>
  <c r="F151" i="1"/>
  <c r="K151" i="1" s="1"/>
  <c r="F150" i="1"/>
  <c r="K150" i="1" s="1"/>
  <c r="F149" i="1"/>
  <c r="K149" i="1" s="1"/>
  <c r="A150" i="1"/>
  <c r="A151" i="1" s="1"/>
  <c r="A152" i="1" s="1"/>
  <c r="A153" i="1" s="1"/>
  <c r="F147" i="1"/>
  <c r="K147" i="1" s="1"/>
  <c r="F146" i="1"/>
  <c r="K146" i="1" s="1"/>
  <c r="F145" i="1"/>
  <c r="K145" i="1" s="1"/>
  <c r="A145" i="1"/>
  <c r="A146" i="1" s="1"/>
  <c r="A147" i="1" s="1"/>
  <c r="A148" i="1" s="1"/>
  <c r="F144" i="1"/>
  <c r="K144" i="1" s="1"/>
  <c r="A117" i="1"/>
  <c r="A118" i="1" s="1"/>
  <c r="A119" i="1" s="1"/>
  <c r="A120" i="1" s="1"/>
  <c r="A121" i="1" s="1"/>
  <c r="A122" i="1" s="1"/>
  <c r="A123" i="1" s="1"/>
  <c r="A124" i="1" s="1"/>
  <c r="A125" i="1" s="1"/>
  <c r="C109" i="1"/>
  <c r="F99" i="1"/>
  <c r="C73" i="1"/>
  <c r="D67" i="1"/>
  <c r="D62" i="1"/>
  <c r="C51" i="1"/>
  <c r="C52" i="1" s="1"/>
  <c r="E44" i="1"/>
  <c r="E45" i="1" s="1"/>
  <c r="E28" i="1"/>
  <c r="E26" i="1"/>
  <c r="C16" i="1"/>
  <c r="I15" i="1"/>
  <c r="Z13" i="1"/>
  <c r="E8" i="1"/>
  <c r="E3" i="1"/>
  <c r="H74" i="1"/>
  <c r="I143" i="1" l="1"/>
  <c r="G107" i="1"/>
  <c r="G108" i="1" s="1"/>
  <c r="G109" i="1" s="1"/>
  <c r="E107" i="1"/>
  <c r="E108" i="1" s="1"/>
  <c r="E109" i="1" s="1"/>
  <c r="J73" i="1"/>
  <c r="J75" i="1" s="1"/>
  <c r="J76" i="1"/>
  <c r="J77" i="1"/>
  <c r="J78" i="1"/>
  <c r="C77" i="1" s="1"/>
  <c r="D81" i="1"/>
  <c r="D83" i="1"/>
  <c r="D82" i="1"/>
  <c r="D86" i="1"/>
  <c r="D80" i="1"/>
  <c r="D85" i="1"/>
  <c r="D79" i="1"/>
  <c r="D84" i="1"/>
  <c r="B74" i="1"/>
  <c r="J79" i="1" s="1"/>
  <c r="D77" i="1" l="1"/>
  <c r="J83" i="1"/>
  <c r="J81" i="1"/>
  <c r="J82" i="1"/>
  <c r="J80" i="1"/>
  <c r="J85" i="1" s="1"/>
  <c r="J84" i="1"/>
  <c r="J86" i="1" l="1"/>
  <c r="C78" i="1" s="1"/>
  <c r="D78" i="1" s="1"/>
  <c r="I74" i="1" s="1"/>
  <c r="J74" i="1" l="1"/>
  <c r="G77" i="1"/>
  <c r="D71" i="1" s="1"/>
  <c r="F72" i="1" s="1"/>
  <c r="E77" i="1"/>
  <c r="I75" i="1"/>
  <c r="I73" i="1" l="1"/>
  <c r="C75" i="1" s="1"/>
  <c r="D72"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0"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<sst xmlns="http://schemas.openxmlformats.org/spreadsheetml/2006/main" count="690" uniqueCount="392">
  <si>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</si>
  <si>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</si>
  <si>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</si>
  <si>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</si>
  <si>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</si>
  <si>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</si>
  <si>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</si>
  <si>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</si>
  <si>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</si>
  <si>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</si>
  <si>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</si>
  <si>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</si>
  <si>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</si>
  <si>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</si>
  <si>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</si>
  <si>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</si>
  <si>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</si>
  <si>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</si>
  <si>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</si>
  <si>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</si>
  <si>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</si>
  <si>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</si>
  <si>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</si>
  <si>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</si>
  <si>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</si>
  <si>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</si>
  <si>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</si>
  <si>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</si>
  <si>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</si>
  <si>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</si>
  <si>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</si>
  <si>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</si>
  <si>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</si>
  <si>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</si>
  <si>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</si>
  <si>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</si>
  <si>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</si>
  <si>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</si>
  <si>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</si>
  <si>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</si>
  <si>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</si>
  <si>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</si>
  <si>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</si>
  <si>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</si>
  <si>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</si>
  <si>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</si>
  <si>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</si>
  <si>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</si>
  <si>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</si>
  <si>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</si>
  <si>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</si>
  <si>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</si>
  <si>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</si>
  <si>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</si>
  <si>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</si>
  <si>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</si>
  <si>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</si>
  <si>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</si>
  <si>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</si>
  <si>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</si>
  <si>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</si>
  <si>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</si>
  <si>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</si>
  <si>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</si>
  <si>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</si>
  <si>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</si>
  <si>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</si>
  <si>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</si>
  <si>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</si>
  <si>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</si>
  <si>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</si>
  <si>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</si>
  <si>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</si>
  <si>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</si>
  <si>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</si>
  <si>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</si>
  <si>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</si>
  <si>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</si>
  <si>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</si>
  <si>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</si>
  <si>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</si>
  <si>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</si>
  <si>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</si>
  <si>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</si>
  <si>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</si>
  <si>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</si>
  <si>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</si>
  <si>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</si>
  <si>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</si>
  <si>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</si>
  <si>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</si>
  <si>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</si>
  <si>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</si>
  <si>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</si>
  <si>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</si>
  <si>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</si>
  <si>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</si>
  <si>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</si>
  <si>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</si>
  <si>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</si>
  <si>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</si>
  <si>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</si>
  <si>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</si>
  <si>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</si>
  <si>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</si>
  <si>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</si>
  <si>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</si>
  <si>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</si>
  <si>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</si>
  <si>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</si>
  <si>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</si>
  <si>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</si>
  <si>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</si>
  <si>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</si>
  <si>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</si>
  <si>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</si>
  <si>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</si>
  <si>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</si>
  <si>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</si>
  <si>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</si>
  <si>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</si>
  <si>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</si>
  <si>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</si>
  <si>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</si>
  <si>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</si>
  <si>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</si>
  <si>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</si>
  <si>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</si>
  <si>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</si>
  <si>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</si>
  <si>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</si>
  <si>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</si>
  <si>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</si>
  <si>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</si>
  <si>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</si>
  <si>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</si>
  <si>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</si>
  <si>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</si>
  <si>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</si>
  <si>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</si>
  <si>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</si>
  <si>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</si>
  <si>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</si>
  <si>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</si>
  <si>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</si>
  <si>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</si>
  <si>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</si>
  <si>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</si>
  <si>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</si>
  <si>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</si>
  <si>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</si>
  <si>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</si>
  <si>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</si>
  <si>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</si>
  <si>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</si>
  <si>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</si>
  <si>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</si>
  <si>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</si>
  <si>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</si>
  <si>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</si>
  <si>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</si>
  <si>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</si>
  <si>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</si>
  <si>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</si>
  <si>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</si>
  <si>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</si>
  <si>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</si>
  <si>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</si>
  <si>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</si>
  <si>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</si>
  <si>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</si>
  <si>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</si>
  <si>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</si>
  <si>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</si>
  <si>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</si>
  <si>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</si>
  <si>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</si>
  <si>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</si>
  <si>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</si>
  <si>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</si>
  <si>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</si>
  <si>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</si>
  <si>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</si>
  <si>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</si>
  <si>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</si>
  <si>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</si>
  <si>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</si>
  <si>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</si>
  <si>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</si>
  <si>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</si>
  <si>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</si>
  <si>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</si>
  <si>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</si>
  <si>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</si>
  <si>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</si>
  <si>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</si>
  <si>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</si>
  <si>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</si>
  <si>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</si>
  <si>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</si>
  <si>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</si>
  <si>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</si>
  <si>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</si>
  <si>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</si>
  <si>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</si>
  <si>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</si>
  <si>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</si>
  <si>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</si>
  <si>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</si>
  <si>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</si>
  <si>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</si>
  <si>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</si>
  <si>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</si>
  <si>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</si>
  <si>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</si>
  <si>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</si>
  <si>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</si>
  <si>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</si>
  <si>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</si>
  <si>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</si>
  <si>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</si>
  <si>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</si>
  <si>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</si>
  <si>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</si>
  <si>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</si>
  <si>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</si>
  <si>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</si>
  <si>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</si>
  <si>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</si>
  <si>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</si>
  <si>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</si>
  <si>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</si>
  <si>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</si>
  <si>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</si>
  <si>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</si>
  <si>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</si>
  <si>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</si>
  <si>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</si>
  <si>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</si>
  <si>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</si>
  <si>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</si>
  <si>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</si>
  <si>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</si>
  <si>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</si>
  <si>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</si>
  <si>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</si>
  <si>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</si>
  <si>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</si>
  <si>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</si>
  <si>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</si>
  <si>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</si>
  <si>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</si>
  <si>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</si>
  <si>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</si>
  <si>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</si>
  <si>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</si>
  <si>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</si>
  <si>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</si>
  <si>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</si>
  <si>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</si>
  <si>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</si>
  <si>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</si>
  <si>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</si>
  <si>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</si>
  <si>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</si>
  <si>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</si>
  <si>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</si>
  <si>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</si>
  <si>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</si>
  <si>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</si>
  <si>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</si>
  <si>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</si>
  <si>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</si>
  <si>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</si>
  <si>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</si>
  <si>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</si>
  <si>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</si>
  <si>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</si>
  <si>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</si>
  <si>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</si>
  <si>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</si>
  <si>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</si>
  <si>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</si>
  <si>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</si>
  <si>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</si>
  <si>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</si>
  <si>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</si>
  <si>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</si>
  <si>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</si>
  <si>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</si>
  <si>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</si>
  <si>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</si>
  <si>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</si>
  <si>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</si>
  <si>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</si>
  <si>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</si>
  <si>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</si>
  <si>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</si>
  <si>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</si>
  <si>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</si>
  <si>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</si>
  <si>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</si>
  <si>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</si>
  <si>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</si>
  <si>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</si>
  <si>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</si>
  <si>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</si>
  <si>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</si>
  <si>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</si>
  <si>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</si>
  <si>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</si>
  <si>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</si>
  <si>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</si>
  <si>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</si>
  <si>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</si>
  <si>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</si>
  <si>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</si>
  <si>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</si>
  <si>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</si>
  <si>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</si>
  <si>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</si>
  <si>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</si>
  <si>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</si>
  <si>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</si>
  <si>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</si>
  <si>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</si>
  <si>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</si>
  <si>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</si>
  <si>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</si>
  <si>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Royal Buildcon</t>
  </si>
  <si>
    <t>Avencia</t>
  </si>
  <si>
    <t>Mr. Vinod Patel 80802000802</t>
  </si>
  <si>
    <t>P52000055633</t>
  </si>
  <si>
    <t>Plot No</t>
  </si>
  <si>
    <t>04, Sector-05</t>
  </si>
  <si>
    <t>Pushpak (Dapoli)</t>
  </si>
  <si>
    <t>CIDCO/BP-18753/TPO(NM &amp; K)/2023/11865</t>
  </si>
  <si>
    <t>As per RERA - 31/12/2027</t>
  </si>
  <si>
    <t>1B + Gr + 1st + P2 + 3rd to 13th Floor</t>
  </si>
  <si>
    <r>
      <t xml:space="preserve">Proposed Amenities :                                                                                                                                                                                                                         </t>
    </r>
    <r>
      <rPr>
        <b/>
        <sz val="12"/>
        <rFont val="Times New Roman"/>
        <family val="1"/>
      </rPr>
      <t xml:space="preserve">                                               </t>
    </r>
  </si>
  <si>
    <t>Entrance Lobby, Pump Room, Parking, Lifts, Fire Fighting System, Sifficient Water Supply etc.</t>
  </si>
  <si>
    <t>Basement Floor For Pump Room, UG Water Tank, S.T.P, Flushing Tank &amp; Parking</t>
  </si>
  <si>
    <t>Ground Floor For Commercial, Entrance Lobby, Meter Room, Space For D.G Set, Electrical Substation, O.W.C &amp; Parking</t>
  </si>
  <si>
    <t>Shop</t>
  </si>
  <si>
    <r>
      <t xml:space="preserve">Shop No.
</t>
    </r>
    <r>
      <rPr>
        <b/>
        <sz val="11"/>
        <rFont val="Times New Roman"/>
        <family val="1"/>
      </rPr>
      <t>(Approved Plan)</t>
    </r>
  </si>
  <si>
    <t>Office</t>
  </si>
  <si>
    <t>2nd Podium Floor For Parking</t>
  </si>
  <si>
    <t>-</t>
  </si>
  <si>
    <t>Firtness Center &amp; Driver Room</t>
  </si>
  <si>
    <t>3rd Floor For Residential, Garden Podium &amp; Part Creach, Society Office, Firtness Center &amp; Driver Room</t>
  </si>
  <si>
    <t>2BHK</t>
  </si>
  <si>
    <t>1BHK</t>
  </si>
  <si>
    <t xml:space="preserve"> Refuge Area</t>
  </si>
  <si>
    <t>12th Floor</t>
  </si>
  <si>
    <t>13th Floor (Part Refuge Area)</t>
  </si>
  <si>
    <t>Refuge Area</t>
  </si>
  <si>
    <t>Flats - 147, Shops - 10, Offices - 10</t>
  </si>
  <si>
    <t>1st Floor For Commercial &amp; Part Parking Area</t>
  </si>
  <si>
    <t>Creche &amp; Society Office</t>
  </si>
  <si>
    <t>Parking Area</t>
  </si>
  <si>
    <t xml:space="preserve">SALEBLE AREA CHECK </t>
  </si>
  <si>
    <t>Mr. Abhishek 8080110370</t>
  </si>
  <si>
    <t>18.972889,73.076611</t>
  </si>
  <si>
    <t>6.2 KM from Panvel Railway Station</t>
  </si>
  <si>
    <t>https://maps.app.goo.gl/sjtShXRe6jhVMrjS8</t>
  </si>
  <si>
    <t>Pushpak Nagar</t>
  </si>
  <si>
    <t>Bhagwati Elysia 1</t>
  </si>
  <si>
    <t>Internal Road</t>
  </si>
  <si>
    <t>Panvel West</t>
  </si>
  <si>
    <t>Plot No.37</t>
  </si>
  <si>
    <t>Plot No.03</t>
  </si>
  <si>
    <t>Plot No.05</t>
  </si>
  <si>
    <t>18.00 Mt. Wide Road</t>
  </si>
  <si>
    <t>Open Plot</t>
  </si>
  <si>
    <t>Building</t>
  </si>
  <si>
    <t>Carpet + Enclosed Balcony Area</t>
  </si>
  <si>
    <t>Open Balcony + Chajja Area</t>
  </si>
  <si>
    <t>Builder Saleable Area</t>
  </si>
  <si>
    <t>We considered Gross carpet area = Net carpet + Enclose Balcony + Open Balcony + Chajja Area</t>
  </si>
  <si>
    <t>Approved Plans, CC, Builder Saleable Area, Cost Sheet</t>
  </si>
  <si>
    <t>1B + Gr + P1&amp; P2 + 1st to 11th Floor (Net Builtup Area 10009.4 Sq.M)
Res. Unit - 147 &amp; Comm. Unit - 20</t>
  </si>
  <si>
    <t xml:space="preserve">Commencement-CC No
Valid Up to: </t>
  </si>
  <si>
    <t>8th Floor (Part Refuge Area)</t>
  </si>
  <si>
    <t>11th Floor</t>
  </si>
  <si>
    <t>4th to 7th, 9th to 10th Floor</t>
  </si>
  <si>
    <t>5500 to 5650 Flat No. 1104 Salable area 1195 to 1204 on 19/11/2024 by smith</t>
  </si>
  <si>
    <t>Recommended Rates/Other Charges of the Property have been revised on 19/11/2024</t>
  </si>
  <si>
    <t>1L to 1.5L 19/11/2024</t>
  </si>
  <si>
    <t>Ravindra Vishwakarma</t>
  </si>
  <si>
    <t>Mr. Mhatre 91545673732</t>
  </si>
  <si>
    <t>Shruti Tathare</t>
  </si>
  <si>
    <t>Construction work is in process at the time of Visit.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</si>
</sst>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 numFmtId="169" formatCode="0.0000"/>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
      <sz val="14"/>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48">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68" fontId="7" fillId="0" borderId="0" xfId="1" applyNumberFormat="1" applyFont="1" applyAlignment="1">
      <alignment horizontal="center" vertical="center"/>
    </xf>
    <xf numFmtId="9" fontId="13" fillId="0" borderId="16"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1" fontId="12" fillId="0" borderId="1" xfId="1" applyNumberFormat="1" applyFont="1" applyFill="1" applyBorder="1" applyAlignment="1" applyProtection="1">
      <alignment horizontal="center" vertical="center" wrapText="1"/>
      <protection locked="0"/>
    </xf>
    <xf numFmtId="1" fontId="7" fillId="0" borderId="0" xfId="0" applyNumberFormat="1" applyFont="1" applyAlignment="1">
      <alignment horizontal="center" vertical="center"/>
    </xf>
    <xf numFmtId="1" fontId="7" fillId="0" borderId="1" xfId="1" applyNumberFormat="1" applyFont="1" applyBorder="1" applyAlignment="1">
      <alignment horizontal="center" vertical="center"/>
    </xf>
    <xf numFmtId="1" fontId="32" fillId="0" borderId="0" xfId="1" applyNumberFormat="1" applyFont="1" applyAlignment="1">
      <alignment horizontal="center" vertical="center" wrapText="1"/>
    </xf>
    <xf numFmtId="0" fontId="7" fillId="0" borderId="0" xfId="1" applyFont="1" applyAlignment="1">
      <alignment horizontal="center" vertical="center" wrapText="1"/>
    </xf>
    <xf numFmtId="1" fontId="6" fillId="0" borderId="1" xfId="1" applyNumberFormat="1" applyFont="1" applyBorder="1" applyAlignment="1" applyProtection="1">
      <alignment horizontal="center" vertical="center" wrapText="1"/>
      <protection locked="0"/>
    </xf>
    <xf numFmtId="1" fontId="13" fillId="0" borderId="3" xfId="1" applyNumberFormat="1" applyFont="1" applyBorder="1" applyAlignment="1" applyProtection="1">
      <alignment horizontal="center" vertical="top" wrapText="1"/>
      <protection locked="0"/>
    </xf>
    <xf numFmtId="0" fontId="7" fillId="0" borderId="0" xfId="1" applyFont="1" applyAlignment="1">
      <alignment horizontal="center" vertical="center"/>
    </xf>
    <xf numFmtId="0" fontId="12"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top" wrapText="1"/>
      <protection locked="0"/>
    </xf>
    <xf numFmtId="164" fontId="7" fillId="0" borderId="0" xfId="1" applyNumberFormat="1" applyFont="1" applyAlignment="1">
      <alignment horizontal="center" vertical="center"/>
    </xf>
    <xf numFmtId="169" fontId="7" fillId="0" borderId="0" xfId="1" applyNumberFormat="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20" fillId="2" borderId="0" xfId="0" applyFont="1" applyFill="1"/>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 fontId="12" fillId="0" borderId="8"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6" fillId="0" borderId="3" xfId="1" applyFont="1" applyBorder="1" applyAlignment="1" applyProtection="1">
      <alignment horizontal="left" vertical="top" wrapText="1"/>
      <protection locked="0"/>
    </xf>
    <xf numFmtId="0" fontId="8" fillId="0" borderId="16" xfId="1" applyFont="1" applyBorder="1" applyAlignment="1" applyProtection="1">
      <alignment horizontal="center" vertical="top"/>
      <protection locked="0"/>
    </xf>
    <xf numFmtId="1" fontId="6" fillId="0" borderId="21"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horizontal="center" vertical="top" wrapText="1"/>
      <protection locked="0"/>
    </xf>
    <xf numFmtId="1" fontId="7" fillId="0" borderId="9" xfId="0" applyNumberFormat="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7" fillId="0" borderId="0" xfId="1" applyFont="1" applyAlignment="1">
      <alignment horizontal="center" vertical="center"/>
    </xf>
    <xf numFmtId="1" fontId="13" fillId="0" borderId="8" xfId="1" applyNumberFormat="1" applyFont="1" applyBorder="1" applyAlignment="1" applyProtection="1">
      <alignment horizontal="center" vertical="center" wrapText="1"/>
      <protection locked="0"/>
    </xf>
    <xf numFmtId="1" fontId="13" fillId="0" borderId="21" xfId="1" applyNumberFormat="1" applyFont="1" applyBorder="1" applyAlignment="1" applyProtection="1">
      <alignment horizontal="center" vertical="center" wrapText="1"/>
      <protection locked="0"/>
    </xf>
    <xf numFmtId="1" fontId="13" fillId="0" borderId="9" xfId="1" applyNumberFormat="1" applyFont="1" applyBorder="1" applyAlignment="1" applyProtection="1">
      <alignment horizontal="center" vertical="center"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0" fontId="12" fillId="0" borderId="18" xfId="1" applyFont="1" applyBorder="1" applyAlignment="1" applyProtection="1">
      <alignment horizontal="left"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8" fillId="0" borderId="16" xfId="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 fontId="12" fillId="0" borderId="21" xfId="1" applyNumberFormat="1" applyFont="1" applyBorder="1" applyAlignment="1" applyProtection="1">
      <alignment horizontal="center" vertical="center"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8</xdr:col>
      <xdr:colOff>706091</xdr:colOff>
      <xdr:row>15</xdr:row>
      <xdr:rowOff>499854</xdr:rowOff>
    </xdr:from>
    <xdr:to>
      <xdr:col>15</xdr:col>
      <xdr:colOff>262088</xdr:colOff>
      <xdr:row>22</xdr:row>
      <xdr:rowOff>78474</xdr:rowOff>
    </xdr:to>
    <xdr:pic>
      <xdr:nvPicPr>
        <xdr:cNvPr id="2" name="Picture 1"/>
        <xdr:cNvPicPr>
          <a:picLocks noChangeAspect="1"/>
        </xdr:cNvPicPr>
      </xdr:nvPicPr>
      <xdr:blipFill>
        <a:blip xmlns:r="http://schemas.openxmlformats.org/officeDocument/2006/relationships" r:embed="rId1"/>
        <a:stretch>
          <a:fillRect/>
        </a:stretch>
      </xdr:blipFill>
      <xdr:spPr>
        <a:xfrm>
          <a:off x="7021166" y="4090779"/>
          <a:ext cx="5547222" cy="1474923"/>
        </a:xfrm>
        <a:prstGeom prst="rect">
          <a:avLst/>
        </a:prstGeom>
      </xdr:spPr>
    </xdr:pic>
    <xdr:clientData/>
  </xdr:twoCellAnchor>
  <xdr:twoCellAnchor>
    <xdr:from>
      <xdr:col>1</xdr:col>
      <xdr:colOff>542334</xdr:colOff>
      <xdr:row>315</xdr:row>
      <xdr:rowOff>148317</xdr:rowOff>
    </xdr:from>
    <xdr:to>
      <xdr:col>6</xdr:col>
      <xdr:colOff>249927</xdr:colOff>
      <xdr:row>339</xdr:row>
      <xdr:rowOff>147097</xdr:rowOff>
    </xdr:to>
    <xdr:grpSp>
      <xdr:nvGrpSpPr>
        <xdr:cNvPr id="12" name="Group 11"/>
        <xdr:cNvGrpSpPr/>
      </xdr:nvGrpSpPr>
      <xdr:grpSpPr>
        <a:xfrm>
          <a:off x="1304334" y="65280267"/>
          <a:ext cx="3793818" cy="4799380"/>
          <a:chOff x="1028109" y="60551785"/>
          <a:chExt cx="3784293" cy="4897351"/>
        </a:xfrm>
      </xdr:grpSpPr>
      <xdr:pic>
        <xdr:nvPicPr>
          <xdr:cNvPr id="4" name="Picture 3"/>
          <xdr:cNvPicPr>
            <a:picLocks noChangeAspect="1"/>
          </xdr:cNvPicPr>
        </xdr:nvPicPr>
        <xdr:blipFill>
          <a:blip xmlns:r="http://schemas.openxmlformats.org/officeDocument/2006/relationships" r:embed="rId2"/>
          <a:stretch>
            <a:fillRect/>
          </a:stretch>
        </xdr:blipFill>
        <xdr:spPr>
          <a:xfrm>
            <a:off x="1028109" y="60551785"/>
            <a:ext cx="3784293" cy="4897351"/>
          </a:xfrm>
          <a:prstGeom prst="rect">
            <a:avLst/>
          </a:prstGeom>
          <a:ln>
            <a:solidFill>
              <a:sysClr val="windowText" lastClr="000000"/>
            </a:solidFill>
          </a:ln>
        </xdr:spPr>
      </xdr:pic>
      <xdr:grpSp>
        <xdr:nvGrpSpPr>
          <xdr:cNvPr id="5" name="Group 4"/>
          <xdr:cNvGrpSpPr/>
        </xdr:nvGrpSpPr>
        <xdr:grpSpPr>
          <a:xfrm rot="14203084">
            <a:off x="3429000" y="64892463"/>
            <a:ext cx="359227" cy="549779"/>
            <a:chOff x="26903" y="-29837"/>
            <a:chExt cx="221944" cy="688514"/>
          </a:xfrm>
        </xdr:grpSpPr>
        <xdr:sp macro="" textlink="">
          <xdr:nvSpPr>
            <xdr:cNvPr id="6" name="TextBox 7"/>
            <xdr:cNvSpPr txBox="1"/>
          </xdr:nvSpPr>
          <xdr:spPr>
            <a:xfrm>
              <a:off x="26903" y="-29837"/>
              <a:ext cx="221944" cy="309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600" b="1"/>
                <a:t>N</a:t>
              </a:r>
            </a:p>
          </xdr:txBody>
        </xdr:sp>
        <xdr:cxnSp macro="">
          <xdr:nvCxnSpPr>
            <xdr:cNvPr id="7" name="Straight Arrow Connector 6"/>
            <xdr:cNvCxnSpPr/>
          </xdr:nvCxnSpPr>
          <xdr:spPr>
            <a:xfrm flipV="1">
              <a:off x="121015" y="334676"/>
              <a:ext cx="0" cy="32400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51934</xdr:colOff>
      <xdr:row>299</xdr:row>
      <xdr:rowOff>131265</xdr:rowOff>
    </xdr:from>
    <xdr:to>
      <xdr:col>5</xdr:col>
      <xdr:colOff>709159</xdr:colOff>
      <xdr:row>314</xdr:row>
      <xdr:rowOff>93250</xdr:rowOff>
    </xdr:to>
    <xdr:grpSp>
      <xdr:nvGrpSpPr>
        <xdr:cNvPr id="11" name="Group 10"/>
        <xdr:cNvGrpSpPr/>
      </xdr:nvGrpSpPr>
      <xdr:grpSpPr>
        <a:xfrm rot="5400000">
          <a:off x="1733054" y="61943795"/>
          <a:ext cx="2962360" cy="3200400"/>
          <a:chOff x="1456829" y="57149999"/>
          <a:chExt cx="2952835" cy="3265714"/>
        </a:xfrm>
      </xdr:grpSpPr>
      <xdr:pic>
        <xdr:nvPicPr>
          <xdr:cNvPr id="3" name="Picture 2"/>
          <xdr:cNvPicPr>
            <a:picLocks noChangeAspect="1"/>
          </xdr:cNvPicPr>
        </xdr:nvPicPr>
        <xdr:blipFill>
          <a:blip xmlns:r="http://schemas.openxmlformats.org/officeDocument/2006/relationships" r:embed="rId3"/>
          <a:stretch>
            <a:fillRect/>
          </a:stretch>
        </xdr:blipFill>
        <xdr:spPr>
          <a:xfrm>
            <a:off x="1456829" y="57149999"/>
            <a:ext cx="2952835" cy="3265714"/>
          </a:xfrm>
          <a:prstGeom prst="rect">
            <a:avLst/>
          </a:prstGeom>
          <a:ln>
            <a:solidFill>
              <a:sysClr val="windowText" lastClr="000000"/>
            </a:solidFill>
          </a:ln>
        </xdr:spPr>
      </xdr:pic>
      <xdr:grpSp>
        <xdr:nvGrpSpPr>
          <xdr:cNvPr id="8" name="Group 7"/>
          <xdr:cNvGrpSpPr/>
        </xdr:nvGrpSpPr>
        <xdr:grpSpPr>
          <a:xfrm rot="14203084">
            <a:off x="3728357" y="59871427"/>
            <a:ext cx="359227" cy="549779"/>
            <a:chOff x="26903" y="-29837"/>
            <a:chExt cx="221944" cy="688514"/>
          </a:xfrm>
        </xdr:grpSpPr>
        <xdr:sp macro="" textlink="">
          <xdr:nvSpPr>
            <xdr:cNvPr id="9" name="TextBox 7"/>
            <xdr:cNvSpPr txBox="1"/>
          </xdr:nvSpPr>
          <xdr:spPr>
            <a:xfrm>
              <a:off x="26903" y="-29837"/>
              <a:ext cx="221944" cy="309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600" b="1"/>
                <a:t>N</a:t>
              </a:r>
            </a:p>
          </xdr:txBody>
        </xdr:sp>
        <xdr:cxnSp macro="">
          <xdr:nvCxnSpPr>
            <xdr:cNvPr id="10" name="Straight Arrow Connector 9"/>
            <xdr:cNvCxnSpPr/>
          </xdr:nvCxnSpPr>
          <xdr:spPr>
            <a:xfrm flipV="1">
              <a:off x="121015" y="334676"/>
              <a:ext cx="0" cy="32400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8</xdr:col>
      <xdr:colOff>1019175</xdr:colOff>
      <xdr:row>51</xdr:row>
      <xdr:rowOff>314325</xdr:rowOff>
    </xdr:from>
    <xdr:to>
      <xdr:col>21</xdr:col>
      <xdr:colOff>39364</xdr:colOff>
      <xdr:row>63</xdr:row>
      <xdr:rowOff>76396</xdr:rowOff>
    </xdr:to>
    <xdr:pic>
      <xdr:nvPicPr>
        <xdr:cNvPr id="13" name="Picture 12"/>
        <xdr:cNvPicPr>
          <a:picLocks noChangeAspect="1"/>
        </xdr:cNvPicPr>
      </xdr:nvPicPr>
      <xdr:blipFill>
        <a:blip xmlns:r="http://schemas.openxmlformats.org/officeDocument/2006/relationships" r:embed="rId4"/>
        <a:stretch>
          <a:fillRect/>
        </a:stretch>
      </xdr:blipFill>
      <xdr:spPr>
        <a:xfrm>
          <a:off x="7334250" y="12496800"/>
          <a:ext cx="9059539" cy="1400370"/>
        </a:xfrm>
        <a:prstGeom prst="rect">
          <a:avLst/>
        </a:prstGeom>
      </xdr:spPr>
    </xdr:pic>
    <xdr:clientData/>
  </xdr:twoCellAnchor>
  <xdr:twoCellAnchor editAs="oneCell">
    <xdr:from>
      <xdr:col>8</xdr:col>
      <xdr:colOff>352425</xdr:colOff>
      <xdr:row>39</xdr:row>
      <xdr:rowOff>115127</xdr:rowOff>
    </xdr:from>
    <xdr:to>
      <xdr:col>14</xdr:col>
      <xdr:colOff>305809</xdr:colOff>
      <xdr:row>51</xdr:row>
      <xdr:rowOff>29152</xdr:rowOff>
    </xdr:to>
    <xdr:pic>
      <xdr:nvPicPr>
        <xdr:cNvPr id="14" name="Picture 13"/>
        <xdr:cNvPicPr>
          <a:picLocks noChangeAspect="1"/>
        </xdr:cNvPicPr>
      </xdr:nvPicPr>
      <xdr:blipFill>
        <a:blip xmlns:r="http://schemas.openxmlformats.org/officeDocument/2006/relationships" r:embed="rId5"/>
        <a:stretch>
          <a:fillRect/>
        </a:stretch>
      </xdr:blipFill>
      <xdr:spPr>
        <a:xfrm>
          <a:off x="6667500" y="9135302"/>
          <a:ext cx="5134984" cy="2942975"/>
        </a:xfrm>
        <a:prstGeom prst="rect">
          <a:avLst/>
        </a:prstGeom>
      </xdr:spPr>
    </xdr:pic>
    <xdr:clientData/>
  </xdr:twoCellAnchor>
  <xdr:twoCellAnchor editAs="oneCell">
    <xdr:from>
      <xdr:col>12</xdr:col>
      <xdr:colOff>39221</xdr:colOff>
      <xdr:row>114</xdr:row>
      <xdr:rowOff>82924</xdr:rowOff>
    </xdr:from>
    <xdr:to>
      <xdr:col>18</xdr:col>
      <xdr:colOff>152554</xdr:colOff>
      <xdr:row>138</xdr:row>
      <xdr:rowOff>73399</xdr:rowOff>
    </xdr:to>
    <xdr:pic>
      <xdr:nvPicPr>
        <xdr:cNvPr id="15" name="Picture 14"/>
        <xdr:cNvPicPr>
          <a:picLocks noChangeAspect="1"/>
        </xdr:cNvPicPr>
      </xdr:nvPicPr>
      <xdr:blipFill>
        <a:blip xmlns:r="http://schemas.openxmlformats.org/officeDocument/2006/relationships" r:embed="rId6"/>
        <a:stretch>
          <a:fillRect/>
        </a:stretch>
      </xdr:blipFill>
      <xdr:spPr>
        <a:xfrm>
          <a:off x="9900397" y="24892748"/>
          <a:ext cx="4550863" cy="4988298"/>
        </a:xfrm>
        <a:prstGeom prst="rect">
          <a:avLst/>
        </a:prstGeom>
      </xdr:spPr>
    </xdr:pic>
    <xdr:clientData/>
  </xdr:twoCellAnchor>
  <xdr:twoCellAnchor editAs="oneCell">
    <xdr:from>
      <xdr:col>14</xdr:col>
      <xdr:colOff>246531</xdr:colOff>
      <xdr:row>146</xdr:row>
      <xdr:rowOff>12294</xdr:rowOff>
    </xdr:from>
    <xdr:to>
      <xdr:col>23</xdr:col>
      <xdr:colOff>198253</xdr:colOff>
      <xdr:row>160</xdr:row>
      <xdr:rowOff>192906</xdr:rowOff>
    </xdr:to>
    <xdr:pic>
      <xdr:nvPicPr>
        <xdr:cNvPr id="16" name="Picture 15"/>
        <xdr:cNvPicPr>
          <a:picLocks noChangeAspect="1"/>
        </xdr:cNvPicPr>
      </xdr:nvPicPr>
      <xdr:blipFill>
        <a:blip xmlns:r="http://schemas.openxmlformats.org/officeDocument/2006/relationships" r:embed="rId7"/>
        <a:stretch>
          <a:fillRect/>
        </a:stretch>
      </xdr:blipFill>
      <xdr:spPr>
        <a:xfrm>
          <a:off x="11743766" y="32117147"/>
          <a:ext cx="6014105" cy="3004494"/>
        </a:xfrm>
        <a:prstGeom prst="rect">
          <a:avLst/>
        </a:prstGeom>
      </xdr:spPr>
    </xdr:pic>
    <xdr:clientData/>
  </xdr:twoCellAnchor>
  <xdr:twoCellAnchor editAs="oneCell">
    <xdr:from>
      <xdr:col>14</xdr:col>
      <xdr:colOff>267818</xdr:colOff>
      <xdr:row>146</xdr:row>
      <xdr:rowOff>170328</xdr:rowOff>
    </xdr:from>
    <xdr:to>
      <xdr:col>24</xdr:col>
      <xdr:colOff>562945</xdr:colOff>
      <xdr:row>164</xdr:row>
      <xdr:rowOff>189883</xdr:rowOff>
    </xdr:to>
    <xdr:pic>
      <xdr:nvPicPr>
        <xdr:cNvPr id="17" name="Picture 16"/>
        <xdr:cNvPicPr>
          <a:picLocks noChangeAspect="1"/>
        </xdr:cNvPicPr>
      </xdr:nvPicPr>
      <xdr:blipFill>
        <a:blip xmlns:r="http://schemas.openxmlformats.org/officeDocument/2006/relationships" r:embed="rId8"/>
        <a:stretch>
          <a:fillRect/>
        </a:stretch>
      </xdr:blipFill>
      <xdr:spPr>
        <a:xfrm>
          <a:off x="11765053" y="32275181"/>
          <a:ext cx="6962627" cy="3650261"/>
        </a:xfrm>
        <a:prstGeom prst="rect">
          <a:avLst/>
        </a:prstGeom>
      </xdr:spPr>
    </xdr:pic>
    <xdr:clientData/>
  </xdr:twoCellAnchor>
  <xdr:twoCellAnchor editAs="oneCell">
    <xdr:from>
      <xdr:col>11</xdr:col>
      <xdr:colOff>15737</xdr:colOff>
      <xdr:row>164</xdr:row>
      <xdr:rowOff>7186</xdr:rowOff>
    </xdr:from>
    <xdr:to>
      <xdr:col>20</xdr:col>
      <xdr:colOff>273897</xdr:colOff>
      <xdr:row>178</xdr:row>
      <xdr:rowOff>186896</xdr:rowOff>
    </xdr:to>
    <xdr:pic>
      <xdr:nvPicPr>
        <xdr:cNvPr id="18" name="Picture 17"/>
        <xdr:cNvPicPr>
          <a:picLocks noChangeAspect="1"/>
        </xdr:cNvPicPr>
      </xdr:nvPicPr>
      <xdr:blipFill>
        <a:blip xmlns:r="http://schemas.openxmlformats.org/officeDocument/2006/relationships" r:embed="rId9"/>
        <a:stretch>
          <a:fillRect/>
        </a:stretch>
      </xdr:blipFill>
      <xdr:spPr>
        <a:xfrm>
          <a:off x="8959712" y="35544961"/>
          <a:ext cx="7059010" cy="2980060"/>
        </a:xfrm>
        <a:prstGeom prst="rect">
          <a:avLst/>
        </a:prstGeom>
      </xdr:spPr>
    </xdr:pic>
    <xdr:clientData/>
  </xdr:twoCellAnchor>
  <xdr:twoCellAnchor editAs="oneCell">
    <xdr:from>
      <xdr:col>9</xdr:col>
      <xdr:colOff>538442</xdr:colOff>
      <xdr:row>193</xdr:row>
      <xdr:rowOff>73400</xdr:rowOff>
    </xdr:from>
    <xdr:to>
      <xdr:col>19</xdr:col>
      <xdr:colOff>247542</xdr:colOff>
      <xdr:row>211</xdr:row>
      <xdr:rowOff>94635</xdr:rowOff>
    </xdr:to>
    <xdr:pic>
      <xdr:nvPicPr>
        <xdr:cNvPr id="19" name="Picture 18"/>
        <xdr:cNvPicPr>
          <a:picLocks noChangeAspect="1"/>
        </xdr:cNvPicPr>
      </xdr:nvPicPr>
      <xdr:blipFill>
        <a:blip xmlns:r="http://schemas.openxmlformats.org/officeDocument/2006/relationships" r:embed="rId10"/>
        <a:stretch>
          <a:fillRect/>
        </a:stretch>
      </xdr:blipFill>
      <xdr:spPr>
        <a:xfrm>
          <a:off x="8012766" y="38632841"/>
          <a:ext cx="7261864" cy="3640735"/>
        </a:xfrm>
        <a:prstGeom prst="rect">
          <a:avLst/>
        </a:prstGeom>
      </xdr:spPr>
    </xdr:pic>
    <xdr:clientData/>
  </xdr:twoCellAnchor>
  <xdr:twoCellAnchor editAs="oneCell">
    <xdr:from>
      <xdr:col>10</xdr:col>
      <xdr:colOff>462802</xdr:colOff>
      <xdr:row>213</xdr:row>
      <xdr:rowOff>112618</xdr:rowOff>
    </xdr:from>
    <xdr:to>
      <xdr:col>19</xdr:col>
      <xdr:colOff>530995</xdr:colOff>
      <xdr:row>232</xdr:row>
      <xdr:rowOff>24054</xdr:rowOff>
    </xdr:to>
    <xdr:pic>
      <xdr:nvPicPr>
        <xdr:cNvPr id="20" name="Picture 19"/>
        <xdr:cNvPicPr>
          <a:picLocks noChangeAspect="1"/>
        </xdr:cNvPicPr>
      </xdr:nvPicPr>
      <xdr:blipFill>
        <a:blip xmlns:r="http://schemas.openxmlformats.org/officeDocument/2006/relationships" r:embed="rId11"/>
        <a:stretch>
          <a:fillRect/>
        </a:stretch>
      </xdr:blipFill>
      <xdr:spPr>
        <a:xfrm>
          <a:off x="8701927" y="42441718"/>
          <a:ext cx="6859518" cy="3711911"/>
        </a:xfrm>
        <a:prstGeom prst="rect">
          <a:avLst/>
        </a:prstGeom>
      </xdr:spPr>
    </xdr:pic>
    <xdr:clientData/>
  </xdr:twoCellAnchor>
  <xdr:twoCellAnchor editAs="oneCell">
    <xdr:from>
      <xdr:col>8</xdr:col>
      <xdr:colOff>168089</xdr:colOff>
      <xdr:row>91</xdr:row>
      <xdr:rowOff>168089</xdr:rowOff>
    </xdr:from>
    <xdr:to>
      <xdr:col>11</xdr:col>
      <xdr:colOff>504265</xdr:colOff>
      <xdr:row>111</xdr:row>
      <xdr:rowOff>555284</xdr:rowOff>
    </xdr:to>
    <xdr:pic>
      <xdr:nvPicPr>
        <xdr:cNvPr id="21" name="Picture 20"/>
        <xdr:cNvPicPr>
          <a:picLocks noChangeAspect="1"/>
        </xdr:cNvPicPr>
      </xdr:nvPicPr>
      <xdr:blipFill>
        <a:blip xmlns:r="http://schemas.openxmlformats.org/officeDocument/2006/relationships" r:embed="rId12"/>
        <a:stretch>
          <a:fillRect/>
        </a:stretch>
      </xdr:blipFill>
      <xdr:spPr>
        <a:xfrm>
          <a:off x="6477001" y="20058530"/>
          <a:ext cx="2969558" cy="3841970"/>
        </a:xfrm>
        <a:prstGeom prst="rect">
          <a:avLst/>
        </a:prstGeom>
      </xdr:spPr>
    </xdr:pic>
    <xdr:clientData/>
  </xdr:twoCellAnchor>
  <xdr:twoCellAnchor editAs="oneCell">
    <xdr:from>
      <xdr:col>0</xdr:col>
      <xdr:colOff>576734</xdr:colOff>
      <xdr:row>343</xdr:row>
      <xdr:rowOff>52352</xdr:rowOff>
    </xdr:from>
    <xdr:to>
      <xdr:col>7</xdr:col>
      <xdr:colOff>127698</xdr:colOff>
      <xdr:row>362</xdr:row>
      <xdr:rowOff>38728</xdr:rowOff>
    </xdr:to>
    <xdr:pic>
      <xdr:nvPicPr>
        <xdr:cNvPr id="27" name="Picture 26"/>
        <xdr:cNvPicPr>
          <a:picLocks noChangeAspect="1"/>
        </xdr:cNvPicPr>
      </xdr:nvPicPr>
      <xdr:blipFill>
        <a:blip xmlns:r="http://schemas.openxmlformats.org/officeDocument/2006/relationships" r:embed="rId13"/>
        <a:stretch>
          <a:fillRect/>
        </a:stretch>
      </xdr:blipFill>
      <xdr:spPr>
        <a:xfrm>
          <a:off x="576734" y="68720275"/>
          <a:ext cx="5134079" cy="3745089"/>
        </a:xfrm>
        <a:prstGeom prst="rect">
          <a:avLst/>
        </a:prstGeom>
        <a:ln>
          <a:solidFill>
            <a:schemeClr val="tx1"/>
          </a:solidFill>
        </a:ln>
      </xdr:spPr>
    </xdr:pic>
    <xdr:clientData/>
  </xdr:twoCellAnchor>
  <xdr:twoCellAnchor>
    <xdr:from>
      <xdr:col>0</xdr:col>
      <xdr:colOff>363626</xdr:colOff>
      <xdr:row>362</xdr:row>
      <xdr:rowOff>191759</xdr:rowOff>
    </xdr:from>
    <xdr:to>
      <xdr:col>7</xdr:col>
      <xdr:colOff>366347</xdr:colOff>
      <xdr:row>382</xdr:row>
      <xdr:rowOff>193150</xdr:rowOff>
    </xdr:to>
    <xdr:grpSp>
      <xdr:nvGrpSpPr>
        <xdr:cNvPr id="29" name="Group 28"/>
        <xdr:cNvGrpSpPr/>
      </xdr:nvGrpSpPr>
      <xdr:grpSpPr>
        <a:xfrm>
          <a:off x="363626" y="74724884"/>
          <a:ext cx="5584371" cy="4001891"/>
          <a:chOff x="473529" y="72633047"/>
          <a:chExt cx="5585836" cy="3957929"/>
        </a:xfrm>
      </xdr:grpSpPr>
      <xdr:pic>
        <xdr:nvPicPr>
          <xdr:cNvPr id="26" name="Picture 25"/>
          <xdr:cNvPicPr>
            <a:picLocks noChangeAspect="1"/>
          </xdr:cNvPicPr>
        </xdr:nvPicPr>
        <xdr:blipFill>
          <a:blip xmlns:r="http://schemas.openxmlformats.org/officeDocument/2006/relationships" r:embed="rId14"/>
          <a:stretch>
            <a:fillRect/>
          </a:stretch>
        </xdr:blipFill>
        <xdr:spPr>
          <a:xfrm>
            <a:off x="473529" y="72633047"/>
            <a:ext cx="5585836" cy="3957929"/>
          </a:xfrm>
          <a:prstGeom prst="rect">
            <a:avLst/>
          </a:prstGeom>
          <a:ln>
            <a:solidFill>
              <a:schemeClr val="tx1"/>
            </a:solidFill>
          </a:ln>
        </xdr:spPr>
      </xdr:pic>
      <xdr:sp macro="" textlink="">
        <xdr:nvSpPr>
          <xdr:cNvPr id="28" name="Rectangle 27"/>
          <xdr:cNvSpPr/>
        </xdr:nvSpPr>
        <xdr:spPr>
          <a:xfrm rot="1854943">
            <a:off x="2534942" y="74500784"/>
            <a:ext cx="771802" cy="603779"/>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12</xdr:col>
      <xdr:colOff>710452</xdr:colOff>
      <xdr:row>124</xdr:row>
      <xdr:rowOff>89646</xdr:rowOff>
    </xdr:from>
    <xdr:to>
      <xdr:col>24</xdr:col>
      <xdr:colOff>485219</xdr:colOff>
      <xdr:row>139</xdr:row>
      <xdr:rowOff>183148</xdr:rowOff>
    </xdr:to>
    <xdr:pic>
      <xdr:nvPicPr>
        <xdr:cNvPr id="32" name="Picture 31"/>
        <xdr:cNvPicPr>
          <a:picLocks noChangeAspect="1"/>
        </xdr:cNvPicPr>
      </xdr:nvPicPr>
      <xdr:blipFill>
        <a:blip xmlns:r="http://schemas.openxmlformats.org/officeDocument/2006/relationships" r:embed="rId15"/>
        <a:stretch>
          <a:fillRect/>
        </a:stretch>
      </xdr:blipFill>
      <xdr:spPr>
        <a:xfrm>
          <a:off x="10578352" y="26883471"/>
          <a:ext cx="8090092" cy="3512977"/>
        </a:xfrm>
        <a:prstGeom prst="rect">
          <a:avLst/>
        </a:prstGeom>
      </xdr:spPr>
    </xdr:pic>
    <xdr:clientData/>
  </xdr:twoCellAnchor>
  <xdr:twoCellAnchor>
    <xdr:from>
      <xdr:col>0</xdr:col>
      <xdr:colOff>190500</xdr:colOff>
      <xdr:row>256</xdr:row>
      <xdr:rowOff>66674</xdr:rowOff>
    </xdr:from>
    <xdr:to>
      <xdr:col>7</xdr:col>
      <xdr:colOff>580714</xdr:colOff>
      <xdr:row>293</xdr:row>
      <xdr:rowOff>2587</xdr:rowOff>
    </xdr:to>
    <xdr:grpSp>
      <xdr:nvGrpSpPr>
        <xdr:cNvPr id="23" name="Group 22"/>
        <xdr:cNvGrpSpPr/>
      </xdr:nvGrpSpPr>
      <xdr:grpSpPr>
        <a:xfrm>
          <a:off x="190500" y="53397149"/>
          <a:ext cx="5971864" cy="7336838"/>
          <a:chOff x="190500" y="53397149"/>
          <a:chExt cx="5971864" cy="7336838"/>
        </a:xfrm>
      </xdr:grpSpPr>
      <xdr:pic>
        <xdr:nvPicPr>
          <xdr:cNvPr id="43" name="Picture 42" descr="https://vsjcllp.vsjadon.com/upload/insp-226019-1525.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2724150" y="58573987"/>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26019-843.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190500" y="53397149"/>
            <a:ext cx="2115917" cy="28241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26019-877.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2400300" y="53401911"/>
            <a:ext cx="3762064" cy="28241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26019-916.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1000125" y="585692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26019-1512.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1000125" y="563213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26019-849.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a:ext>
            </a:extLst>
          </a:blip>
          <a:srcRect/>
          <a:stretch>
            <a:fillRect/>
          </a:stretch>
        </xdr:blipFill>
        <xdr:spPr bwMode="auto">
          <a:xfrm>
            <a:off x="2724150" y="56321325"/>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sjtShXRe6jhVMrjS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42"/>
  <sheetViews>
    <sheetView tabSelected="1" view="pageBreakPreview" zoomScaleNormal="100" zoomScaleSheetLayoutView="100" zoomScalePageLayoutView="85" workbookViewId="0">
      <selection activeCell="C81" sqref="C81"/>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88" t="s">
        <v>160</v>
      </c>
      <c r="B1" s="188"/>
      <c r="C1" s="188"/>
      <c r="D1" s="188"/>
      <c r="E1" s="188"/>
      <c r="F1" s="188"/>
      <c r="G1" s="188"/>
      <c r="H1" s="188"/>
    </row>
    <row r="2" spans="1:26" ht="16.5" customHeight="1" x14ac:dyDescent="0.25">
      <c r="A2" s="189" t="s">
        <v>0</v>
      </c>
      <c r="B2" s="189"/>
      <c r="C2" s="189"/>
      <c r="D2" s="189"/>
      <c r="E2" s="189"/>
      <c r="F2" s="189"/>
      <c r="G2" s="189"/>
      <c r="H2" s="189"/>
    </row>
    <row r="3" spans="1:26" x14ac:dyDescent="0.25">
      <c r="A3" s="148" t="s">
        <v>1</v>
      </c>
      <c r="B3" s="148"/>
      <c r="C3" s="148"/>
      <c r="D3" s="148"/>
      <c r="E3" s="148" t="str">
        <f ca="1">TEXT(TODAY(),"DD/MM/YYYY")</f>
        <v>08/04/2025</v>
      </c>
      <c r="F3" s="148"/>
      <c r="G3" s="148"/>
      <c r="H3" s="148"/>
      <c r="K3" s="52" t="s">
        <v>233</v>
      </c>
      <c r="L3" s="49" t="s">
        <v>231</v>
      </c>
      <c r="M3" s="49" t="s">
        <v>236</v>
      </c>
      <c r="N3" s="49" t="s">
        <v>234</v>
      </c>
      <c r="O3" s="49" t="s">
        <v>235</v>
      </c>
      <c r="P3" s="49" t="s">
        <v>237</v>
      </c>
    </row>
    <row r="4" spans="1:26" ht="15" customHeight="1" x14ac:dyDescent="0.25">
      <c r="A4" s="148" t="s">
        <v>230</v>
      </c>
      <c r="B4" s="148"/>
      <c r="C4" s="148"/>
      <c r="D4" s="148"/>
      <c r="E4" s="148" t="s">
        <v>231</v>
      </c>
      <c r="F4" s="148"/>
      <c r="G4" s="148"/>
      <c r="H4" s="148"/>
      <c r="K4" s="48" t="s">
        <v>232</v>
      </c>
      <c r="L4" s="49" t="s">
        <v>166</v>
      </c>
      <c r="M4" s="49" t="s">
        <v>241</v>
      </c>
      <c r="N4" s="49" t="s">
        <v>243</v>
      </c>
      <c r="O4" s="49" t="s">
        <v>245</v>
      </c>
      <c r="P4" s="49"/>
    </row>
    <row r="5" spans="1:26" ht="15" customHeight="1" x14ac:dyDescent="0.25">
      <c r="A5" s="148" t="s">
        <v>2</v>
      </c>
      <c r="B5" s="148"/>
      <c r="C5" s="148"/>
      <c r="D5" s="148"/>
      <c r="E5" s="148" t="s">
        <v>239</v>
      </c>
      <c r="F5" s="148"/>
      <c r="G5" s="148"/>
      <c r="H5" s="148"/>
      <c r="K5" s="48"/>
      <c r="L5" s="49" t="s">
        <v>238</v>
      </c>
      <c r="M5" s="49" t="s">
        <v>242</v>
      </c>
      <c r="N5" s="49" t="s">
        <v>244</v>
      </c>
      <c r="O5" s="49" t="s">
        <v>246</v>
      </c>
      <c r="P5" s="49"/>
    </row>
    <row r="6" spans="1:26" x14ac:dyDescent="0.25">
      <c r="A6" s="148" t="s">
        <v>3</v>
      </c>
      <c r="B6" s="148"/>
      <c r="C6" s="148"/>
      <c r="D6" s="148"/>
      <c r="E6" s="191">
        <v>45754</v>
      </c>
      <c r="F6" s="148"/>
      <c r="G6" s="148"/>
      <c r="H6" s="148"/>
      <c r="K6" s="48"/>
      <c r="L6" s="49" t="s">
        <v>239</v>
      </c>
      <c r="M6" s="49"/>
      <c r="N6" s="49"/>
      <c r="O6" s="49" t="s">
        <v>247</v>
      </c>
      <c r="P6" s="49"/>
    </row>
    <row r="7" spans="1:26" ht="16.5" customHeight="1" x14ac:dyDescent="0.25">
      <c r="A7" s="148" t="s">
        <v>4</v>
      </c>
      <c r="B7" s="148"/>
      <c r="C7" s="148"/>
      <c r="D7" s="148"/>
      <c r="E7" s="148" t="s">
        <v>329</v>
      </c>
      <c r="F7" s="148"/>
      <c r="G7" s="148"/>
      <c r="H7" s="148"/>
      <c r="K7" s="48"/>
      <c r="L7" s="49" t="s">
        <v>240</v>
      </c>
      <c r="M7" s="49"/>
      <c r="N7" s="49"/>
      <c r="O7" s="49" t="s">
        <v>247</v>
      </c>
      <c r="P7" s="49"/>
    </row>
    <row r="8" spans="1:26" ht="15" customHeight="1" x14ac:dyDescent="0.25">
      <c r="A8" s="148" t="s">
        <v>5</v>
      </c>
      <c r="B8" s="148"/>
      <c r="C8" s="148"/>
      <c r="D8" s="148"/>
      <c r="E8" s="148" t="str">
        <f>E7</f>
        <v>Royal Buildcon</v>
      </c>
      <c r="F8" s="148"/>
      <c r="G8" s="148"/>
      <c r="H8" s="148"/>
      <c r="K8" s="48"/>
      <c r="L8" s="49"/>
      <c r="M8" s="49"/>
      <c r="N8" s="49"/>
      <c r="O8" s="49" t="s">
        <v>248</v>
      </c>
      <c r="P8" s="49"/>
    </row>
    <row r="9" spans="1:26" x14ac:dyDescent="0.25">
      <c r="A9" s="148" t="s">
        <v>6</v>
      </c>
      <c r="B9" s="148"/>
      <c r="C9" s="148"/>
      <c r="D9" s="148"/>
      <c r="E9" s="190" t="s">
        <v>330</v>
      </c>
      <c r="F9" s="190"/>
      <c r="G9" s="190"/>
      <c r="H9" s="190"/>
      <c r="K9" s="48"/>
      <c r="L9" s="49"/>
      <c r="M9" s="49"/>
      <c r="N9" s="49"/>
      <c r="O9" s="49" t="s">
        <v>249</v>
      </c>
      <c r="P9" s="49"/>
    </row>
    <row r="10" spans="1:26" x14ac:dyDescent="0.25">
      <c r="A10" s="148" t="s">
        <v>163</v>
      </c>
      <c r="B10" s="148"/>
      <c r="C10" s="148"/>
      <c r="D10" s="148"/>
      <c r="E10" s="148" t="s">
        <v>331</v>
      </c>
      <c r="F10" s="148"/>
      <c r="G10" s="148"/>
      <c r="H10" s="148"/>
      <c r="K10" s="48"/>
      <c r="L10" s="49"/>
      <c r="M10" s="49"/>
      <c r="N10" s="49"/>
      <c r="O10" s="49"/>
      <c r="P10" s="49"/>
    </row>
    <row r="11" spans="1:26" x14ac:dyDescent="0.25">
      <c r="A11" s="148" t="s">
        <v>164</v>
      </c>
      <c r="B11" s="148"/>
      <c r="C11" s="148"/>
      <c r="D11" s="148"/>
      <c r="E11" s="148" t="s">
        <v>389</v>
      </c>
      <c r="F11" s="148"/>
      <c r="G11" s="148"/>
      <c r="H11" s="148"/>
      <c r="I11" s="148" t="s">
        <v>361</v>
      </c>
      <c r="J11" s="148"/>
      <c r="K11" s="148"/>
      <c r="L11" s="148"/>
    </row>
    <row r="12" spans="1:26" x14ac:dyDescent="0.25">
      <c r="A12" s="148" t="s">
        <v>7</v>
      </c>
      <c r="B12" s="148"/>
      <c r="C12" s="148"/>
      <c r="D12" s="148"/>
      <c r="E12" s="148" t="s">
        <v>118</v>
      </c>
      <c r="F12" s="148"/>
      <c r="G12" s="148"/>
      <c r="H12" s="148"/>
    </row>
    <row r="13" spans="1:26" x14ac:dyDescent="0.25">
      <c r="A13" s="148" t="s">
        <v>167</v>
      </c>
      <c r="B13" s="148"/>
      <c r="C13" s="148"/>
      <c r="D13" s="148"/>
      <c r="E13" s="148" t="s">
        <v>28</v>
      </c>
      <c r="F13" s="148"/>
      <c r="G13" s="148"/>
      <c r="H13" s="148"/>
      <c r="S13" s="49" t="s">
        <v>175</v>
      </c>
      <c r="T13" s="49" t="s">
        <v>185</v>
      </c>
      <c r="U13" s="49" t="s">
        <v>168</v>
      </c>
      <c r="V13" s="49" t="s">
        <v>190</v>
      </c>
      <c r="W13" s="49" t="s">
        <v>208</v>
      </c>
      <c r="X13"/>
      <c r="Y13" t="s">
        <v>190</v>
      </c>
      <c r="Z13" t="e">
        <f ca="1">OFFSET($S$13,1,MATCH($G20,$S$13:$W$13,0)-1,15,1)</f>
        <v>#VALUE!</v>
      </c>
    </row>
    <row r="14" spans="1:26" ht="32.25" customHeight="1" x14ac:dyDescent="0.25">
      <c r="A14" s="110" t="s">
        <v>276</v>
      </c>
      <c r="B14" s="110"/>
      <c r="C14" s="110"/>
      <c r="D14" s="110"/>
      <c r="E14" s="147" t="s">
        <v>379</v>
      </c>
      <c r="F14" s="147"/>
      <c r="G14" s="147"/>
      <c r="H14" s="147"/>
      <c r="S14" s="49" t="s">
        <v>176</v>
      </c>
      <c r="T14" s="49" t="s">
        <v>183</v>
      </c>
      <c r="U14" s="49" t="s">
        <v>205</v>
      </c>
      <c r="V14" s="49" t="s">
        <v>191</v>
      </c>
      <c r="W14" s="49" t="s">
        <v>209</v>
      </c>
      <c r="X14"/>
      <c r="Y14"/>
      <c r="Z14"/>
    </row>
    <row r="15" spans="1:26" x14ac:dyDescent="0.25">
      <c r="A15" s="110" t="s">
        <v>8</v>
      </c>
      <c r="B15" s="110"/>
      <c r="C15" s="110"/>
      <c r="D15" s="110"/>
      <c r="E15" s="147" t="s">
        <v>332</v>
      </c>
      <c r="F15" s="148"/>
      <c r="G15" s="148"/>
      <c r="H15" s="148"/>
      <c r="I15" s="103" t="e">
        <f ca="1">OFFSET($D$5,1,MATCH($J13,$D$5:$H$5,0)-1,15,1)</f>
        <v>#N/A</v>
      </c>
      <c r="J15" s="104"/>
      <c r="K15" s="104"/>
      <c r="L15" s="104"/>
      <c r="M15" s="104"/>
      <c r="N15" s="104"/>
      <c r="O15" s="104"/>
      <c r="P15" s="104"/>
      <c r="S15" s="49" t="s">
        <v>177</v>
      </c>
      <c r="T15" s="49" t="s">
        <v>184</v>
      </c>
      <c r="U15" s="49" t="s">
        <v>206</v>
      </c>
      <c r="V15" s="49" t="s">
        <v>192</v>
      </c>
      <c r="W15" s="49" t="s">
        <v>222</v>
      </c>
      <c r="X15"/>
      <c r="Y15"/>
      <c r="Z15"/>
    </row>
    <row r="16" spans="1:26" ht="36.75" customHeight="1" x14ac:dyDescent="0.25">
      <c r="A16" s="119" t="s">
        <v>9</v>
      </c>
      <c r="B16" s="119"/>
      <c r="C16" s="119" t="str">
        <f>CONCATENATE((IF(OR(E9="",E9="NA"),"",E9)),", ",(IF(OR(A17="",A17="NA"),"",A17)),".",(IF(OR(C17="",C17="NA"),"",C17)),", near ",(IF(OR(C22="",C22="NA"),"",C22)),", ",(IF(OR(C19="",C19="NA"),"",C19)),", ",(IF(OR(C18="",C18="NA"),"",C18)),", ",(IF(OR(G19="",G19="NA"),"",G19)),", ",(IF(OR(C20="",C20="NA"),"",C20)),", ",(IF(OR(C21="",C21="NA"),"",C21)),", ",(IF(OR(G20="",G20="NA"),"",G20))," - ",(IF(OR(G21="",G21="NA"),"",G21)),".")</f>
        <v>Avencia, Plot No.04, Sector-05, near Bhagwati Elysia 1, Internal Road, Pushpak Nagar, Pushpak (Dapoli), Panvel West, Panvel, Raigad - 410221.</v>
      </c>
      <c r="D16" s="119"/>
      <c r="E16" s="119"/>
      <c r="F16" s="119"/>
      <c r="G16" s="119"/>
      <c r="H16" s="119"/>
      <c r="S16" s="49" t="s">
        <v>178</v>
      </c>
      <c r="T16" s="49" t="s">
        <v>186</v>
      </c>
      <c r="U16" s="49" t="s">
        <v>207</v>
      </c>
      <c r="V16" s="49" t="s">
        <v>193</v>
      </c>
      <c r="W16" s="49" t="s">
        <v>210</v>
      </c>
      <c r="X16"/>
      <c r="Y16"/>
      <c r="Z16"/>
    </row>
    <row r="17" spans="1:26" x14ac:dyDescent="0.25">
      <c r="A17" s="147" t="s">
        <v>333</v>
      </c>
      <c r="B17" s="147"/>
      <c r="C17" s="147" t="s">
        <v>334</v>
      </c>
      <c r="D17" s="147"/>
      <c r="E17" s="147"/>
      <c r="F17" s="147"/>
      <c r="G17" s="147"/>
      <c r="H17" s="147"/>
      <c r="S17" s="49" t="s">
        <v>179</v>
      </c>
      <c r="T17" s="49" t="s">
        <v>187</v>
      </c>
      <c r="U17" s="49" t="s">
        <v>168</v>
      </c>
      <c r="V17" s="49" t="s">
        <v>194</v>
      </c>
      <c r="W17" s="49" t="s">
        <v>211</v>
      </c>
      <c r="X17"/>
      <c r="Y17"/>
      <c r="Z17"/>
    </row>
    <row r="18" spans="1:26" ht="15.75" customHeight="1" x14ac:dyDescent="0.25">
      <c r="A18" s="147" t="s">
        <v>158</v>
      </c>
      <c r="B18" s="147"/>
      <c r="C18" s="147" t="s">
        <v>365</v>
      </c>
      <c r="D18" s="147"/>
      <c r="E18" s="147"/>
      <c r="F18" s="147"/>
      <c r="G18" s="147"/>
      <c r="H18" s="147"/>
      <c r="S18" s="49" t="s">
        <v>180</v>
      </c>
      <c r="T18" s="49" t="s">
        <v>185</v>
      </c>
      <c r="U18" s="49"/>
      <c r="V18" s="49" t="s">
        <v>195</v>
      </c>
      <c r="W18" s="49" t="s">
        <v>212</v>
      </c>
      <c r="X18"/>
      <c r="Y18"/>
      <c r="Z18"/>
    </row>
    <row r="19" spans="1:26" ht="15.75" customHeight="1" x14ac:dyDescent="0.25">
      <c r="A19" s="119" t="s">
        <v>10</v>
      </c>
      <c r="B19" s="119"/>
      <c r="C19" s="148" t="s">
        <v>367</v>
      </c>
      <c r="D19" s="148"/>
      <c r="E19" s="119" t="s">
        <v>70</v>
      </c>
      <c r="F19" s="119"/>
      <c r="G19" s="147" t="s">
        <v>335</v>
      </c>
      <c r="H19" s="147"/>
      <c r="S19" s="49" t="s">
        <v>181</v>
      </c>
      <c r="T19" s="49" t="s">
        <v>188</v>
      </c>
      <c r="U19" s="49"/>
      <c r="V19" s="49" t="s">
        <v>196</v>
      </c>
      <c r="W19" s="49" t="s">
        <v>213</v>
      </c>
      <c r="X19"/>
      <c r="Y19"/>
      <c r="Z19"/>
    </row>
    <row r="20" spans="1:26" x14ac:dyDescent="0.25">
      <c r="A20" s="110" t="s">
        <v>12</v>
      </c>
      <c r="B20" s="110"/>
      <c r="C20" s="147" t="s">
        <v>368</v>
      </c>
      <c r="D20" s="147"/>
      <c r="E20" s="119" t="s">
        <v>11</v>
      </c>
      <c r="F20" s="119"/>
      <c r="G20" s="192" t="s">
        <v>190</v>
      </c>
      <c r="H20" s="192"/>
      <c r="S20" s="49" t="s">
        <v>182</v>
      </c>
      <c r="T20" s="49" t="s">
        <v>189</v>
      </c>
      <c r="U20" s="49"/>
      <c r="V20" s="49" t="s">
        <v>197</v>
      </c>
      <c r="W20" s="49" t="s">
        <v>214</v>
      </c>
      <c r="X20"/>
      <c r="Y20"/>
      <c r="Z20"/>
    </row>
    <row r="21" spans="1:26" x14ac:dyDescent="0.25">
      <c r="A21" s="110" t="s">
        <v>71</v>
      </c>
      <c r="B21" s="110"/>
      <c r="C21" s="147" t="s">
        <v>192</v>
      </c>
      <c r="D21" s="147"/>
      <c r="E21" s="119" t="s">
        <v>13</v>
      </c>
      <c r="F21" s="119"/>
      <c r="G21" s="147">
        <v>410221</v>
      </c>
      <c r="H21" s="147"/>
      <c r="S21" s="49"/>
      <c r="T21" s="49"/>
      <c r="U21" s="49"/>
      <c r="V21" s="49" t="s">
        <v>198</v>
      </c>
      <c r="W21" s="49" t="s">
        <v>215</v>
      </c>
      <c r="X21"/>
      <c r="Y21"/>
      <c r="Z21"/>
    </row>
    <row r="22" spans="1:26" ht="32.25" customHeight="1" x14ac:dyDescent="0.25">
      <c r="A22" s="110" t="s">
        <v>119</v>
      </c>
      <c r="B22" s="110"/>
      <c r="C22" s="147" t="s">
        <v>366</v>
      </c>
      <c r="D22" s="147"/>
      <c r="E22" s="119" t="s">
        <v>14</v>
      </c>
      <c r="F22" s="119"/>
      <c r="G22" s="147" t="s">
        <v>363</v>
      </c>
      <c r="H22" s="147"/>
      <c r="S22" s="49"/>
      <c r="T22" s="49"/>
      <c r="U22" s="49"/>
      <c r="V22" s="49" t="s">
        <v>199</v>
      </c>
      <c r="W22" s="49" t="s">
        <v>216</v>
      </c>
      <c r="X22"/>
      <c r="Y22"/>
      <c r="Z22"/>
    </row>
    <row r="23" spans="1:26" ht="15" customHeight="1" x14ac:dyDescent="0.25">
      <c r="A23" s="119" t="s">
        <v>73</v>
      </c>
      <c r="B23" s="119"/>
      <c r="C23" s="119"/>
      <c r="D23" s="119"/>
      <c r="E23" s="148" t="s">
        <v>15</v>
      </c>
      <c r="F23" s="148"/>
      <c r="G23" s="148"/>
      <c r="H23" s="148"/>
      <c r="S23" s="49"/>
      <c r="T23" s="49"/>
      <c r="U23" s="49"/>
      <c r="V23" s="49" t="s">
        <v>200</v>
      </c>
      <c r="W23" s="49" t="s">
        <v>217</v>
      </c>
      <c r="X23"/>
      <c r="Y23"/>
      <c r="Z23"/>
    </row>
    <row r="24" spans="1:26" ht="18.75" customHeight="1" x14ac:dyDescent="0.25">
      <c r="A24" s="119"/>
      <c r="B24" s="119"/>
      <c r="C24" s="119"/>
      <c r="D24" s="119"/>
      <c r="E24" s="148"/>
      <c r="F24" s="148"/>
      <c r="G24" s="148"/>
      <c r="H24" s="148"/>
      <c r="S24" s="49"/>
      <c r="T24" s="49"/>
      <c r="U24" s="49"/>
      <c r="V24" s="49" t="s">
        <v>201</v>
      </c>
      <c r="W24" s="49" t="s">
        <v>218</v>
      </c>
      <c r="X24"/>
      <c r="Y24"/>
      <c r="Z24"/>
    </row>
    <row r="25" spans="1:26" ht="15" customHeight="1" x14ac:dyDescent="0.25">
      <c r="A25" s="119" t="s">
        <v>16</v>
      </c>
      <c r="B25" s="119"/>
      <c r="C25" s="119"/>
      <c r="D25" s="119"/>
      <c r="E25" s="147" t="s">
        <v>17</v>
      </c>
      <c r="F25" s="147"/>
      <c r="G25" s="147"/>
      <c r="H25" s="147"/>
      <c r="S25" s="49"/>
      <c r="T25" s="49"/>
      <c r="U25" s="49"/>
      <c r="V25" s="49" t="s">
        <v>202</v>
      </c>
      <c r="W25" s="49" t="s">
        <v>219</v>
      </c>
      <c r="X25"/>
      <c r="Y25"/>
      <c r="Z25"/>
    </row>
    <row r="26" spans="1:26" ht="15" customHeight="1" x14ac:dyDescent="0.25">
      <c r="A26" s="110" t="s">
        <v>18</v>
      </c>
      <c r="B26" s="110"/>
      <c r="C26" s="110"/>
      <c r="D26" s="110"/>
      <c r="E26" s="147" t="str">
        <f>IF(AND(G20="Mumbai"),"Upper Class","Middle Class")</f>
        <v>Middle Class</v>
      </c>
      <c r="F26" s="147"/>
      <c r="G26" s="147"/>
      <c r="H26" s="147"/>
      <c r="S26" s="49"/>
      <c r="T26" s="49"/>
      <c r="U26" s="49"/>
      <c r="V26" s="49" t="s">
        <v>203</v>
      </c>
      <c r="W26" s="49" t="s">
        <v>220</v>
      </c>
      <c r="X26"/>
      <c r="Y26"/>
      <c r="Z26"/>
    </row>
    <row r="27" spans="1:26" x14ac:dyDescent="0.25">
      <c r="A27" s="110" t="s">
        <v>19</v>
      </c>
      <c r="B27" s="110"/>
      <c r="C27" s="110"/>
      <c r="D27" s="110"/>
      <c r="E27" s="147" t="s">
        <v>20</v>
      </c>
      <c r="F27" s="147"/>
      <c r="G27" s="147"/>
      <c r="H27" s="147"/>
      <c r="S27" s="49"/>
      <c r="T27" s="49"/>
      <c r="U27" s="49"/>
      <c r="V27" s="49" t="s">
        <v>204</v>
      </c>
      <c r="W27" s="49" t="s">
        <v>221</v>
      </c>
      <c r="X27"/>
      <c r="Y27"/>
      <c r="Z27"/>
    </row>
    <row r="28" spans="1:26" ht="15.75" customHeight="1" x14ac:dyDescent="0.25">
      <c r="A28" s="110" t="s">
        <v>21</v>
      </c>
      <c r="B28" s="110"/>
      <c r="C28" s="110"/>
      <c r="D28" s="110"/>
      <c r="E28" s="147" t="str">
        <f>IF(AND(G20="Mumbai"),"Developed","Developing")</f>
        <v>Developing</v>
      </c>
      <c r="F28" s="147"/>
      <c r="G28" s="147"/>
      <c r="H28" s="147"/>
    </row>
    <row r="29" spans="1:26" x14ac:dyDescent="0.25">
      <c r="A29" s="110" t="s">
        <v>22</v>
      </c>
      <c r="B29" s="110"/>
      <c r="C29" s="110"/>
      <c r="D29" s="110"/>
      <c r="E29" s="147" t="s">
        <v>23</v>
      </c>
      <c r="F29" s="147"/>
      <c r="G29" s="147"/>
      <c r="H29" s="147"/>
    </row>
    <row r="30" spans="1:26" ht="15.75" customHeight="1" x14ac:dyDescent="0.25">
      <c r="A30" s="110" t="s">
        <v>78</v>
      </c>
      <c r="B30" s="110"/>
      <c r="C30" s="110"/>
      <c r="D30" s="110"/>
      <c r="E30" s="147" t="s">
        <v>79</v>
      </c>
      <c r="F30" s="147"/>
      <c r="G30" s="147"/>
      <c r="H30" s="147"/>
    </row>
    <row r="31" spans="1:26" ht="15" customHeight="1" x14ac:dyDescent="0.25">
      <c r="A31" s="110" t="s">
        <v>30</v>
      </c>
      <c r="B31" s="110"/>
      <c r="C31" s="110"/>
      <c r="D31" s="110"/>
      <c r="E31" s="14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47"/>
      <c r="G31" s="147"/>
      <c r="H31" s="147"/>
    </row>
    <row r="32" spans="1:26" ht="15.75" customHeight="1" x14ac:dyDescent="0.25">
      <c r="A32" s="110" t="s">
        <v>90</v>
      </c>
      <c r="B32" s="110"/>
      <c r="C32" s="110"/>
      <c r="D32" s="110"/>
      <c r="E32" s="147" t="s">
        <v>31</v>
      </c>
      <c r="F32" s="147"/>
      <c r="G32" s="147"/>
      <c r="H32" s="147"/>
    </row>
    <row r="33" spans="1:19" s="19" customFormat="1" x14ac:dyDescent="0.25">
      <c r="A33" s="200" t="s">
        <v>91</v>
      </c>
      <c r="B33" s="200"/>
      <c r="C33" s="197" t="s">
        <v>169</v>
      </c>
      <c r="D33" s="198"/>
      <c r="E33" s="199"/>
      <c r="F33" s="197" t="s">
        <v>29</v>
      </c>
      <c r="G33" s="198"/>
      <c r="H33" s="199"/>
      <c r="S33" s="19" t="e">
        <f ca="1">OFFSET($S$13,1,MATCH($G20,$S$13:$W$13,0)-1,15,1)</f>
        <v>#VALUE!</v>
      </c>
    </row>
    <row r="34" spans="1:19" s="19" customFormat="1" x14ac:dyDescent="0.25">
      <c r="A34" s="193" t="s">
        <v>24</v>
      </c>
      <c r="B34" s="193" t="s">
        <v>28</v>
      </c>
      <c r="C34" s="194" t="s">
        <v>369</v>
      </c>
      <c r="D34" s="195"/>
      <c r="E34" s="196"/>
      <c r="F34" s="194" t="s">
        <v>373</v>
      </c>
      <c r="G34" s="195"/>
      <c r="H34" s="196"/>
    </row>
    <row r="35" spans="1:19" x14ac:dyDescent="0.25">
      <c r="A35" s="193" t="s">
        <v>25</v>
      </c>
      <c r="B35" s="193" t="s">
        <v>28</v>
      </c>
      <c r="C35" s="194" t="s">
        <v>372</v>
      </c>
      <c r="D35" s="195"/>
      <c r="E35" s="196"/>
      <c r="F35" s="194" t="s">
        <v>367</v>
      </c>
      <c r="G35" s="195"/>
      <c r="H35" s="196"/>
    </row>
    <row r="36" spans="1:19" s="19" customFormat="1" x14ac:dyDescent="0.25">
      <c r="A36" s="193" t="s">
        <v>27</v>
      </c>
      <c r="B36" s="193" t="s">
        <v>28</v>
      </c>
      <c r="C36" s="194" t="s">
        <v>370</v>
      </c>
      <c r="D36" s="195"/>
      <c r="E36" s="196"/>
      <c r="F36" s="194" t="s">
        <v>374</v>
      </c>
      <c r="G36" s="195"/>
      <c r="H36" s="196"/>
    </row>
    <row r="37" spans="1:19" x14ac:dyDescent="0.25">
      <c r="A37" s="193" t="s">
        <v>26</v>
      </c>
      <c r="B37" s="193" t="s">
        <v>28</v>
      </c>
      <c r="C37" s="194" t="s">
        <v>371</v>
      </c>
      <c r="D37" s="195"/>
      <c r="E37" s="196"/>
      <c r="F37" s="194" t="s">
        <v>373</v>
      </c>
      <c r="G37" s="195"/>
      <c r="H37" s="196"/>
    </row>
    <row r="38" spans="1:19" x14ac:dyDescent="0.25">
      <c r="A38" s="110" t="s">
        <v>277</v>
      </c>
      <c r="B38" s="110"/>
      <c r="C38" s="110"/>
      <c r="D38" s="110"/>
      <c r="E38" s="110"/>
      <c r="F38" s="110"/>
      <c r="G38" s="110"/>
      <c r="H38" s="110"/>
    </row>
    <row r="39" spans="1:19" ht="15.75" customHeight="1" x14ac:dyDescent="0.25">
      <c r="A39" s="110" t="s">
        <v>161</v>
      </c>
      <c r="B39" s="110"/>
      <c r="C39" s="181" t="s">
        <v>362</v>
      </c>
      <c r="D39" s="181"/>
      <c r="E39" s="181"/>
      <c r="F39" s="181"/>
      <c r="G39" s="181"/>
      <c r="H39" s="181"/>
    </row>
    <row r="40" spans="1:19" x14ac:dyDescent="0.25">
      <c r="A40" s="110" t="s">
        <v>157</v>
      </c>
      <c r="B40" s="110"/>
      <c r="C40" s="222" t="s">
        <v>364</v>
      </c>
      <c r="D40" s="147"/>
      <c r="E40" s="147"/>
      <c r="F40" s="147"/>
      <c r="G40" s="147"/>
      <c r="H40" s="147"/>
    </row>
    <row r="41" spans="1:19" x14ac:dyDescent="0.25">
      <c r="A41" s="181" t="s">
        <v>32</v>
      </c>
      <c r="B41" s="181"/>
      <c r="C41" s="181"/>
      <c r="D41" s="181"/>
      <c r="E41" s="181"/>
      <c r="F41" s="181"/>
      <c r="G41" s="181"/>
      <c r="H41" s="181"/>
    </row>
    <row r="42" spans="1:19" x14ac:dyDescent="0.25">
      <c r="A42" s="110" t="s">
        <v>33</v>
      </c>
      <c r="B42" s="110"/>
      <c r="C42" s="110"/>
      <c r="D42" s="110"/>
      <c r="E42" s="201">
        <v>2479.4899999999998</v>
      </c>
      <c r="F42" s="201"/>
      <c r="G42" s="201"/>
      <c r="H42" s="201"/>
    </row>
    <row r="43" spans="1:19" x14ac:dyDescent="0.25">
      <c r="A43" s="110" t="s">
        <v>34</v>
      </c>
      <c r="B43" s="110"/>
      <c r="C43" s="110"/>
      <c r="D43" s="110"/>
      <c r="E43" s="121">
        <v>1.1000000000000001</v>
      </c>
      <c r="F43" s="121"/>
      <c r="G43" s="121"/>
      <c r="H43" s="121"/>
    </row>
    <row r="44" spans="1:19" x14ac:dyDescent="0.25">
      <c r="A44" s="110" t="s">
        <v>35</v>
      </c>
      <c r="B44" s="110"/>
      <c r="C44" s="110"/>
      <c r="D44" s="110"/>
      <c r="E44" s="121">
        <f>E46/E42-E43</f>
        <v>2.9368866178125344</v>
      </c>
      <c r="F44" s="121"/>
      <c r="G44" s="121"/>
      <c r="H44" s="121"/>
    </row>
    <row r="45" spans="1:19" x14ac:dyDescent="0.25">
      <c r="A45" s="110" t="s">
        <v>36</v>
      </c>
      <c r="B45" s="110"/>
      <c r="C45" s="110"/>
      <c r="D45" s="110"/>
      <c r="E45" s="121">
        <f>E43+E44</f>
        <v>4.0368866178125344</v>
      </c>
      <c r="F45" s="121"/>
      <c r="G45" s="121"/>
      <c r="H45" s="121"/>
    </row>
    <row r="46" spans="1:19" x14ac:dyDescent="0.25">
      <c r="A46" s="110" t="s">
        <v>89</v>
      </c>
      <c r="B46" s="110"/>
      <c r="C46" s="110"/>
      <c r="D46" s="110"/>
      <c r="E46" s="203">
        <v>10009.42</v>
      </c>
      <c r="F46" s="203"/>
      <c r="G46" s="203"/>
      <c r="H46" s="203"/>
    </row>
    <row r="47" spans="1:19" x14ac:dyDescent="0.25">
      <c r="A47" s="148" t="s">
        <v>37</v>
      </c>
      <c r="B47" s="148"/>
      <c r="C47" s="148"/>
      <c r="D47" s="148"/>
      <c r="E47" s="148" t="s">
        <v>118</v>
      </c>
      <c r="F47" s="148"/>
      <c r="G47" s="148"/>
      <c r="H47" s="148"/>
    </row>
    <row r="48" spans="1:19" x14ac:dyDescent="0.25">
      <c r="A48" s="181" t="s">
        <v>38</v>
      </c>
      <c r="B48" s="181"/>
      <c r="C48" s="181"/>
      <c r="D48" s="181"/>
      <c r="E48" s="181"/>
      <c r="F48" s="181"/>
      <c r="G48" s="181"/>
      <c r="H48" s="181"/>
    </row>
    <row r="49" spans="1:24" ht="30.75" customHeight="1" x14ac:dyDescent="0.25">
      <c r="A49" s="95" t="s">
        <v>147</v>
      </c>
      <c r="B49" s="96"/>
      <c r="C49" s="230" t="s">
        <v>265</v>
      </c>
      <c r="D49" s="231"/>
      <c r="E49" s="231"/>
      <c r="F49" s="231"/>
      <c r="G49" s="231"/>
      <c r="H49" s="232"/>
      <c r="R49" t="s">
        <v>250</v>
      </c>
      <c r="S49" t="s">
        <v>168</v>
      </c>
      <c r="T49" t="s">
        <v>175</v>
      </c>
      <c r="U49" t="s">
        <v>190</v>
      </c>
      <c r="V49" t="s">
        <v>185</v>
      </c>
    </row>
    <row r="50" spans="1:24" ht="33" customHeight="1" x14ac:dyDescent="0.25">
      <c r="A50" s="95" t="s">
        <v>39</v>
      </c>
      <c r="B50" s="96"/>
      <c r="C50" s="95" t="s">
        <v>336</v>
      </c>
      <c r="D50" s="102"/>
      <c r="E50" s="96"/>
      <c r="F50" s="17" t="s">
        <v>40</v>
      </c>
      <c r="G50" s="97">
        <v>45336</v>
      </c>
      <c r="H50" s="96"/>
      <c r="R50"/>
      <c r="S50" t="s">
        <v>251</v>
      </c>
      <c r="T50" t="s">
        <v>256</v>
      </c>
      <c r="U50" t="s">
        <v>267</v>
      </c>
      <c r="V50" t="s">
        <v>272</v>
      </c>
    </row>
    <row r="51" spans="1:24" ht="33" customHeight="1" x14ac:dyDescent="0.25">
      <c r="A51" s="95" t="s">
        <v>41</v>
      </c>
      <c r="B51" s="96"/>
      <c r="C51" s="95" t="str">
        <f>C50</f>
        <v>CIDCO/BP-18753/TPO(NM &amp; K)/2023/11865</v>
      </c>
      <c r="D51" s="102"/>
      <c r="E51" s="96"/>
      <c r="F51" s="17" t="s">
        <v>40</v>
      </c>
      <c r="G51" s="97">
        <f>G50</f>
        <v>45336</v>
      </c>
      <c r="H51" s="96"/>
      <c r="R51"/>
      <c r="S51" t="s">
        <v>252</v>
      </c>
      <c r="T51" t="s">
        <v>257</v>
      </c>
      <c r="U51" t="s">
        <v>265</v>
      </c>
      <c r="V51" t="s">
        <v>273</v>
      </c>
    </row>
    <row r="52" spans="1:24" s="20" customFormat="1" ht="33" customHeight="1" x14ac:dyDescent="0.25">
      <c r="A52" s="98" t="s">
        <v>381</v>
      </c>
      <c r="B52" s="99"/>
      <c r="C52" s="95" t="str">
        <f>C51</f>
        <v>CIDCO/BP-18753/TPO(NM &amp; K)/2023/11865</v>
      </c>
      <c r="D52" s="102"/>
      <c r="E52" s="96"/>
      <c r="F52" s="17" t="s">
        <v>40</v>
      </c>
      <c r="G52" s="97">
        <f>G51</f>
        <v>45336</v>
      </c>
      <c r="H52" s="96"/>
      <c r="R52"/>
      <c r="S52" t="s">
        <v>253</v>
      </c>
      <c r="T52" t="s">
        <v>258</v>
      </c>
      <c r="U52" t="s">
        <v>255</v>
      </c>
      <c r="V52" t="s">
        <v>274</v>
      </c>
    </row>
    <row r="53" spans="1:24" s="20" customFormat="1" ht="33" customHeight="1" x14ac:dyDescent="0.25">
      <c r="A53" s="100"/>
      <c r="B53" s="101"/>
      <c r="C53" s="95" t="s">
        <v>380</v>
      </c>
      <c r="D53" s="102"/>
      <c r="E53" s="102"/>
      <c r="F53" s="102"/>
      <c r="G53" s="102"/>
      <c r="H53" s="96"/>
      <c r="R53"/>
      <c r="S53" t="s">
        <v>254</v>
      </c>
      <c r="T53" t="s">
        <v>261</v>
      </c>
      <c r="U53" t="s">
        <v>268</v>
      </c>
    </row>
    <row r="54" spans="1:24" s="20" customFormat="1" hidden="1" x14ac:dyDescent="0.25">
      <c r="A54" s="151" t="s">
        <v>278</v>
      </c>
      <c r="B54" s="152"/>
      <c r="C54" s="95" t="str">
        <f>C53</f>
        <v>1B + Gr + P1&amp; P2 + 1st to 11th Floor (Net Builtup Area 10009.4 Sq.M)
Res. Unit - 147 &amp; Comm. Unit - 20</v>
      </c>
      <c r="D54" s="102"/>
      <c r="E54" s="96"/>
      <c r="F54" s="17" t="s">
        <v>40</v>
      </c>
      <c r="G54" s="95"/>
      <c r="H54" s="96"/>
      <c r="R54"/>
      <c r="S54" t="s">
        <v>253</v>
      </c>
      <c r="T54" t="s">
        <v>258</v>
      </c>
      <c r="U54" t="s">
        <v>255</v>
      </c>
      <c r="V54" t="s">
        <v>274</v>
      </c>
    </row>
    <row r="55" spans="1:24" s="20" customFormat="1" ht="32.25" hidden="1" customHeight="1" x14ac:dyDescent="0.25">
      <c r="A55" s="153"/>
      <c r="B55" s="154"/>
      <c r="C55" s="227"/>
      <c r="D55" s="228"/>
      <c r="E55" s="228"/>
      <c r="F55" s="228"/>
      <c r="G55" s="228"/>
      <c r="H55" s="229"/>
      <c r="R55"/>
      <c r="S55" t="s">
        <v>255</v>
      </c>
      <c r="T55" t="s">
        <v>259</v>
      </c>
      <c r="U55" t="s">
        <v>269</v>
      </c>
      <c r="V55" s="18"/>
      <c r="W55" s="18"/>
      <c r="X55" s="18"/>
    </row>
    <row r="56" spans="1:24" s="20" customFormat="1" ht="34.5" hidden="1" customHeight="1" x14ac:dyDescent="0.25">
      <c r="A56" s="151" t="s">
        <v>279</v>
      </c>
      <c r="B56" s="152"/>
      <c r="C56" s="95">
        <f>C55</f>
        <v>0</v>
      </c>
      <c r="D56" s="102"/>
      <c r="E56" s="96"/>
      <c r="F56" s="17" t="s">
        <v>40</v>
      </c>
      <c r="G56" s="95">
        <f>G55</f>
        <v>0</v>
      </c>
      <c r="H56" s="96"/>
      <c r="R56"/>
      <c r="S56" s="18"/>
      <c r="T56" t="s">
        <v>260</v>
      </c>
      <c r="U56" t="s">
        <v>270</v>
      </c>
      <c r="V56" s="18"/>
      <c r="W56" s="18"/>
      <c r="X56" s="18"/>
    </row>
    <row r="57" spans="1:24" s="20" customFormat="1" ht="41.25" hidden="1" customHeight="1" x14ac:dyDescent="0.25">
      <c r="A57" s="153"/>
      <c r="B57" s="154"/>
      <c r="C57" s="95"/>
      <c r="D57" s="102"/>
      <c r="E57" s="102"/>
      <c r="F57" s="102"/>
      <c r="G57" s="102"/>
      <c r="H57" s="96"/>
      <c r="R57"/>
      <c r="S57" s="18"/>
      <c r="T57" t="s">
        <v>262</v>
      </c>
      <c r="U57" t="s">
        <v>271</v>
      </c>
      <c r="V57" s="18"/>
      <c r="W57" s="18"/>
      <c r="X57" s="18"/>
    </row>
    <row r="58" spans="1:24" s="20" customFormat="1" ht="15.75" hidden="1" customHeight="1" x14ac:dyDescent="0.25">
      <c r="A58" s="151" t="s">
        <v>280</v>
      </c>
      <c r="B58" s="152"/>
      <c r="C58" s="95">
        <f>C57</f>
        <v>0</v>
      </c>
      <c r="D58" s="102"/>
      <c r="E58" s="96"/>
      <c r="F58" s="17" t="s">
        <v>40</v>
      </c>
      <c r="G58" s="95">
        <f>G57</f>
        <v>0</v>
      </c>
      <c r="H58" s="96"/>
      <c r="R58"/>
      <c r="S58" s="18"/>
      <c r="T58" t="s">
        <v>263</v>
      </c>
      <c r="U58" s="18" t="s">
        <v>294</v>
      </c>
      <c r="V58" s="18"/>
      <c r="W58" s="18"/>
      <c r="X58" s="18"/>
    </row>
    <row r="59" spans="1:24" s="20" customFormat="1" ht="33.75" hidden="1" customHeight="1" x14ac:dyDescent="0.25">
      <c r="A59" s="153"/>
      <c r="B59" s="154"/>
      <c r="C59" s="95"/>
      <c r="D59" s="102"/>
      <c r="E59" s="102"/>
      <c r="F59" s="102"/>
      <c r="G59" s="102"/>
      <c r="H59" s="96"/>
      <c r="R59"/>
      <c r="S59" s="18"/>
      <c r="T59" t="s">
        <v>264</v>
      </c>
      <c r="U59" s="18"/>
      <c r="V59" s="18"/>
      <c r="W59" s="18"/>
      <c r="X59" s="18"/>
    </row>
    <row r="60" spans="1:24" x14ac:dyDescent="0.25">
      <c r="A60" s="113" t="s">
        <v>42</v>
      </c>
      <c r="B60" s="114"/>
      <c r="C60" s="113" t="s">
        <v>103</v>
      </c>
      <c r="D60" s="115"/>
      <c r="E60" s="114"/>
      <c r="F60" s="40" t="s">
        <v>40</v>
      </c>
      <c r="G60" s="149" t="s">
        <v>28</v>
      </c>
      <c r="H60" s="150"/>
      <c r="R60"/>
      <c r="T60" t="s">
        <v>266</v>
      </c>
    </row>
    <row r="61" spans="1:24" x14ac:dyDescent="0.25">
      <c r="A61" s="142" t="s">
        <v>44</v>
      </c>
      <c r="B61" s="142"/>
      <c r="C61" s="142"/>
      <c r="D61" s="142"/>
      <c r="E61" s="142"/>
      <c r="F61" s="142"/>
      <c r="G61" s="142"/>
      <c r="H61" s="142"/>
      <c r="T61" t="s">
        <v>275</v>
      </c>
    </row>
    <row r="62" spans="1:24" x14ac:dyDescent="0.25">
      <c r="A62" s="119" t="s">
        <v>88</v>
      </c>
      <c r="B62" s="119"/>
      <c r="C62" s="119"/>
      <c r="D62" s="110">
        <f>E46</f>
        <v>10009.42</v>
      </c>
      <c r="E62" s="110"/>
      <c r="F62" s="110"/>
      <c r="G62" s="110"/>
      <c r="H62" s="110"/>
      <c r="R62"/>
    </row>
    <row r="63" spans="1:24" x14ac:dyDescent="0.25">
      <c r="A63" s="147" t="s">
        <v>45</v>
      </c>
      <c r="B63" s="148"/>
      <c r="C63" s="148"/>
      <c r="D63" s="148" t="s">
        <v>356</v>
      </c>
      <c r="E63" s="148"/>
      <c r="F63" s="148"/>
      <c r="G63" s="148"/>
      <c r="H63" s="148"/>
      <c r="I63" s="21"/>
      <c r="R63"/>
    </row>
    <row r="64" spans="1:24" x14ac:dyDescent="0.25">
      <c r="A64" s="143" t="s">
        <v>46</v>
      </c>
      <c r="B64" s="144"/>
      <c r="C64" s="210"/>
      <c r="D64" s="145" t="s">
        <v>338</v>
      </c>
      <c r="E64" s="146"/>
      <c r="F64" s="146"/>
      <c r="G64" s="146"/>
      <c r="H64" s="146"/>
      <c r="R64"/>
    </row>
    <row r="65" spans="1:19" ht="15.75" customHeight="1" x14ac:dyDescent="0.25">
      <c r="A65" s="143" t="s">
        <v>86</v>
      </c>
      <c r="B65" s="144"/>
      <c r="C65" s="144"/>
      <c r="D65" s="145" t="s">
        <v>338</v>
      </c>
      <c r="E65" s="146"/>
      <c r="F65" s="146"/>
      <c r="G65" s="146"/>
      <c r="H65" s="146"/>
      <c r="R65"/>
    </row>
    <row r="66" spans="1:19" ht="15.75" customHeight="1" x14ac:dyDescent="0.25">
      <c r="A66" s="110" t="s">
        <v>43</v>
      </c>
      <c r="B66" s="110"/>
      <c r="C66" s="110"/>
      <c r="D66" s="119" t="s">
        <v>337</v>
      </c>
      <c r="E66" s="119"/>
      <c r="F66" s="119"/>
      <c r="G66" s="119"/>
      <c r="H66" s="119"/>
      <c r="J66" s="22"/>
      <c r="K66" s="21"/>
      <c r="N66" s="21"/>
      <c r="S66"/>
    </row>
    <row r="67" spans="1:19" ht="15.75" customHeight="1" x14ac:dyDescent="0.25">
      <c r="A67" s="110" t="s">
        <v>84</v>
      </c>
      <c r="B67" s="110"/>
      <c r="C67" s="110"/>
      <c r="D67" s="202" t="str">
        <f>(IF(G60="NA","60 Years After Completion",IF(G60&lt;&gt;"NA",""&amp;60-ROUNDDOWN((E3-G60)/360,0)&amp;" Years"," ")))</f>
        <v>60 Years After Completion</v>
      </c>
      <c r="E67" s="202"/>
      <c r="F67" s="202"/>
      <c r="G67" s="202"/>
      <c r="H67" s="202"/>
      <c r="N67" s="21"/>
      <c r="S67"/>
    </row>
    <row r="68" spans="1:19" ht="15.75" customHeight="1" x14ac:dyDescent="0.25">
      <c r="A68" s="148" t="s">
        <v>85</v>
      </c>
      <c r="B68" s="148"/>
      <c r="C68" s="148"/>
      <c r="D68" s="147" t="s">
        <v>23</v>
      </c>
      <c r="E68" s="147"/>
      <c r="F68" s="147"/>
      <c r="G68" s="147"/>
      <c r="H68" s="147"/>
      <c r="J68" s="23"/>
      <c r="K68" s="23"/>
      <c r="S68"/>
    </row>
    <row r="69" spans="1:19" ht="38.450000000000003" customHeight="1" x14ac:dyDescent="0.25">
      <c r="A69" s="148" t="s">
        <v>339</v>
      </c>
      <c r="B69" s="148"/>
      <c r="C69" s="148"/>
      <c r="D69" s="147" t="s">
        <v>340</v>
      </c>
      <c r="E69" s="147"/>
      <c r="F69" s="147"/>
      <c r="G69" s="147"/>
      <c r="H69" s="147"/>
      <c r="S69"/>
    </row>
    <row r="70" spans="1:19" x14ac:dyDescent="0.25">
      <c r="A70" s="119" t="s">
        <v>145</v>
      </c>
      <c r="B70" s="119"/>
      <c r="C70" s="119"/>
      <c r="D70" s="119" t="s">
        <v>28</v>
      </c>
      <c r="E70" s="119"/>
      <c r="F70" s="119"/>
      <c r="G70" s="119"/>
      <c r="H70" s="119"/>
      <c r="I70" s="24"/>
      <c r="J70" s="24"/>
      <c r="K70" s="24"/>
      <c r="L70" s="24"/>
      <c r="M70" s="24"/>
      <c r="N70" s="24"/>
    </row>
    <row r="71" spans="1:19" ht="15.75" customHeight="1" x14ac:dyDescent="0.25">
      <c r="A71" s="120" t="s">
        <v>83</v>
      </c>
      <c r="B71" s="120"/>
      <c r="C71" s="120"/>
      <c r="D71" s="145" t="str">
        <f ca="1">(IF(G77&gt;95%,"Nothing",IF(G77&gt;0%,"Cement, Aggregate, Steel, etc",IF(G77=0%,"Work not yet Started"))))</f>
        <v>Cement, Aggregate, Steel, etc</v>
      </c>
      <c r="E71" s="145"/>
      <c r="F71" s="145"/>
      <c r="G71" s="145"/>
      <c r="H71" s="145"/>
      <c r="J71" s="23"/>
      <c r="S71"/>
    </row>
    <row r="72" spans="1:19" ht="33.75" customHeight="1" thickBot="1" x14ac:dyDescent="0.3">
      <c r="A72" s="157" t="s">
        <v>116</v>
      </c>
      <c r="B72" s="157"/>
      <c r="C72" s="157"/>
      <c r="D72" s="145" t="str">
        <f ca="1">(IF(D71="Nothing","Yes",IF(D71="Cement, Aggregate, Steel, etc","Under Construction",IF(D71="Work not yet Started","Work not yet Started"))))</f>
        <v>Under Construction</v>
      </c>
      <c r="E72" s="145"/>
      <c r="F72" s="145" t="str">
        <f ca="1">(IF(D71="Nothing","Yes",IF(D71="Cement, Aggregate, Steel, etc","Under Construction",IF(D71="Work not yet Started","Work not yet Started"))))</f>
        <v>Under Construction</v>
      </c>
      <c r="G72" s="145"/>
      <c r="H72" s="145"/>
      <c r="S72"/>
    </row>
    <row r="73" spans="1:19" ht="15.75" customHeight="1" x14ac:dyDescent="0.25">
      <c r="A73" s="235" t="s">
        <v>137</v>
      </c>
      <c r="B73" s="236"/>
      <c r="C73" s="237" t="str">
        <f>D65</f>
        <v>1B + Gr + 1st + P2 + 3rd to 13th Floor</v>
      </c>
      <c r="D73" s="238"/>
      <c r="E73" s="238"/>
      <c r="F73" s="238"/>
      <c r="G73" s="238"/>
      <c r="H73" s="239"/>
      <c r="I73" s="42" t="str">
        <f ca="1">IF(D86=100%,"All work Completed. Possession granted to the Building.",IF(D85=100%,"All work Completed, Waiting for OC",I74&amp;""&amp;I75&amp;""&amp;J74&amp;""&amp;J73&amp;" "&amp;J75))</f>
        <v>Excavation, Plinth Completed, RCC upto 10 Slab, Brickwork upto 3 Floor Completed</v>
      </c>
      <c r="J73" s="43"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10 Slab, Brickwork upto 3 Floor</v>
      </c>
      <c r="S73"/>
    </row>
    <row r="74" spans="1:19" x14ac:dyDescent="0.25">
      <c r="A74" s="15" t="s">
        <v>139</v>
      </c>
      <c r="B74" s="46">
        <f>IF(AND(ISNUMBER(SEARCH("1B",C73))),1,IF(AND(ISNUMBER(SEARCH("2B",C73))),2,IF(AND(ISNUMBER(SEARCH("3B",C73))),3,IF(AND(ISNUMBER(SEARCH("4B",C73))),4,IF(ISNUMBER(SEARCH("5B",C73)),5,0)))))</f>
        <v>1</v>
      </c>
      <c r="C74" s="46" t="s">
        <v>69</v>
      </c>
      <c r="D74" s="46">
        <v>1</v>
      </c>
      <c r="E74" s="46" t="s">
        <v>68</v>
      </c>
      <c r="F74" s="46">
        <v>0</v>
      </c>
      <c r="G74" s="46" t="s">
        <v>77</v>
      </c>
      <c r="H74" s="16">
        <f ca="1">--TRIM(RIGHT(SUBSTITUTE(LEFT(C73,_xlfn.AGGREGATE(16,6,FIND({0,1,2,3,4,5,6,7,8,9},C73,ROW(INDIRECT("1:"&amp;LEN(C73)))),1))," ",REPT(" ",LEN(C73))),LEN(C73)))</f>
        <v>13</v>
      </c>
      <c r="I74" s="44" t="str">
        <f ca="1">IF(D77=100%,"Excavation","")&amp;IF(D78=100%,", Plinth","")&amp;IF(D79=100%,", RCC Slab","")&amp;IF(D80=100%,", Brickwork","")&amp;IF(D81=100%,", Internal Plaster","")&amp;IF(D82=100%,", External Plaster","")&amp;IF(D83=100%,", Flooring","")&amp;IF(D84=100%,", Painting","")&amp;IF(D85=100%,", Building common Amenities","")</f>
        <v>Excavation, Plinth</v>
      </c>
      <c r="J74" s="45"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2.1" customHeight="1" x14ac:dyDescent="0.25">
      <c r="A75" s="234" t="s">
        <v>87</v>
      </c>
      <c r="B75" s="190"/>
      <c r="C75" s="240" t="str">
        <f ca="1">I73</f>
        <v>Excavation, Plinth Completed, RCC upto 10 Slab, Brickwork upto 3 Floor Completed</v>
      </c>
      <c r="D75" s="240"/>
      <c r="E75" s="240"/>
      <c r="F75" s="240"/>
      <c r="G75" s="240"/>
      <c r="H75" s="241"/>
      <c r="I75" s="44" t="str">
        <f ca="1">IF(I74&lt;&gt;""," Completed","")</f>
        <v xml:space="preserve"> Completed</v>
      </c>
      <c r="J75" s="45" t="str">
        <f ca="1">IF(J73&lt;&gt;"","Completed","")</f>
        <v>Completed</v>
      </c>
      <c r="S75"/>
    </row>
    <row r="76" spans="1:19" ht="15.75" customHeight="1" x14ac:dyDescent="0.25">
      <c r="A76" s="122" t="s">
        <v>47</v>
      </c>
      <c r="B76" s="123"/>
      <c r="C76" s="86" t="s">
        <v>136</v>
      </c>
      <c r="D76" s="86" t="s">
        <v>80</v>
      </c>
      <c r="E76" s="123" t="s">
        <v>82</v>
      </c>
      <c r="F76" s="123"/>
      <c r="G76" s="123" t="s">
        <v>81</v>
      </c>
      <c r="H76" s="173"/>
      <c r="I76" s="13" t="s">
        <v>138</v>
      </c>
      <c r="J76" s="25">
        <f ca="1">H74*25%</f>
        <v>3.25</v>
      </c>
      <c r="S76"/>
    </row>
    <row r="77" spans="1:19" x14ac:dyDescent="0.25">
      <c r="A77" s="122" t="s">
        <v>125</v>
      </c>
      <c r="B77" s="123"/>
      <c r="C77" s="86">
        <f ca="1">J78</f>
        <v>13</v>
      </c>
      <c r="D77" s="72">
        <f ca="1">((100/H74)*C77)/100</f>
        <v>1</v>
      </c>
      <c r="E77" s="211">
        <f ca="1">(((C78/H74*10)+(40/(D74+F74+H74)*C79)+(7.5/(H74)*C80)+(7.5/(H74)*C81)+(10/H74*C82)+(10/H74*C83)+(5/H74*C84)+(5/H74*C85)+(5/H74*C86))/100)</f>
        <v>0.40302197802197803</v>
      </c>
      <c r="F77" s="212"/>
      <c r="G77" s="211">
        <f ca="1">((((C77/H74)*20)+((C78/H74)*25)+(30/(H74+F74+D74)*C79)+(5/H74*C80)+(5/H74*C81)+(5/H74*C82)+(5/H74*C83)+(0/H74*C84)+(0/H74*C85)+(5/H74*C86))/100)</f>
        <v>0.67582417582417587</v>
      </c>
      <c r="H77" s="217"/>
      <c r="I77" s="13" t="s">
        <v>98</v>
      </c>
      <c r="J77" s="26">
        <f ca="1">H74*50%</f>
        <v>6.5</v>
      </c>
    </row>
    <row r="78" spans="1:19" x14ac:dyDescent="0.25">
      <c r="A78" s="122" t="s">
        <v>48</v>
      </c>
      <c r="B78" s="123"/>
      <c r="C78" s="88">
        <f ca="1">J86</f>
        <v>13</v>
      </c>
      <c r="D78" s="72">
        <f ca="1">((100/H74)*C78)/100</f>
        <v>1</v>
      </c>
      <c r="E78" s="213"/>
      <c r="F78" s="214"/>
      <c r="G78" s="213"/>
      <c r="H78" s="218"/>
      <c r="I78" s="13" t="s">
        <v>99</v>
      </c>
      <c r="J78" s="26">
        <f ca="1">H74</f>
        <v>13</v>
      </c>
      <c r="S78"/>
    </row>
    <row r="79" spans="1:19" ht="15.75" customHeight="1" x14ac:dyDescent="0.25">
      <c r="A79" s="122" t="s">
        <v>126</v>
      </c>
      <c r="B79" s="123"/>
      <c r="C79" s="86">
        <v>10</v>
      </c>
      <c r="D79" s="72">
        <f ca="1">((100/(D74+F74+H74))*C79)/100</f>
        <v>0.7142857142857143</v>
      </c>
      <c r="E79" s="213"/>
      <c r="F79" s="214"/>
      <c r="G79" s="213"/>
      <c r="H79" s="218"/>
      <c r="I79" s="13" t="s">
        <v>100</v>
      </c>
      <c r="J79" s="27">
        <f ca="1">(IF(B74&gt;1,(H74/(B74+2)),H74/4))</f>
        <v>3.25</v>
      </c>
      <c r="S79"/>
    </row>
    <row r="80" spans="1:19" ht="15.75" customHeight="1" x14ac:dyDescent="0.25">
      <c r="A80" s="122" t="s">
        <v>133</v>
      </c>
      <c r="B80" s="123" t="s">
        <v>127</v>
      </c>
      <c r="C80" s="86">
        <v>3</v>
      </c>
      <c r="D80" s="72">
        <f ca="1">((100/H74)*C80)/100</f>
        <v>0.23076923076923075</v>
      </c>
      <c r="E80" s="213"/>
      <c r="F80" s="214"/>
      <c r="G80" s="213"/>
      <c r="H80" s="218"/>
      <c r="I80" s="13" t="s">
        <v>101</v>
      </c>
      <c r="J80" s="27">
        <f ca="1">(IF(B74&gt;1,(H74/(B74+2)+J79),H74/4+J79))</f>
        <v>6.5</v>
      </c>
    </row>
    <row r="81" spans="1:22" ht="15.75" customHeight="1" x14ac:dyDescent="0.25">
      <c r="A81" s="122" t="s">
        <v>134</v>
      </c>
      <c r="B81" s="123" t="s">
        <v>127</v>
      </c>
      <c r="C81" s="86">
        <v>0</v>
      </c>
      <c r="D81" s="72">
        <f ca="1">((100/H74)*C81)/100</f>
        <v>0</v>
      </c>
      <c r="E81" s="213"/>
      <c r="F81" s="214"/>
      <c r="G81" s="213"/>
      <c r="H81" s="218"/>
      <c r="I81" s="13" t="s">
        <v>143</v>
      </c>
      <c r="J81" s="27">
        <f>(IF(B74&gt;1,(H74/(B74+2)+J80),0))</f>
        <v>0</v>
      </c>
    </row>
    <row r="82" spans="1:22" ht="15" customHeight="1" x14ac:dyDescent="0.25">
      <c r="A82" s="122" t="s">
        <v>132</v>
      </c>
      <c r="B82" s="123" t="s">
        <v>129</v>
      </c>
      <c r="C82" s="86">
        <v>0</v>
      </c>
      <c r="D82" s="72">
        <f ca="1">((100/(H74))*C82)/100</f>
        <v>0</v>
      </c>
      <c r="E82" s="213"/>
      <c r="F82" s="214"/>
      <c r="G82" s="213"/>
      <c r="H82" s="218"/>
      <c r="I82" s="13" t="s">
        <v>140</v>
      </c>
      <c r="J82" s="27">
        <f>(IF(B74&gt;2,(H74/(B74+2)+J81),0))</f>
        <v>0</v>
      </c>
    </row>
    <row r="83" spans="1:22" ht="15.75" customHeight="1" x14ac:dyDescent="0.25">
      <c r="A83" s="122" t="s">
        <v>128</v>
      </c>
      <c r="B83" s="123" t="s">
        <v>128</v>
      </c>
      <c r="C83" s="86">
        <v>0</v>
      </c>
      <c r="D83" s="72">
        <f ca="1">((100/H74)*C83)/100</f>
        <v>0</v>
      </c>
      <c r="E83" s="213"/>
      <c r="F83" s="214"/>
      <c r="G83" s="213"/>
      <c r="H83" s="218"/>
      <c r="I83" s="13" t="s">
        <v>141</v>
      </c>
      <c r="J83" s="28">
        <f>(IF(B74&gt;3,(H74/(B74+2)+J82),0))</f>
        <v>0</v>
      </c>
    </row>
    <row r="84" spans="1:22" ht="15.75" customHeight="1" x14ac:dyDescent="0.25">
      <c r="A84" s="122" t="s">
        <v>135</v>
      </c>
      <c r="B84" s="123"/>
      <c r="C84" s="86">
        <v>0</v>
      </c>
      <c r="D84" s="72">
        <f ca="1">((100/H74)*C84)/100</f>
        <v>0</v>
      </c>
      <c r="E84" s="213"/>
      <c r="F84" s="214"/>
      <c r="G84" s="213"/>
      <c r="H84" s="218"/>
      <c r="I84" s="13" t="s">
        <v>142</v>
      </c>
      <c r="J84" s="27">
        <f>(IF(B74&gt;4,(H74/(B74+2)+J83),0))</f>
        <v>0</v>
      </c>
    </row>
    <row r="85" spans="1:22" ht="15.75" customHeight="1" x14ac:dyDescent="0.25">
      <c r="A85" s="122" t="s">
        <v>130</v>
      </c>
      <c r="B85" s="123" t="s">
        <v>130</v>
      </c>
      <c r="C85" s="86">
        <v>0</v>
      </c>
      <c r="D85" s="72">
        <f ca="1">((100/(H74))*C85)/100</f>
        <v>0</v>
      </c>
      <c r="E85" s="213"/>
      <c r="F85" s="214"/>
      <c r="G85" s="213"/>
      <c r="H85" s="218"/>
      <c r="I85" s="13" t="s">
        <v>144</v>
      </c>
      <c r="J85" s="27">
        <f ca="1">(IF(B74=1,(H74/(B74+3)+J80),IF(B74=0,(H74/4+J80),IF(B74&gt;1,0))))</f>
        <v>9.75</v>
      </c>
    </row>
    <row r="86" spans="1:22" ht="16.5" thickBot="1" x14ac:dyDescent="0.3">
      <c r="A86" s="220" t="s">
        <v>131</v>
      </c>
      <c r="B86" s="221"/>
      <c r="C86" s="73">
        <v>0</v>
      </c>
      <c r="D86" s="74">
        <f ca="1">((100/(H74))*C86)/100</f>
        <v>0</v>
      </c>
      <c r="E86" s="215"/>
      <c r="F86" s="216"/>
      <c r="G86" s="215"/>
      <c r="H86" s="219"/>
      <c r="I86" s="14" t="s">
        <v>102</v>
      </c>
      <c r="J86" s="29">
        <f ca="1">(IF(B74&gt;1.5,(H74/(B74+2)+J80+MAX(0,J81-J80)+MAX(0,J82-J81)+MAX(0,J83-J82)+MAX(0,J84-J83)+MAX(0,J85-J84)),IF(B74=1,(H74/(B74+3)+J85),IF(B74=0,H74/4+J85))))</f>
        <v>13</v>
      </c>
    </row>
    <row r="87" spans="1:22" x14ac:dyDescent="0.25">
      <c r="A87" s="233" t="s">
        <v>152</v>
      </c>
      <c r="B87" s="233"/>
      <c r="C87" s="233"/>
      <c r="D87" s="233"/>
      <c r="E87" s="233"/>
      <c r="F87" s="158" t="s">
        <v>156</v>
      </c>
      <c r="G87" s="158"/>
      <c r="H87" s="158"/>
      <c r="R87" t="s">
        <v>250</v>
      </c>
      <c r="S87" t="s">
        <v>168</v>
      </c>
      <c r="T87" t="s">
        <v>175</v>
      </c>
      <c r="U87" t="s">
        <v>190</v>
      </c>
      <c r="V87" t="s">
        <v>185</v>
      </c>
    </row>
    <row r="88" spans="1:22" x14ac:dyDescent="0.25">
      <c r="A88" s="110" t="s">
        <v>154</v>
      </c>
      <c r="B88" s="110"/>
      <c r="C88" s="110"/>
      <c r="D88" s="110"/>
      <c r="E88" s="110"/>
      <c r="F88" s="105">
        <v>5650</v>
      </c>
      <c r="G88" s="105"/>
      <c r="H88" s="105"/>
      <c r="I88" s="19" t="s">
        <v>385</v>
      </c>
      <c r="R88"/>
      <c r="S88">
        <v>800000</v>
      </c>
      <c r="T88">
        <v>150000</v>
      </c>
      <c r="U88">
        <v>100000</v>
      </c>
      <c r="V88">
        <v>100000</v>
      </c>
    </row>
    <row r="89" spans="1:22" x14ac:dyDescent="0.25">
      <c r="A89" s="110" t="s">
        <v>153</v>
      </c>
      <c r="B89" s="110"/>
      <c r="C89" s="110"/>
      <c r="D89" s="110"/>
      <c r="E89" s="110"/>
      <c r="F89" s="105">
        <v>7500</v>
      </c>
      <c r="G89" s="105"/>
      <c r="H89" s="105"/>
      <c r="R89"/>
      <c r="S89">
        <v>900000</v>
      </c>
      <c r="T89">
        <v>200000</v>
      </c>
      <c r="U89">
        <v>150000</v>
      </c>
      <c r="V89">
        <v>150000</v>
      </c>
    </row>
    <row r="90" spans="1:22" x14ac:dyDescent="0.25">
      <c r="A90" s="110" t="s">
        <v>155</v>
      </c>
      <c r="B90" s="110"/>
      <c r="C90" s="110"/>
      <c r="D90" s="110"/>
      <c r="E90" s="110"/>
      <c r="F90" s="105">
        <v>6500</v>
      </c>
      <c r="G90" s="105"/>
      <c r="H90" s="105"/>
      <c r="R90"/>
      <c r="S90">
        <v>1000000</v>
      </c>
      <c r="T90">
        <v>250000</v>
      </c>
      <c r="U90">
        <v>200000</v>
      </c>
      <c r="V90">
        <v>200000</v>
      </c>
    </row>
    <row r="91" spans="1:22" s="30" customFormat="1" hidden="1" x14ac:dyDescent="0.25">
      <c r="A91" s="110" t="s">
        <v>171</v>
      </c>
      <c r="B91" s="110"/>
      <c r="C91" s="110"/>
      <c r="D91" s="110"/>
      <c r="E91" s="110"/>
      <c r="F91" s="105"/>
      <c r="G91" s="105"/>
      <c r="H91" s="105"/>
      <c r="R91"/>
      <c r="S91">
        <v>1100000</v>
      </c>
      <c r="T91">
        <v>300000</v>
      </c>
      <c r="U91">
        <v>250000</v>
      </c>
      <c r="V91" s="20">
        <v>250000</v>
      </c>
    </row>
    <row r="92" spans="1:22" s="30" customFormat="1" x14ac:dyDescent="0.25">
      <c r="A92" s="110" t="s">
        <v>92</v>
      </c>
      <c r="B92" s="110"/>
      <c r="C92" s="110"/>
      <c r="D92" s="110"/>
      <c r="E92" s="110"/>
      <c r="F92" s="105">
        <v>150000</v>
      </c>
      <c r="G92" s="105"/>
      <c r="H92" s="105"/>
      <c r="I92" s="30" t="s">
        <v>387</v>
      </c>
      <c r="R92"/>
      <c r="S92">
        <v>1200000</v>
      </c>
      <c r="T92">
        <v>350000</v>
      </c>
      <c r="U92">
        <v>300000</v>
      </c>
      <c r="V92">
        <v>300000</v>
      </c>
    </row>
    <row r="93" spans="1:22" s="30" customFormat="1" x14ac:dyDescent="0.25">
      <c r="A93" s="110" t="s">
        <v>93</v>
      </c>
      <c r="B93" s="110"/>
      <c r="C93" s="110"/>
      <c r="D93" s="110"/>
      <c r="E93" s="110"/>
      <c r="F93" s="105">
        <v>100000</v>
      </c>
      <c r="G93" s="105"/>
      <c r="H93" s="105"/>
      <c r="R93"/>
      <c r="S93">
        <v>1300000</v>
      </c>
      <c r="T93">
        <v>400000</v>
      </c>
      <c r="U93">
        <v>350000</v>
      </c>
      <c r="V93" s="20">
        <v>400000</v>
      </c>
    </row>
    <row r="94" spans="1:22" s="30" customFormat="1" hidden="1" x14ac:dyDescent="0.25">
      <c r="A94" s="110" t="s">
        <v>94</v>
      </c>
      <c r="B94" s="110"/>
      <c r="C94" s="110"/>
      <c r="D94" s="110"/>
      <c r="E94" s="110"/>
      <c r="F94" s="105"/>
      <c r="G94" s="105"/>
      <c r="H94" s="105"/>
      <c r="R94"/>
      <c r="S94">
        <v>1400000</v>
      </c>
      <c r="T94">
        <v>500000</v>
      </c>
      <c r="U94">
        <v>400000</v>
      </c>
      <c r="V94"/>
    </row>
    <row r="95" spans="1:22" s="30" customFormat="1" hidden="1" x14ac:dyDescent="0.25">
      <c r="A95" s="110" t="s">
        <v>95</v>
      </c>
      <c r="B95" s="110"/>
      <c r="C95" s="110"/>
      <c r="D95" s="110"/>
      <c r="E95" s="110"/>
      <c r="F95" s="105"/>
      <c r="G95" s="105"/>
      <c r="H95" s="105"/>
      <c r="R95"/>
      <c r="S95">
        <v>1500000</v>
      </c>
      <c r="T95">
        <v>600000</v>
      </c>
      <c r="U95">
        <v>500000</v>
      </c>
      <c r="V95" s="20"/>
    </row>
    <row r="96" spans="1:22" s="30" customFormat="1" x14ac:dyDescent="0.25">
      <c r="A96" s="110" t="s">
        <v>96</v>
      </c>
      <c r="B96" s="110"/>
      <c r="C96" s="110"/>
      <c r="D96" s="110"/>
      <c r="E96" s="110"/>
      <c r="F96" s="105">
        <v>50000</v>
      </c>
      <c r="G96" s="105"/>
      <c r="H96" s="105"/>
      <c r="R96"/>
      <c r="S96">
        <v>1600000</v>
      </c>
      <c r="T96">
        <v>700000</v>
      </c>
      <c r="U96">
        <v>600000</v>
      </c>
      <c r="V96"/>
    </row>
    <row r="97" spans="1:22" s="30" customFormat="1" hidden="1" x14ac:dyDescent="0.25">
      <c r="A97" s="110" t="s">
        <v>97</v>
      </c>
      <c r="B97" s="110"/>
      <c r="C97" s="110"/>
      <c r="D97" s="110"/>
      <c r="E97" s="110"/>
      <c r="F97" s="105"/>
      <c r="G97" s="105"/>
      <c r="H97" s="105"/>
      <c r="R97"/>
      <c r="S97">
        <v>1700000</v>
      </c>
      <c r="T97">
        <v>800000</v>
      </c>
      <c r="U97"/>
      <c r="V97" s="20"/>
    </row>
    <row r="98" spans="1:22" x14ac:dyDescent="0.25">
      <c r="A98" s="110" t="s">
        <v>49</v>
      </c>
      <c r="B98" s="110"/>
      <c r="C98" s="110"/>
      <c r="D98" s="110"/>
      <c r="E98" s="110"/>
      <c r="F98" s="105">
        <v>300000</v>
      </c>
      <c r="G98" s="105"/>
      <c r="H98" s="105"/>
      <c r="R98"/>
      <c r="S98">
        <v>1800000</v>
      </c>
      <c r="T98">
        <v>900000</v>
      </c>
      <c r="U98"/>
    </row>
    <row r="99" spans="1:22" s="31" customFormat="1" x14ac:dyDescent="0.25">
      <c r="A99" s="181" t="s">
        <v>50</v>
      </c>
      <c r="B99" s="181"/>
      <c r="C99" s="181"/>
      <c r="D99" s="181"/>
      <c r="E99" s="181"/>
      <c r="F99" s="105">
        <f>F88*0.8</f>
        <v>4520</v>
      </c>
      <c r="G99" s="105"/>
      <c r="H99" s="105"/>
      <c r="R99" s="18"/>
      <c r="S99" s="18"/>
      <c r="T99">
        <v>1000000</v>
      </c>
      <c r="U99"/>
      <c r="V99" s="18"/>
    </row>
    <row r="100" spans="1:22" s="32" customFormat="1" ht="15.75" customHeight="1" x14ac:dyDescent="0.25">
      <c r="A100" s="180" t="s">
        <v>72</v>
      </c>
      <c r="B100" s="180"/>
      <c r="C100" s="180"/>
      <c r="D100" s="180"/>
      <c r="E100" s="180"/>
      <c r="F100" s="180"/>
      <c r="G100" s="180"/>
      <c r="H100" s="180"/>
      <c r="R100"/>
      <c r="S100" s="18"/>
      <c r="T100"/>
      <c r="U100"/>
      <c r="V100" s="18"/>
    </row>
    <row r="101" spans="1:22" s="32" customFormat="1" ht="15.75" customHeight="1" x14ac:dyDescent="0.25">
      <c r="A101" s="109" t="s">
        <v>51</v>
      </c>
      <c r="B101" s="109"/>
      <c r="C101" s="118" t="s">
        <v>75</v>
      </c>
      <c r="D101" s="118"/>
      <c r="E101" s="116" t="s">
        <v>52</v>
      </c>
      <c r="F101" s="116"/>
      <c r="G101" s="109" t="s">
        <v>53</v>
      </c>
      <c r="H101" s="109"/>
      <c r="R101"/>
      <c r="S101" s="18"/>
      <c r="T101"/>
      <c r="U101" s="18"/>
      <c r="V101" s="18"/>
    </row>
    <row r="102" spans="1:22" s="32" customFormat="1" x14ac:dyDescent="0.25">
      <c r="A102" s="117" t="s">
        <v>343</v>
      </c>
      <c r="B102" s="117"/>
      <c r="C102" s="128">
        <f>COUNT(D116:D125)</f>
        <v>10</v>
      </c>
      <c r="D102" s="129"/>
      <c r="E102" s="128">
        <f>SUM(F116:F125)</f>
        <v>4961.4720479999996</v>
      </c>
      <c r="F102" s="129"/>
      <c r="G102" s="128">
        <f>SUM(H116:H125)</f>
        <v>9922.9440959999993</v>
      </c>
      <c r="H102" s="129"/>
      <c r="R102"/>
      <c r="S102" s="18"/>
      <c r="T102"/>
      <c r="U102" s="18"/>
      <c r="V102" s="18"/>
    </row>
    <row r="103" spans="1:22" s="32" customFormat="1" x14ac:dyDescent="0.25">
      <c r="A103" s="117" t="s">
        <v>345</v>
      </c>
      <c r="B103" s="117"/>
      <c r="C103" s="171">
        <f>COUNT(D127:D136)</f>
        <v>10</v>
      </c>
      <c r="D103" s="172"/>
      <c r="E103" s="171">
        <f>SUM(F127:F136)</f>
        <v>4306.5687599999992</v>
      </c>
      <c r="F103" s="172"/>
      <c r="G103" s="128">
        <f>SUM(H127:H136)</f>
        <v>8613.1375199999984</v>
      </c>
      <c r="H103" s="129"/>
      <c r="R103"/>
      <c r="S103" s="18"/>
      <c r="T103"/>
      <c r="U103" s="18"/>
      <c r="V103" s="18"/>
    </row>
    <row r="104" spans="1:22" s="32" customFormat="1" x14ac:dyDescent="0.25">
      <c r="A104" s="180" t="s">
        <v>146</v>
      </c>
      <c r="B104" s="180"/>
      <c r="C104" s="186">
        <f t="shared" ref="C104:G104" si="0">SUM(C102:D103)</f>
        <v>20</v>
      </c>
      <c r="D104" s="118"/>
      <c r="E104" s="187">
        <f t="shared" si="0"/>
        <v>9268.0408079999979</v>
      </c>
      <c r="F104" s="116"/>
      <c r="G104" s="109">
        <f t="shared" si="0"/>
        <v>18536.081615999996</v>
      </c>
      <c r="H104" s="109"/>
      <c r="R104"/>
      <c r="S104" s="18"/>
      <c r="T104"/>
      <c r="U104" s="18"/>
      <c r="V104" s="18"/>
    </row>
    <row r="105" spans="1:22" s="32" customFormat="1" x14ac:dyDescent="0.25">
      <c r="A105" s="180" t="s">
        <v>67</v>
      </c>
      <c r="B105" s="180"/>
      <c r="C105" s="180"/>
      <c r="D105" s="180"/>
      <c r="E105" s="180"/>
      <c r="F105" s="180"/>
      <c r="G105" s="180"/>
      <c r="H105" s="180"/>
      <c r="T105"/>
    </row>
    <row r="106" spans="1:22" s="32" customFormat="1" ht="15.75" customHeight="1" x14ac:dyDescent="0.25">
      <c r="A106" s="109" t="s">
        <v>51</v>
      </c>
      <c r="B106" s="109"/>
      <c r="C106" s="118" t="s">
        <v>75</v>
      </c>
      <c r="D106" s="118"/>
      <c r="E106" s="116" t="s">
        <v>52</v>
      </c>
      <c r="F106" s="116"/>
      <c r="G106" s="109" t="s">
        <v>53</v>
      </c>
      <c r="H106" s="109"/>
      <c r="T106"/>
    </row>
    <row r="107" spans="1:22" s="32" customFormat="1" x14ac:dyDescent="0.25">
      <c r="A107" s="117" t="s">
        <v>66</v>
      </c>
      <c r="B107" s="117"/>
      <c r="C107" s="128">
        <f>COUNT(D144:D153)+COUNT(D156:D169)*7+COUNT(D186:D191,D194:D199)+COUNT(D201:D214)+COUNT(D216:D221,D223:D229)</f>
        <v>147</v>
      </c>
      <c r="D107" s="128"/>
      <c r="E107" s="128">
        <f>SUM(F144:F153)+SUM(F156:F169)*7+SUM(F186:F191,F194:F199)+SUM(F201:F214)+SUM(F216:F221,F223:F229)</f>
        <v>79498.921319999994</v>
      </c>
      <c r="F107" s="128"/>
      <c r="G107" s="128">
        <f>SUM(H144:H153)+SUM(H156:H169)*7+SUM(H186:H191,H194:H199)+SUM(H201:H214)+SUM(H216:H221,H223:H229)</f>
        <v>131415</v>
      </c>
      <c r="H107" s="128"/>
      <c r="T107"/>
    </row>
    <row r="108" spans="1:22" s="32" customFormat="1" ht="16.5" thickBot="1" x14ac:dyDescent="0.3">
      <c r="A108" s="182" t="s">
        <v>146</v>
      </c>
      <c r="B108" s="182"/>
      <c r="C108" s="130">
        <f t="shared" ref="C108:G108" si="1">SUM(C107)</f>
        <v>147</v>
      </c>
      <c r="D108" s="131"/>
      <c r="E108" s="183">
        <f t="shared" si="1"/>
        <v>79498.921319999994</v>
      </c>
      <c r="F108" s="184"/>
      <c r="G108" s="185">
        <f t="shared" si="1"/>
        <v>131415</v>
      </c>
      <c r="H108" s="185"/>
      <c r="T108"/>
    </row>
    <row r="109" spans="1:22" s="32" customFormat="1" ht="16.5" thickBot="1" x14ac:dyDescent="0.3">
      <c r="A109" s="174" t="s">
        <v>162</v>
      </c>
      <c r="B109" s="175"/>
      <c r="C109" s="176">
        <f>C104+C108</f>
        <v>167</v>
      </c>
      <c r="D109" s="176"/>
      <c r="E109" s="177">
        <f>E104+E108</f>
        <v>88766.962127999985</v>
      </c>
      <c r="F109" s="177"/>
      <c r="G109" s="225">
        <f>G104+G108</f>
        <v>149951.08161599998</v>
      </c>
      <c r="H109" s="226"/>
      <c r="T109"/>
    </row>
    <row r="110" spans="1:22" s="31" customFormat="1" x14ac:dyDescent="0.25">
      <c r="A110" s="158" t="s">
        <v>54</v>
      </c>
      <c r="B110" s="158"/>
      <c r="C110" s="158"/>
      <c r="D110" s="158"/>
      <c r="E110" s="158"/>
      <c r="F110" s="158"/>
      <c r="G110" s="158"/>
      <c r="H110" s="158"/>
      <c r="T110" s="32"/>
    </row>
    <row r="111" spans="1:22" x14ac:dyDescent="0.25">
      <c r="A111" s="108" t="s">
        <v>170</v>
      </c>
      <c r="B111" s="108"/>
      <c r="C111" s="108"/>
      <c r="D111" s="108"/>
      <c r="E111" s="108"/>
      <c r="F111" s="108"/>
      <c r="G111" s="108"/>
      <c r="H111" s="108"/>
      <c r="T111" s="32"/>
    </row>
    <row r="112" spans="1:22" ht="48.75" customHeight="1" x14ac:dyDescent="0.25">
      <c r="A112" s="126" t="s">
        <v>344</v>
      </c>
      <c r="B112" s="126" t="s">
        <v>172</v>
      </c>
      <c r="C112" s="126" t="s">
        <v>55</v>
      </c>
      <c r="D112" s="126" t="s">
        <v>228</v>
      </c>
      <c r="E112" s="208" t="s">
        <v>151</v>
      </c>
      <c r="F112" s="126" t="s">
        <v>56</v>
      </c>
      <c r="G112" s="208" t="s">
        <v>57</v>
      </c>
      <c r="H112" s="84" t="s">
        <v>377</v>
      </c>
      <c r="T112" s="32"/>
    </row>
    <row r="113" spans="1:20" s="34" customFormat="1" x14ac:dyDescent="0.25">
      <c r="A113" s="127"/>
      <c r="B113" s="127"/>
      <c r="C113" s="127"/>
      <c r="D113" s="127"/>
      <c r="E113" s="209"/>
      <c r="F113" s="127"/>
      <c r="G113" s="209"/>
      <c r="H113" s="76">
        <v>1</v>
      </c>
      <c r="K113" s="34">
        <f>1+1.1</f>
        <v>2.1</v>
      </c>
      <c r="T113" s="32"/>
    </row>
    <row r="114" spans="1:20" s="34" customFormat="1" x14ac:dyDescent="0.25">
      <c r="A114" s="205" t="s">
        <v>341</v>
      </c>
      <c r="B114" s="206"/>
      <c r="C114" s="206"/>
      <c r="D114" s="206"/>
      <c r="E114" s="206"/>
      <c r="F114" s="206"/>
      <c r="G114" s="206"/>
      <c r="H114" s="207"/>
      <c r="I114" s="34">
        <f>(F116+(IF(G116&lt;101,G116,IF(G116&lt;201,G116/2,IF(G116&lt;=301,G116/3,G116/4)))))*(($H$113)+1)</f>
        <v>1007.467344</v>
      </c>
      <c r="J114" s="33"/>
      <c r="T114" s="32"/>
    </row>
    <row r="115" spans="1:20" s="34" customFormat="1" ht="28.5" customHeight="1" x14ac:dyDescent="0.25">
      <c r="A115" s="205" t="s">
        <v>342</v>
      </c>
      <c r="B115" s="206"/>
      <c r="C115" s="206"/>
      <c r="D115" s="206"/>
      <c r="E115" s="206"/>
      <c r="F115" s="206"/>
      <c r="G115" s="206"/>
      <c r="H115" s="207"/>
      <c r="I115" s="33"/>
      <c r="L115" s="204"/>
      <c r="M115" s="204"/>
      <c r="N115" s="33"/>
      <c r="T115" s="32"/>
    </row>
    <row r="116" spans="1:20" s="34" customFormat="1" ht="15.75" customHeight="1" x14ac:dyDescent="0.25">
      <c r="A116" s="111">
        <v>1</v>
      </c>
      <c r="B116" s="112"/>
      <c r="C116" s="77" t="s">
        <v>343</v>
      </c>
      <c r="D116" s="80">
        <f>(46.798)*10.764</f>
        <v>503.73367200000001</v>
      </c>
      <c r="E116" s="77">
        <v>0</v>
      </c>
      <c r="F116" s="77">
        <f>D116+(IF(E116&lt;201,E116,IF(E116&lt;301,E116/2,E116/3)))</f>
        <v>503.73367200000001</v>
      </c>
      <c r="G116" s="78">
        <v>0</v>
      </c>
      <c r="H116" s="77">
        <f>F116*2</f>
        <v>1007.467344</v>
      </c>
      <c r="I116" s="75">
        <f>3.17*14+1.5*1.2+1.5*0.9</f>
        <v>47.529999999999994</v>
      </c>
      <c r="K116" s="89">
        <f>H116/F116</f>
        <v>2</v>
      </c>
      <c r="L116" s="204">
        <v>780.78719160000003</v>
      </c>
      <c r="M116" s="204"/>
      <c r="N116" s="33"/>
      <c r="T116" s="31"/>
    </row>
    <row r="117" spans="1:20" s="34" customFormat="1" ht="15.75" customHeight="1" x14ac:dyDescent="0.25">
      <c r="A117" s="111">
        <f t="shared" ref="A117:A125" si="2">A116+1</f>
        <v>2</v>
      </c>
      <c r="B117" s="112"/>
      <c r="C117" s="77" t="s">
        <v>343</v>
      </c>
      <c r="D117" s="80">
        <f>(48.323)*10.764</f>
        <v>520.14877200000001</v>
      </c>
      <c r="E117" s="77">
        <v>0</v>
      </c>
      <c r="F117" s="77">
        <f t="shared" ref="F117:F119" si="3">D117+(IF(E117&lt;201,E117,IF(E117&lt;301,E117/2,E117/3)))</f>
        <v>520.14877200000001</v>
      </c>
      <c r="G117" s="77">
        <v>0</v>
      </c>
      <c r="H117" s="77">
        <f t="shared" ref="H117:H136" si="4">F117*2</f>
        <v>1040.297544</v>
      </c>
      <c r="I117" s="33"/>
      <c r="K117" s="89">
        <f t="shared" ref="K117:K136" si="5">H117/F117</f>
        <v>2</v>
      </c>
      <c r="L117" s="204"/>
      <c r="M117" s="204"/>
      <c r="N117" s="33"/>
      <c r="T117" s="18"/>
    </row>
    <row r="118" spans="1:20" s="34" customFormat="1" ht="15.75" customHeight="1" x14ac:dyDescent="0.25">
      <c r="A118" s="111">
        <f t="shared" si="2"/>
        <v>3</v>
      </c>
      <c r="B118" s="112"/>
      <c r="C118" s="77" t="s">
        <v>343</v>
      </c>
      <c r="D118" s="80">
        <f>(46.513)*10.764</f>
        <v>500.66593199999994</v>
      </c>
      <c r="E118" s="77">
        <v>0</v>
      </c>
      <c r="F118" s="77">
        <f t="shared" si="3"/>
        <v>500.66593199999994</v>
      </c>
      <c r="G118" s="77">
        <v>0</v>
      </c>
      <c r="H118" s="77">
        <f t="shared" si="4"/>
        <v>1001.3318639999999</v>
      </c>
      <c r="I118" s="75">
        <f>3.05*15.25</f>
        <v>46.512499999999996</v>
      </c>
      <c r="K118" s="89">
        <f t="shared" si="5"/>
        <v>2</v>
      </c>
      <c r="L118" s="204"/>
      <c r="M118" s="204"/>
      <c r="N118" s="33"/>
      <c r="T118" s="18"/>
    </row>
    <row r="119" spans="1:20" s="34" customFormat="1" x14ac:dyDescent="0.25">
      <c r="A119" s="111">
        <f t="shared" si="2"/>
        <v>4</v>
      </c>
      <c r="B119" s="112"/>
      <c r="C119" s="77" t="s">
        <v>343</v>
      </c>
      <c r="D119" s="80">
        <f>(46.513)*10.764</f>
        <v>500.66593199999994</v>
      </c>
      <c r="E119" s="77">
        <v>0</v>
      </c>
      <c r="F119" s="77">
        <f t="shared" si="3"/>
        <v>500.66593199999994</v>
      </c>
      <c r="G119" s="77">
        <v>0</v>
      </c>
      <c r="H119" s="77">
        <f t="shared" si="4"/>
        <v>1001.3318639999999</v>
      </c>
      <c r="I119" s="33"/>
      <c r="K119" s="89">
        <f t="shared" si="5"/>
        <v>2</v>
      </c>
      <c r="N119" s="33"/>
    </row>
    <row r="120" spans="1:20" x14ac:dyDescent="0.25">
      <c r="A120" s="111">
        <f t="shared" si="2"/>
        <v>5</v>
      </c>
      <c r="B120" s="112"/>
      <c r="C120" s="77" t="s">
        <v>343</v>
      </c>
      <c r="D120" s="80">
        <f>(42.319)*10.764</f>
        <v>455.52171600000003</v>
      </c>
      <c r="E120" s="77">
        <v>0</v>
      </c>
      <c r="F120" s="77">
        <f t="shared" ref="F120:F122" si="6">D120+(IF(E120&lt;201,E120,IF(E120&lt;301,E120/2,E120/3)))</f>
        <v>455.52171600000003</v>
      </c>
      <c r="G120" s="77">
        <v>0</v>
      </c>
      <c r="H120" s="77">
        <f t="shared" si="4"/>
        <v>911.04343200000005</v>
      </c>
      <c r="I120" s="33"/>
      <c r="K120" s="89">
        <f t="shared" si="5"/>
        <v>2</v>
      </c>
      <c r="T120" s="34"/>
    </row>
    <row r="121" spans="1:20" s="34" customFormat="1" x14ac:dyDescent="0.25">
      <c r="A121" s="111">
        <f t="shared" si="2"/>
        <v>6</v>
      </c>
      <c r="B121" s="112"/>
      <c r="C121" s="77" t="s">
        <v>343</v>
      </c>
      <c r="D121" s="80">
        <f>(42.319)*10.764</f>
        <v>455.52171600000003</v>
      </c>
      <c r="E121" s="77">
        <v>0</v>
      </c>
      <c r="F121" s="77">
        <f t="shared" si="6"/>
        <v>455.52171600000003</v>
      </c>
      <c r="G121" s="77">
        <v>0</v>
      </c>
      <c r="H121" s="77">
        <f t="shared" si="4"/>
        <v>911.04343200000005</v>
      </c>
      <c r="I121" s="33"/>
      <c r="K121" s="89">
        <f t="shared" si="5"/>
        <v>2</v>
      </c>
    </row>
    <row r="122" spans="1:20" s="34" customFormat="1" x14ac:dyDescent="0.25">
      <c r="A122" s="111">
        <f t="shared" si="2"/>
        <v>7</v>
      </c>
      <c r="B122" s="112"/>
      <c r="C122" s="77" t="s">
        <v>343</v>
      </c>
      <c r="D122" s="80">
        <f>(46.513)*10.764</f>
        <v>500.66593199999994</v>
      </c>
      <c r="E122" s="77">
        <v>0</v>
      </c>
      <c r="F122" s="77">
        <f t="shared" si="6"/>
        <v>500.66593199999994</v>
      </c>
      <c r="G122" s="77">
        <v>0</v>
      </c>
      <c r="H122" s="77">
        <f t="shared" si="4"/>
        <v>1001.3318639999999</v>
      </c>
      <c r="J122" s="33"/>
      <c r="K122" s="89">
        <f t="shared" si="5"/>
        <v>2</v>
      </c>
    </row>
    <row r="123" spans="1:20" s="34" customFormat="1" ht="15.75" customHeight="1" x14ac:dyDescent="0.25">
      <c r="A123" s="111">
        <f t="shared" si="2"/>
        <v>8</v>
      </c>
      <c r="B123" s="112"/>
      <c r="C123" s="77" t="s">
        <v>343</v>
      </c>
      <c r="D123" s="80">
        <f>(46.513)*10.764</f>
        <v>500.66593199999994</v>
      </c>
      <c r="E123" s="77">
        <v>0</v>
      </c>
      <c r="F123" s="77">
        <f t="shared" ref="F123:F125" si="7">D123+(IF(E123&lt;201,E123,IF(E123&lt;301,E123/2,E123/3)))</f>
        <v>500.66593199999994</v>
      </c>
      <c r="G123" s="77">
        <v>0</v>
      </c>
      <c r="H123" s="77">
        <f t="shared" si="4"/>
        <v>1001.3318639999999</v>
      </c>
      <c r="I123" s="33"/>
      <c r="K123" s="89">
        <f t="shared" si="5"/>
        <v>2</v>
      </c>
      <c r="L123" s="204"/>
      <c r="M123" s="204"/>
      <c r="N123" s="33"/>
    </row>
    <row r="124" spans="1:20" s="34" customFormat="1" ht="15.75" customHeight="1" x14ac:dyDescent="0.25">
      <c r="A124" s="111">
        <f t="shared" si="2"/>
        <v>9</v>
      </c>
      <c r="B124" s="112"/>
      <c r="C124" s="77" t="s">
        <v>343</v>
      </c>
      <c r="D124" s="80">
        <f>(48.323)*10.764</f>
        <v>520.14877200000001</v>
      </c>
      <c r="E124" s="77">
        <v>0</v>
      </c>
      <c r="F124" s="77">
        <f t="shared" si="7"/>
        <v>520.14877200000001</v>
      </c>
      <c r="G124" s="77">
        <v>0</v>
      </c>
      <c r="H124" s="77">
        <f t="shared" si="4"/>
        <v>1040.297544</v>
      </c>
      <c r="I124" s="33"/>
      <c r="K124" s="89">
        <f t="shared" si="5"/>
        <v>2</v>
      </c>
      <c r="L124" s="204"/>
      <c r="M124" s="204"/>
      <c r="N124" s="33"/>
    </row>
    <row r="125" spans="1:20" s="34" customFormat="1" ht="15.75" customHeight="1" x14ac:dyDescent="0.25">
      <c r="A125" s="111">
        <f t="shared" si="2"/>
        <v>10</v>
      </c>
      <c r="B125" s="112"/>
      <c r="C125" s="77" t="s">
        <v>343</v>
      </c>
      <c r="D125" s="80">
        <f>(46.798)*10.764</f>
        <v>503.73367200000001</v>
      </c>
      <c r="E125" s="77">
        <v>0</v>
      </c>
      <c r="F125" s="77">
        <f t="shared" si="7"/>
        <v>503.73367200000001</v>
      </c>
      <c r="G125" s="77">
        <v>0</v>
      </c>
      <c r="H125" s="77">
        <f t="shared" si="4"/>
        <v>1007.467344</v>
      </c>
      <c r="I125" s="33"/>
      <c r="K125" s="89">
        <f t="shared" si="5"/>
        <v>2</v>
      </c>
      <c r="L125" s="204"/>
      <c r="M125" s="204"/>
      <c r="N125" s="33"/>
    </row>
    <row r="126" spans="1:20" s="34" customFormat="1" ht="15.75" customHeight="1" x14ac:dyDescent="0.25">
      <c r="A126" s="205" t="s">
        <v>357</v>
      </c>
      <c r="B126" s="206"/>
      <c r="C126" s="206"/>
      <c r="D126" s="206"/>
      <c r="E126" s="206"/>
      <c r="F126" s="206"/>
      <c r="G126" s="206"/>
      <c r="H126" s="207"/>
      <c r="I126" s="33"/>
      <c r="K126" s="89" t="e">
        <f t="shared" si="5"/>
        <v>#DIV/0!</v>
      </c>
      <c r="L126" s="204"/>
      <c r="M126" s="204"/>
      <c r="N126" s="33"/>
      <c r="T126" s="18"/>
    </row>
    <row r="127" spans="1:20" s="34" customFormat="1" x14ac:dyDescent="0.25">
      <c r="A127" s="111">
        <v>1</v>
      </c>
      <c r="B127" s="112"/>
      <c r="C127" s="77" t="s">
        <v>345</v>
      </c>
      <c r="D127" s="80">
        <f>(41.669)*10.764</f>
        <v>448.52511599999991</v>
      </c>
      <c r="E127" s="77">
        <v>0</v>
      </c>
      <c r="F127" s="77">
        <f>D127+(IF(E127&lt;201,E127,IF(E127&lt;301,E127/2,E127/3)))</f>
        <v>448.52511599999991</v>
      </c>
      <c r="G127" s="78">
        <v>0</v>
      </c>
      <c r="H127" s="77">
        <f>F127*2</f>
        <v>897.05023199999982</v>
      </c>
      <c r="I127" s="33"/>
      <c r="K127" s="89">
        <f t="shared" si="5"/>
        <v>2</v>
      </c>
      <c r="L127" s="204"/>
      <c r="M127" s="204"/>
    </row>
    <row r="128" spans="1:20" s="34" customFormat="1" x14ac:dyDescent="0.25">
      <c r="A128" s="111">
        <f t="shared" ref="A128:A136" si="8">A127+1</f>
        <v>2</v>
      </c>
      <c r="B128" s="112"/>
      <c r="C128" s="77" t="s">
        <v>345</v>
      </c>
      <c r="D128" s="80">
        <f>(41.669)*10.764</f>
        <v>448.52511599999991</v>
      </c>
      <c r="E128" s="77">
        <v>0</v>
      </c>
      <c r="F128" s="77">
        <f t="shared" ref="F128:F136" si="9">D128+(IF(E128&lt;201,E128,IF(E128&lt;301,E128/2,E128/3)))</f>
        <v>448.52511599999991</v>
      </c>
      <c r="G128" s="77">
        <v>0</v>
      </c>
      <c r="H128" s="77">
        <f t="shared" si="4"/>
        <v>897.05023199999982</v>
      </c>
      <c r="I128" s="33"/>
      <c r="K128" s="89">
        <f t="shared" si="5"/>
        <v>2</v>
      </c>
      <c r="N128" s="33"/>
    </row>
    <row r="129" spans="1:14" s="34" customFormat="1" x14ac:dyDescent="0.25">
      <c r="A129" s="111">
        <f t="shared" si="8"/>
        <v>3</v>
      </c>
      <c r="B129" s="112"/>
      <c r="C129" s="77" t="s">
        <v>345</v>
      </c>
      <c r="D129" s="80">
        <f>(40.108)*10.764</f>
        <v>431.72251199999994</v>
      </c>
      <c r="E129" s="77">
        <v>0</v>
      </c>
      <c r="F129" s="77">
        <f t="shared" si="9"/>
        <v>431.72251199999994</v>
      </c>
      <c r="G129" s="77">
        <v>0</v>
      </c>
      <c r="H129" s="77">
        <f t="shared" si="4"/>
        <v>863.44502399999988</v>
      </c>
      <c r="I129" s="33"/>
      <c r="K129" s="89">
        <f t="shared" si="5"/>
        <v>2</v>
      </c>
      <c r="N129" s="33"/>
    </row>
    <row r="130" spans="1:14" s="34" customFormat="1" x14ac:dyDescent="0.25">
      <c r="A130" s="111">
        <f t="shared" si="8"/>
        <v>4</v>
      </c>
      <c r="B130" s="112"/>
      <c r="C130" s="77" t="s">
        <v>345</v>
      </c>
      <c r="D130" s="80">
        <f>(40.108)*10.764</f>
        <v>431.72251199999994</v>
      </c>
      <c r="E130" s="77">
        <v>0</v>
      </c>
      <c r="F130" s="77">
        <f t="shared" si="9"/>
        <v>431.72251199999994</v>
      </c>
      <c r="G130" s="77">
        <v>0</v>
      </c>
      <c r="H130" s="77">
        <f t="shared" si="4"/>
        <v>863.44502399999988</v>
      </c>
      <c r="I130" s="33"/>
      <c r="K130" s="89">
        <f t="shared" si="5"/>
        <v>2</v>
      </c>
      <c r="N130" s="33"/>
    </row>
    <row r="131" spans="1:14" s="34" customFormat="1" x14ac:dyDescent="0.25">
      <c r="A131" s="111">
        <f t="shared" si="8"/>
        <v>5</v>
      </c>
      <c r="B131" s="112"/>
      <c r="C131" s="77" t="s">
        <v>345</v>
      </c>
      <c r="D131" s="80">
        <f>(36.491)*10.764</f>
        <v>392.78912399999996</v>
      </c>
      <c r="E131" s="77">
        <v>0</v>
      </c>
      <c r="F131" s="77">
        <f t="shared" si="9"/>
        <v>392.78912399999996</v>
      </c>
      <c r="G131" s="77">
        <v>0</v>
      </c>
      <c r="H131" s="77">
        <f t="shared" si="4"/>
        <v>785.57824799999992</v>
      </c>
      <c r="I131" s="33"/>
      <c r="K131" s="89">
        <f t="shared" si="5"/>
        <v>2</v>
      </c>
      <c r="N131" s="33"/>
    </row>
    <row r="132" spans="1:14" s="34" customFormat="1" x14ac:dyDescent="0.25">
      <c r="A132" s="111">
        <f t="shared" si="8"/>
        <v>6</v>
      </c>
      <c r="B132" s="112"/>
      <c r="C132" s="77" t="s">
        <v>345</v>
      </c>
      <c r="D132" s="80">
        <f>(36.491)*10.764</f>
        <v>392.78912399999996</v>
      </c>
      <c r="E132" s="77">
        <v>0</v>
      </c>
      <c r="F132" s="77">
        <f t="shared" si="9"/>
        <v>392.78912399999996</v>
      </c>
      <c r="G132" s="77">
        <v>0</v>
      </c>
      <c r="H132" s="77">
        <f t="shared" si="4"/>
        <v>785.57824799999992</v>
      </c>
      <c r="I132" s="33"/>
      <c r="K132" s="89">
        <f t="shared" si="5"/>
        <v>2</v>
      </c>
      <c r="N132" s="33"/>
    </row>
    <row r="133" spans="1:14" s="34" customFormat="1" ht="15.75" customHeight="1" x14ac:dyDescent="0.25">
      <c r="A133" s="111">
        <f t="shared" si="8"/>
        <v>7</v>
      </c>
      <c r="B133" s="112"/>
      <c r="C133" s="77" t="s">
        <v>345</v>
      </c>
      <c r="D133" s="80">
        <f>(40.108)*10.764</f>
        <v>431.72251199999994</v>
      </c>
      <c r="E133" s="77">
        <v>0</v>
      </c>
      <c r="F133" s="77">
        <f t="shared" si="9"/>
        <v>431.72251199999994</v>
      </c>
      <c r="G133" s="77">
        <v>0</v>
      </c>
      <c r="H133" s="77">
        <f t="shared" si="4"/>
        <v>863.44502399999988</v>
      </c>
      <c r="I133" s="33"/>
      <c r="K133" s="89">
        <f t="shared" si="5"/>
        <v>2</v>
      </c>
    </row>
    <row r="134" spans="1:14" s="34" customFormat="1" ht="15.75" customHeight="1" x14ac:dyDescent="0.25">
      <c r="A134" s="111">
        <f t="shared" si="8"/>
        <v>8</v>
      </c>
      <c r="B134" s="112"/>
      <c r="C134" s="77" t="s">
        <v>345</v>
      </c>
      <c r="D134" s="80">
        <f>(40.108)*10.764</f>
        <v>431.72251199999994</v>
      </c>
      <c r="E134" s="77">
        <v>0</v>
      </c>
      <c r="F134" s="77">
        <f t="shared" si="9"/>
        <v>431.72251199999994</v>
      </c>
      <c r="G134" s="77">
        <v>0</v>
      </c>
      <c r="H134" s="77">
        <f t="shared" si="4"/>
        <v>863.44502399999988</v>
      </c>
      <c r="I134" s="33"/>
      <c r="K134" s="89">
        <f t="shared" si="5"/>
        <v>2</v>
      </c>
    </row>
    <row r="135" spans="1:14" s="34" customFormat="1" ht="15.75" customHeight="1" x14ac:dyDescent="0.25">
      <c r="A135" s="111">
        <f t="shared" si="8"/>
        <v>9</v>
      </c>
      <c r="B135" s="112"/>
      <c r="C135" s="77" t="s">
        <v>345</v>
      </c>
      <c r="D135" s="80">
        <f>(41.669)*10.764</f>
        <v>448.52511599999991</v>
      </c>
      <c r="E135" s="77">
        <v>0</v>
      </c>
      <c r="F135" s="77">
        <f t="shared" si="9"/>
        <v>448.52511599999991</v>
      </c>
      <c r="G135" s="77">
        <v>0</v>
      </c>
      <c r="H135" s="77">
        <f t="shared" si="4"/>
        <v>897.05023199999982</v>
      </c>
      <c r="I135" s="33"/>
      <c r="K135" s="89">
        <f t="shared" si="5"/>
        <v>2</v>
      </c>
    </row>
    <row r="136" spans="1:14" s="34" customFormat="1" ht="15.75" customHeight="1" x14ac:dyDescent="0.25">
      <c r="A136" s="111">
        <f t="shared" si="8"/>
        <v>10</v>
      </c>
      <c r="B136" s="112"/>
      <c r="C136" s="77" t="s">
        <v>345</v>
      </c>
      <c r="D136" s="80">
        <f>(41.669)*10.764</f>
        <v>448.52511599999991</v>
      </c>
      <c r="E136" s="77">
        <v>0</v>
      </c>
      <c r="F136" s="77">
        <f t="shared" si="9"/>
        <v>448.52511599999991</v>
      </c>
      <c r="G136" s="77">
        <v>0</v>
      </c>
      <c r="H136" s="77">
        <f t="shared" si="4"/>
        <v>897.05023199999982</v>
      </c>
      <c r="I136" s="33"/>
      <c r="K136" s="89">
        <f t="shared" si="5"/>
        <v>2</v>
      </c>
    </row>
    <row r="137" spans="1:14" s="71" customFormat="1" ht="15.75" customHeight="1" x14ac:dyDescent="0.25">
      <c r="A137" s="111" t="s">
        <v>347</v>
      </c>
      <c r="B137" s="112"/>
      <c r="C137" s="111" t="s">
        <v>359</v>
      </c>
      <c r="D137" s="242"/>
      <c r="E137" s="242"/>
      <c r="F137" s="242"/>
      <c r="G137" s="242"/>
      <c r="H137" s="112"/>
      <c r="I137" s="33"/>
      <c r="K137" s="85" t="e">
        <f t="shared" ref="K137" si="10">900/F137</f>
        <v>#DIV/0!</v>
      </c>
    </row>
    <row r="138" spans="1:14" s="34" customFormat="1" ht="15.75" customHeight="1" x14ac:dyDescent="0.25">
      <c r="A138" s="106"/>
      <c r="B138" s="159"/>
      <c r="C138" s="159"/>
      <c r="D138" s="159"/>
      <c r="E138" s="159"/>
      <c r="F138" s="159"/>
      <c r="G138" s="159"/>
      <c r="H138" s="107"/>
      <c r="I138" s="33"/>
    </row>
    <row r="139" spans="1:14" s="34" customFormat="1" ht="48.75" customHeight="1" x14ac:dyDescent="0.25">
      <c r="A139" s="160" t="s">
        <v>117</v>
      </c>
      <c r="B139" s="155" t="s">
        <v>173</v>
      </c>
      <c r="C139" s="155" t="s">
        <v>55</v>
      </c>
      <c r="D139" s="126" t="s">
        <v>375</v>
      </c>
      <c r="E139" s="126" t="s">
        <v>376</v>
      </c>
      <c r="F139" s="155" t="s">
        <v>56</v>
      </c>
      <c r="G139" s="223" t="s">
        <v>57</v>
      </c>
      <c r="H139" s="84" t="s">
        <v>377</v>
      </c>
      <c r="I139" s="81"/>
      <c r="J139" s="82" t="s">
        <v>360</v>
      </c>
    </row>
    <row r="140" spans="1:14" s="34" customFormat="1" x14ac:dyDescent="0.25">
      <c r="A140" s="161"/>
      <c r="B140" s="156"/>
      <c r="C140" s="156"/>
      <c r="D140" s="127"/>
      <c r="E140" s="127"/>
      <c r="F140" s="156"/>
      <c r="G140" s="224"/>
      <c r="H140" s="76">
        <v>0.65</v>
      </c>
      <c r="I140" s="33"/>
    </row>
    <row r="141" spans="1:14" s="34" customFormat="1" ht="15.75" customHeight="1" x14ac:dyDescent="0.25">
      <c r="A141" s="132" t="s">
        <v>346</v>
      </c>
      <c r="B141" s="133"/>
      <c r="C141" s="133"/>
      <c r="D141" s="133"/>
      <c r="E141" s="133"/>
      <c r="F141" s="133"/>
      <c r="G141" s="133"/>
      <c r="H141" s="134"/>
      <c r="I141" s="80">
        <v>10.763999999999999</v>
      </c>
    </row>
    <row r="142" spans="1:14" s="34" customFormat="1" ht="36.75" customHeight="1" x14ac:dyDescent="0.25">
      <c r="A142" s="132" t="s">
        <v>349</v>
      </c>
      <c r="B142" s="133"/>
      <c r="C142" s="133"/>
      <c r="D142" s="133"/>
      <c r="E142" s="133"/>
      <c r="F142" s="133"/>
      <c r="G142" s="133"/>
      <c r="H142" s="134"/>
      <c r="I142" s="33"/>
    </row>
    <row r="143" spans="1:14" s="71" customFormat="1" x14ac:dyDescent="0.25">
      <c r="A143" s="106" t="s">
        <v>347</v>
      </c>
      <c r="B143" s="107"/>
      <c r="C143" s="106" t="s">
        <v>358</v>
      </c>
      <c r="D143" s="159"/>
      <c r="E143" s="159"/>
      <c r="F143" s="159"/>
      <c r="G143" s="107"/>
      <c r="H143" s="70"/>
      <c r="I143" s="33">
        <f>F144*(($H$140)+1)+(IF(G144&lt;101,G144,IF(G144&lt;201,G144/2,IF(G144&lt;=301,G144/3,G144/4))))</f>
        <v>1180.7246879999998</v>
      </c>
    </row>
    <row r="144" spans="1:14" s="34" customFormat="1" ht="15.75" customHeight="1" x14ac:dyDescent="0.25">
      <c r="A144" s="106">
        <v>1</v>
      </c>
      <c r="B144" s="107"/>
      <c r="C144" s="39" t="s">
        <v>350</v>
      </c>
      <c r="D144" s="80">
        <f>(57.6)*10.764</f>
        <v>620.00639999999999</v>
      </c>
      <c r="E144" s="80">
        <f>(3+0.75*(2.19+2.85+2.8))*10.764</f>
        <v>95.584319999999977</v>
      </c>
      <c r="F144" s="39">
        <f t="shared" ref="F144:F153" si="11">D144+E144</f>
        <v>715.59071999999992</v>
      </c>
      <c r="G144" s="50">
        <v>0</v>
      </c>
      <c r="H144" s="50">
        <v>1180</v>
      </c>
      <c r="I144" s="33"/>
      <c r="K144" s="90">
        <f>H144/F144</f>
        <v>1.6489872870346896</v>
      </c>
    </row>
    <row r="145" spans="1:20" s="34" customFormat="1" ht="15.75" customHeight="1" x14ac:dyDescent="0.25">
      <c r="A145" s="106">
        <f>A144+1</f>
        <v>2</v>
      </c>
      <c r="B145" s="107"/>
      <c r="C145" s="70" t="s">
        <v>350</v>
      </c>
      <c r="D145" s="80">
        <f>(57.46)*10.764</f>
        <v>618.49943999999994</v>
      </c>
      <c r="E145" s="80">
        <f>(3+0.75*(2.5+3.05*2))*10.764</f>
        <v>101.71979999999999</v>
      </c>
      <c r="F145" s="50">
        <f t="shared" si="11"/>
        <v>720.2192399999999</v>
      </c>
      <c r="G145" s="50">
        <v>0</v>
      </c>
      <c r="H145" s="50">
        <v>1190</v>
      </c>
      <c r="I145" s="33"/>
      <c r="K145" s="90">
        <f t="shared" ref="K145:K153" si="12">H145/F145</f>
        <v>1.6522746601437643</v>
      </c>
    </row>
    <row r="146" spans="1:20" s="34" customFormat="1" ht="15.75" customHeight="1" x14ac:dyDescent="0.25">
      <c r="A146" s="106">
        <f>A145+1</f>
        <v>3</v>
      </c>
      <c r="B146" s="107"/>
      <c r="C146" s="70" t="s">
        <v>350</v>
      </c>
      <c r="D146" s="80">
        <f>(55.91)*10.764</f>
        <v>601.8152399999999</v>
      </c>
      <c r="E146" s="80">
        <f>(3+0.75*(2.19+2.85+2.8))*10.764</f>
        <v>95.584319999999977</v>
      </c>
      <c r="F146" s="50">
        <f t="shared" si="11"/>
        <v>697.39955999999984</v>
      </c>
      <c r="G146" s="50">
        <v>0</v>
      </c>
      <c r="H146" s="50">
        <v>1155</v>
      </c>
      <c r="I146" s="33"/>
      <c r="K146" s="90">
        <f t="shared" si="12"/>
        <v>1.6561524644495047</v>
      </c>
    </row>
    <row r="147" spans="1:20" s="34" customFormat="1" x14ac:dyDescent="0.25">
      <c r="A147" s="106">
        <f>A146+1</f>
        <v>4</v>
      </c>
      <c r="B147" s="107"/>
      <c r="C147" s="70" t="s">
        <v>351</v>
      </c>
      <c r="D147" s="80">
        <f>(33.48)*10.764</f>
        <v>360.37871999999993</v>
      </c>
      <c r="E147" s="80">
        <f>(0.75*(2.75*2+2.1))*10.764</f>
        <v>61.35479999999999</v>
      </c>
      <c r="F147" s="50">
        <f t="shared" si="11"/>
        <v>421.73351999999994</v>
      </c>
      <c r="G147" s="50">
        <v>0</v>
      </c>
      <c r="H147" s="50">
        <v>700</v>
      </c>
      <c r="I147" s="33"/>
      <c r="K147" s="90">
        <f t="shared" si="12"/>
        <v>1.6598158951178461</v>
      </c>
    </row>
    <row r="148" spans="1:20" s="34" customFormat="1" ht="15.75" customHeight="1" x14ac:dyDescent="0.25">
      <c r="A148" s="106">
        <f>A147+1</f>
        <v>5</v>
      </c>
      <c r="B148" s="107"/>
      <c r="C148" s="70" t="s">
        <v>351</v>
      </c>
      <c r="D148" s="80">
        <f>(33.48)*10.764</f>
        <v>360.37871999999993</v>
      </c>
      <c r="E148" s="80">
        <f>(0.75*(2.75*2+2.1))*10.764</f>
        <v>61.35479999999999</v>
      </c>
      <c r="F148" s="70">
        <f t="shared" si="11"/>
        <v>421.73351999999994</v>
      </c>
      <c r="G148" s="70">
        <v>0</v>
      </c>
      <c r="H148" s="83">
        <v>700</v>
      </c>
      <c r="I148" s="33">
        <f>4.3*2.75+2.35*2.1+3.35*2.75+1.2*0.9+1.75*1.2+1.4*1+0.9*2.3</f>
        <v>32.622499999999995</v>
      </c>
      <c r="K148" s="90">
        <f t="shared" si="12"/>
        <v>1.6598158951178461</v>
      </c>
    </row>
    <row r="149" spans="1:20" s="34" customFormat="1" ht="15.75" customHeight="1" x14ac:dyDescent="0.25">
      <c r="A149" s="125">
        <v>6</v>
      </c>
      <c r="B149" s="125"/>
      <c r="C149" s="70" t="s">
        <v>351</v>
      </c>
      <c r="D149" s="80">
        <f>(33.48)*10.764</f>
        <v>360.37871999999993</v>
      </c>
      <c r="E149" s="80">
        <f>(0.75*(2.75*2+2.1))*10.764</f>
        <v>61.35479999999999</v>
      </c>
      <c r="F149" s="50">
        <f t="shared" si="11"/>
        <v>421.73351999999994</v>
      </c>
      <c r="G149" s="50">
        <v>0</v>
      </c>
      <c r="H149" s="83">
        <v>700</v>
      </c>
      <c r="I149" s="33"/>
      <c r="K149" s="90">
        <f t="shared" si="12"/>
        <v>1.6598158951178461</v>
      </c>
    </row>
    <row r="150" spans="1:20" s="34" customFormat="1" ht="15.75" customHeight="1" x14ac:dyDescent="0.25">
      <c r="A150" s="125">
        <f>A149+1</f>
        <v>7</v>
      </c>
      <c r="B150" s="125"/>
      <c r="C150" s="70" t="s">
        <v>351</v>
      </c>
      <c r="D150" s="80">
        <f>(33.48)*10.764</f>
        <v>360.37871999999993</v>
      </c>
      <c r="E150" s="80">
        <f>(0.75*(2.75*2+2.1))*10.764</f>
        <v>61.35479999999999</v>
      </c>
      <c r="F150" s="50">
        <f t="shared" si="11"/>
        <v>421.73351999999994</v>
      </c>
      <c r="G150" s="50">
        <v>0</v>
      </c>
      <c r="H150" s="83">
        <v>700</v>
      </c>
      <c r="I150" s="33"/>
      <c r="K150" s="90">
        <f t="shared" si="12"/>
        <v>1.6598158951178461</v>
      </c>
    </row>
    <row r="151" spans="1:20" s="34" customFormat="1" ht="15.75" customHeight="1" x14ac:dyDescent="0.25">
      <c r="A151" s="125">
        <f>A150+1</f>
        <v>8</v>
      </c>
      <c r="B151" s="125"/>
      <c r="C151" s="70" t="s">
        <v>350</v>
      </c>
      <c r="D151" s="80">
        <f>(49.72)*10.764</f>
        <v>535.18607999999995</v>
      </c>
      <c r="E151" s="80">
        <f>(3+0.75*(2.19+2.8+2.85))*10.764</f>
        <v>95.584319999999977</v>
      </c>
      <c r="F151" s="50">
        <f t="shared" si="11"/>
        <v>630.77039999999988</v>
      </c>
      <c r="G151" s="50">
        <v>0</v>
      </c>
      <c r="H151" s="50">
        <v>1035</v>
      </c>
      <c r="I151" s="33"/>
      <c r="K151" s="90">
        <f t="shared" si="12"/>
        <v>1.6408506169598323</v>
      </c>
    </row>
    <row r="152" spans="1:20" s="34" customFormat="1" ht="15.75" customHeight="1" x14ac:dyDescent="0.25">
      <c r="A152" s="125">
        <f>A151+1</f>
        <v>9</v>
      </c>
      <c r="B152" s="125"/>
      <c r="C152" s="70" t="s">
        <v>350</v>
      </c>
      <c r="D152" s="80">
        <f>(56.31)*10.764</f>
        <v>606.12084000000004</v>
      </c>
      <c r="E152" s="80">
        <f>(3+0.75*(2.5+3.05*2))*10.764</f>
        <v>101.71979999999999</v>
      </c>
      <c r="F152" s="50">
        <f t="shared" si="11"/>
        <v>707.84064000000001</v>
      </c>
      <c r="G152" s="50">
        <v>0</v>
      </c>
      <c r="H152" s="50">
        <v>1165</v>
      </c>
      <c r="I152" s="33"/>
      <c r="K152" s="90">
        <f t="shared" si="12"/>
        <v>1.6458506818709928</v>
      </c>
    </row>
    <row r="153" spans="1:20" s="32" customFormat="1" x14ac:dyDescent="0.25">
      <c r="A153" s="125">
        <f>A152+1</f>
        <v>10</v>
      </c>
      <c r="B153" s="125"/>
      <c r="C153" s="70" t="s">
        <v>350</v>
      </c>
      <c r="D153" s="80">
        <f>(50.99)*10.764</f>
        <v>548.85636</v>
      </c>
      <c r="E153" s="80">
        <f>(3+0.75*(2.19+2.85+2.8))*10.764</f>
        <v>95.584319999999977</v>
      </c>
      <c r="F153" s="50">
        <f t="shared" si="11"/>
        <v>644.44067999999993</v>
      </c>
      <c r="G153" s="50">
        <v>0</v>
      </c>
      <c r="H153" s="50">
        <v>1065</v>
      </c>
      <c r="I153" s="79">
        <f>3.05*5.17+4.37*0.64+2.19*2.35+3*2.8+2.85*3.35+1.8*1.2+2.1*1.2+1.5*0.9+1.2*1.1</f>
        <v>49.009300000000003</v>
      </c>
      <c r="K153" s="90">
        <f t="shared" si="12"/>
        <v>1.6525958603358188</v>
      </c>
      <c r="T153" s="34"/>
    </row>
    <row r="154" spans="1:20" s="32" customFormat="1" x14ac:dyDescent="0.25">
      <c r="A154" s="125" t="s">
        <v>347</v>
      </c>
      <c r="B154" s="125"/>
      <c r="C154" s="106" t="s">
        <v>348</v>
      </c>
      <c r="D154" s="159"/>
      <c r="E154" s="159"/>
      <c r="F154" s="159"/>
      <c r="G154" s="107"/>
      <c r="H154" s="70"/>
      <c r="K154" s="89" t="e">
        <f t="shared" ref="K154:K156" si="13">1075/F154</f>
        <v>#DIV/0!</v>
      </c>
      <c r="T154" s="71"/>
    </row>
    <row r="155" spans="1:20" s="32" customFormat="1" x14ac:dyDescent="0.25">
      <c r="A155" s="132" t="s">
        <v>384</v>
      </c>
      <c r="B155" s="133"/>
      <c r="C155" s="133"/>
      <c r="D155" s="133"/>
      <c r="E155" s="133"/>
      <c r="F155" s="133"/>
      <c r="G155" s="133"/>
      <c r="H155" s="134"/>
      <c r="K155" s="89" t="e">
        <f t="shared" si="13"/>
        <v>#DIV/0!</v>
      </c>
      <c r="T155" s="34"/>
    </row>
    <row r="156" spans="1:20" s="32" customFormat="1" ht="15.75" customHeight="1" x14ac:dyDescent="0.25">
      <c r="A156" s="106">
        <v>1</v>
      </c>
      <c r="B156" s="107"/>
      <c r="C156" s="70" t="s">
        <v>351</v>
      </c>
      <c r="D156" s="80">
        <f>(34)*10.764</f>
        <v>365.976</v>
      </c>
      <c r="E156" s="80">
        <f>(0.75*(2.75+1.8+3.05))*10.764</f>
        <v>61.35479999999999</v>
      </c>
      <c r="F156" s="70">
        <f t="shared" ref="F156:F169" si="14">D156+E156</f>
        <v>427.33080000000001</v>
      </c>
      <c r="G156" s="70">
        <v>0</v>
      </c>
      <c r="H156" s="83">
        <v>705</v>
      </c>
      <c r="J156" s="32">
        <f>H156/F156</f>
        <v>1.6497757709016059</v>
      </c>
      <c r="K156" s="89">
        <f t="shared" si="13"/>
        <v>2.5156155371903921</v>
      </c>
      <c r="T156" s="34"/>
    </row>
    <row r="157" spans="1:20" s="32" customFormat="1" ht="15.75" customHeight="1" x14ac:dyDescent="0.25">
      <c r="A157" s="106">
        <f>A156+1</f>
        <v>2</v>
      </c>
      <c r="B157" s="107"/>
      <c r="C157" s="70" t="s">
        <v>351</v>
      </c>
      <c r="D157" s="80">
        <f>(32.6)*10.764</f>
        <v>350.90640000000002</v>
      </c>
      <c r="E157" s="80">
        <f>(0.75*(2.75*2+2.1))*10.764</f>
        <v>61.35479999999999</v>
      </c>
      <c r="F157" s="70">
        <f t="shared" si="14"/>
        <v>412.26120000000003</v>
      </c>
      <c r="G157" s="70">
        <v>0</v>
      </c>
      <c r="H157" s="83">
        <v>680</v>
      </c>
      <c r="J157" s="32">
        <f t="shared" ref="J157:J169" si="15">H157/F157</f>
        <v>1.6494397241360572</v>
      </c>
      <c r="T157" s="34"/>
    </row>
    <row r="158" spans="1:20" s="32" customFormat="1" ht="15.75" customHeight="1" x14ac:dyDescent="0.25">
      <c r="A158" s="106">
        <f>A157+1</f>
        <v>3</v>
      </c>
      <c r="B158" s="107"/>
      <c r="C158" s="70" t="s">
        <v>350</v>
      </c>
      <c r="D158" s="80">
        <f>(57.6)*10.764</f>
        <v>620.00639999999999</v>
      </c>
      <c r="E158" s="80">
        <f>(3+0.75*(2.19+2.85+2.8))*10.764</f>
        <v>95.584319999999977</v>
      </c>
      <c r="F158" s="70">
        <f t="shared" si="14"/>
        <v>715.59071999999992</v>
      </c>
      <c r="G158" s="70">
        <v>0</v>
      </c>
      <c r="H158" s="83">
        <v>1185</v>
      </c>
      <c r="J158" s="32">
        <f t="shared" si="15"/>
        <v>1.6559745213017856</v>
      </c>
      <c r="T158" s="34"/>
    </row>
    <row r="159" spans="1:20" s="32" customFormat="1" ht="15.75" customHeight="1" x14ac:dyDescent="0.25">
      <c r="A159" s="106">
        <f>A158+1</f>
        <v>4</v>
      </c>
      <c r="B159" s="107"/>
      <c r="C159" s="70" t="s">
        <v>350</v>
      </c>
      <c r="D159" s="80">
        <f>(57.46)*10.764</f>
        <v>618.49943999999994</v>
      </c>
      <c r="E159" s="80">
        <f>(3+0.75*(2.5+3.05*2))*10.764</f>
        <v>101.71979999999999</v>
      </c>
      <c r="F159" s="70">
        <f t="shared" si="14"/>
        <v>720.2192399999999</v>
      </c>
      <c r="G159" s="70">
        <v>0</v>
      </c>
      <c r="H159" s="83">
        <v>1195</v>
      </c>
      <c r="J159" s="32">
        <f t="shared" si="15"/>
        <v>1.6592169906485699</v>
      </c>
      <c r="T159" s="34"/>
    </row>
    <row r="160" spans="1:20" s="32" customFormat="1" ht="15.75" customHeight="1" x14ac:dyDescent="0.25">
      <c r="A160" s="106">
        <f>A159+1</f>
        <v>5</v>
      </c>
      <c r="B160" s="107"/>
      <c r="C160" s="70" t="s">
        <v>350</v>
      </c>
      <c r="D160" s="80">
        <f>(55.91)*10.764</f>
        <v>601.8152399999999</v>
      </c>
      <c r="E160" s="80">
        <f>(3+0.75*(2.19+2.85+2.8))*10.764</f>
        <v>95.584319999999977</v>
      </c>
      <c r="F160" s="70">
        <f t="shared" si="14"/>
        <v>697.39955999999984</v>
      </c>
      <c r="G160" s="70">
        <v>0</v>
      </c>
      <c r="H160" s="83">
        <v>1150</v>
      </c>
      <c r="J160" s="32">
        <f t="shared" si="15"/>
        <v>1.6489829732614116</v>
      </c>
    </row>
    <row r="161" spans="1:20" s="32" customFormat="1" ht="15.75" customHeight="1" x14ac:dyDescent="0.25">
      <c r="A161" s="125">
        <v>6</v>
      </c>
      <c r="B161" s="125"/>
      <c r="C161" s="70" t="s">
        <v>351</v>
      </c>
      <c r="D161" s="80">
        <f>(33.48)*10.764</f>
        <v>360.37871999999993</v>
      </c>
      <c r="E161" s="80">
        <f>(0.75*(2.75*2+2.1))*10.764</f>
        <v>61.35479999999999</v>
      </c>
      <c r="F161" s="70">
        <f t="shared" si="14"/>
        <v>421.73351999999994</v>
      </c>
      <c r="G161" s="70">
        <v>0</v>
      </c>
      <c r="H161" s="83">
        <v>700</v>
      </c>
      <c r="J161" s="32">
        <f t="shared" si="15"/>
        <v>1.6598158951178461</v>
      </c>
    </row>
    <row r="162" spans="1:20" s="32" customFormat="1" x14ac:dyDescent="0.25">
      <c r="A162" s="125">
        <f t="shared" ref="A162:A169" si="16">A161+1</f>
        <v>7</v>
      </c>
      <c r="B162" s="125"/>
      <c r="C162" s="70" t="s">
        <v>351</v>
      </c>
      <c r="D162" s="80">
        <f>(33.48)*10.764</f>
        <v>360.37871999999993</v>
      </c>
      <c r="E162" s="80">
        <f>(0.75*(2.75*2+2.1))*10.764</f>
        <v>61.35479999999999</v>
      </c>
      <c r="F162" s="70">
        <f t="shared" si="14"/>
        <v>421.73351999999994</v>
      </c>
      <c r="G162" s="70">
        <v>0</v>
      </c>
      <c r="H162" s="83">
        <v>700</v>
      </c>
      <c r="J162" s="32">
        <f t="shared" si="15"/>
        <v>1.6598158951178461</v>
      </c>
    </row>
    <row r="163" spans="1:20" s="32" customFormat="1" x14ac:dyDescent="0.25">
      <c r="A163" s="125">
        <f t="shared" si="16"/>
        <v>8</v>
      </c>
      <c r="B163" s="125"/>
      <c r="C163" s="70" t="s">
        <v>351</v>
      </c>
      <c r="D163" s="80">
        <f>(33.48)*10.764</f>
        <v>360.37871999999993</v>
      </c>
      <c r="E163" s="80">
        <f>(0.75*(2.75*2+2.1))*10.764</f>
        <v>61.35479999999999</v>
      </c>
      <c r="F163" s="70">
        <f t="shared" si="14"/>
        <v>421.73351999999994</v>
      </c>
      <c r="G163" s="70">
        <v>0</v>
      </c>
      <c r="H163" s="83">
        <v>700</v>
      </c>
      <c r="J163" s="32">
        <f t="shared" si="15"/>
        <v>1.6598158951178461</v>
      </c>
    </row>
    <row r="164" spans="1:20" s="32" customFormat="1" x14ac:dyDescent="0.25">
      <c r="A164" s="125">
        <f t="shared" si="16"/>
        <v>9</v>
      </c>
      <c r="B164" s="125"/>
      <c r="C164" s="70" t="s">
        <v>351</v>
      </c>
      <c r="D164" s="80">
        <f>(33.48)*10.764</f>
        <v>360.37871999999993</v>
      </c>
      <c r="E164" s="80">
        <f>(0.75*(2.75*2+2.1))*10.764</f>
        <v>61.35479999999999</v>
      </c>
      <c r="F164" s="70">
        <f t="shared" si="14"/>
        <v>421.73351999999994</v>
      </c>
      <c r="G164" s="70">
        <v>0</v>
      </c>
      <c r="H164" s="83">
        <v>700</v>
      </c>
      <c r="J164" s="32">
        <f t="shared" si="15"/>
        <v>1.6598158951178461</v>
      </c>
    </row>
    <row r="165" spans="1:20" s="32" customFormat="1" x14ac:dyDescent="0.25">
      <c r="A165" s="125">
        <f t="shared" si="16"/>
        <v>10</v>
      </c>
      <c r="B165" s="125"/>
      <c r="C165" s="70" t="s">
        <v>350</v>
      </c>
      <c r="D165" s="80">
        <f>(49.72)*10.764</f>
        <v>535.18607999999995</v>
      </c>
      <c r="E165" s="80">
        <f>(3+0.75*(2.19+2.8+2.85))*10.764</f>
        <v>95.584319999999977</v>
      </c>
      <c r="F165" s="70">
        <f t="shared" si="14"/>
        <v>630.77039999999988</v>
      </c>
      <c r="G165" s="70">
        <v>0</v>
      </c>
      <c r="H165" s="83">
        <v>1035</v>
      </c>
      <c r="J165" s="32">
        <f t="shared" si="15"/>
        <v>1.6408506169598323</v>
      </c>
    </row>
    <row r="166" spans="1:20" x14ac:dyDescent="0.25">
      <c r="A166" s="125">
        <f t="shared" si="16"/>
        <v>11</v>
      </c>
      <c r="B166" s="125"/>
      <c r="C166" s="70" t="s">
        <v>350</v>
      </c>
      <c r="D166" s="80">
        <f>(56.31)*10.764</f>
        <v>606.12084000000004</v>
      </c>
      <c r="E166" s="80">
        <f>(3+0.75*(2.5+3.05*2))*10.764</f>
        <v>101.71979999999999</v>
      </c>
      <c r="F166" s="50">
        <f t="shared" si="14"/>
        <v>707.84064000000001</v>
      </c>
      <c r="G166" s="50">
        <v>0</v>
      </c>
      <c r="H166" s="83">
        <v>1175</v>
      </c>
      <c r="J166" s="32">
        <f t="shared" si="15"/>
        <v>1.6599781555351216</v>
      </c>
      <c r="T166" s="32"/>
    </row>
    <row r="167" spans="1:20" ht="15.75" customHeight="1" x14ac:dyDescent="0.25">
      <c r="A167" s="125">
        <f t="shared" si="16"/>
        <v>12</v>
      </c>
      <c r="B167" s="125"/>
      <c r="C167" s="70" t="s">
        <v>350</v>
      </c>
      <c r="D167" s="80">
        <f>(50.99)*10.764</f>
        <v>548.85636</v>
      </c>
      <c r="E167" s="80">
        <f>(3+0.75*(2.19+2.85+2.8))*10.764</f>
        <v>95.584319999999977</v>
      </c>
      <c r="F167" s="70">
        <f t="shared" si="14"/>
        <v>644.44067999999993</v>
      </c>
      <c r="G167" s="70">
        <v>0</v>
      </c>
      <c r="H167" s="83">
        <v>1065</v>
      </c>
      <c r="J167" s="32">
        <f t="shared" si="15"/>
        <v>1.6525958603358188</v>
      </c>
      <c r="T167" s="32"/>
    </row>
    <row r="168" spans="1:20" ht="15.75" customHeight="1" x14ac:dyDescent="0.25">
      <c r="A168" s="125">
        <f t="shared" si="16"/>
        <v>13</v>
      </c>
      <c r="B168" s="125"/>
      <c r="C168" s="70" t="s">
        <v>351</v>
      </c>
      <c r="D168" s="80">
        <f>(32.6)*10.764</f>
        <v>350.90640000000002</v>
      </c>
      <c r="E168" s="80">
        <f>(0.75*(2.75*2+2.1))*10.764</f>
        <v>61.35479999999999</v>
      </c>
      <c r="F168" s="50">
        <f t="shared" si="14"/>
        <v>412.26120000000003</v>
      </c>
      <c r="G168" s="50">
        <v>0</v>
      </c>
      <c r="H168" s="50">
        <v>680</v>
      </c>
      <c r="J168" s="32">
        <f t="shared" si="15"/>
        <v>1.6494397241360572</v>
      </c>
      <c r="T168" s="32"/>
    </row>
    <row r="169" spans="1:20" x14ac:dyDescent="0.25">
      <c r="A169" s="125">
        <f t="shared" si="16"/>
        <v>14</v>
      </c>
      <c r="B169" s="125"/>
      <c r="C169" s="70" t="s">
        <v>351</v>
      </c>
      <c r="D169" s="80">
        <f>(34)*10.764</f>
        <v>365.976</v>
      </c>
      <c r="E169" s="80">
        <f>(0.75*(3.05+2.75+1.8))*10.764</f>
        <v>61.35479999999999</v>
      </c>
      <c r="F169" s="50">
        <f t="shared" si="14"/>
        <v>427.33080000000001</v>
      </c>
      <c r="G169" s="50">
        <v>0</v>
      </c>
      <c r="H169" s="50">
        <v>705</v>
      </c>
      <c r="J169" s="32">
        <f t="shared" si="15"/>
        <v>1.6497757709016059</v>
      </c>
      <c r="T169" s="32"/>
    </row>
    <row r="170" spans="1:20" s="32" customFormat="1" x14ac:dyDescent="0.25">
      <c r="A170" s="132" t="s">
        <v>383</v>
      </c>
      <c r="B170" s="133"/>
      <c r="C170" s="133"/>
      <c r="D170" s="133"/>
      <c r="E170" s="133"/>
      <c r="F170" s="133"/>
      <c r="G170" s="133"/>
      <c r="H170" s="134"/>
      <c r="K170" s="89" t="e">
        <f t="shared" ref="K170:K171" si="17">1075/F170</f>
        <v>#DIV/0!</v>
      </c>
      <c r="T170" s="93"/>
    </row>
    <row r="171" spans="1:20" s="32" customFormat="1" ht="15.75" customHeight="1" x14ac:dyDescent="0.25">
      <c r="A171" s="106">
        <v>1</v>
      </c>
      <c r="B171" s="107"/>
      <c r="C171" s="92" t="s">
        <v>351</v>
      </c>
      <c r="D171" s="80">
        <f>(34)*10.764</f>
        <v>365.976</v>
      </c>
      <c r="E171" s="80">
        <f>(0.75*(2.75+1.8+3.05))*10.764</f>
        <v>61.35479999999999</v>
      </c>
      <c r="F171" s="92">
        <f t="shared" ref="F171:F184" si="18">D171+E171</f>
        <v>427.33080000000001</v>
      </c>
      <c r="G171" s="92">
        <v>0</v>
      </c>
      <c r="H171" s="92">
        <v>705</v>
      </c>
      <c r="J171" s="32">
        <f>H171/F171</f>
        <v>1.6497757709016059</v>
      </c>
      <c r="K171" s="89">
        <f t="shared" si="17"/>
        <v>2.5156155371903921</v>
      </c>
      <c r="T171" s="93"/>
    </row>
    <row r="172" spans="1:20" s="32" customFormat="1" ht="15.75" customHeight="1" x14ac:dyDescent="0.25">
      <c r="A172" s="106">
        <f>A171+1</f>
        <v>2</v>
      </c>
      <c r="B172" s="107"/>
      <c r="C172" s="92" t="s">
        <v>351</v>
      </c>
      <c r="D172" s="80">
        <f>(32.6)*10.764</f>
        <v>350.90640000000002</v>
      </c>
      <c r="E172" s="80">
        <f>(0.75*(2.75*2+2.1))*10.764</f>
        <v>61.35479999999999</v>
      </c>
      <c r="F172" s="92">
        <f t="shared" si="18"/>
        <v>412.26120000000003</v>
      </c>
      <c r="G172" s="92">
        <v>0</v>
      </c>
      <c r="H172" s="92">
        <v>680</v>
      </c>
      <c r="J172" s="32">
        <f t="shared" ref="J172:J184" si="19">H172/F172</f>
        <v>1.6494397241360572</v>
      </c>
      <c r="T172" s="93"/>
    </row>
    <row r="173" spans="1:20" s="32" customFormat="1" ht="15.75" customHeight="1" x14ac:dyDescent="0.25">
      <c r="A173" s="106">
        <f>A172+1</f>
        <v>3</v>
      </c>
      <c r="B173" s="107"/>
      <c r="C173" s="92" t="s">
        <v>350</v>
      </c>
      <c r="D173" s="80">
        <f>(57.6)*10.764</f>
        <v>620.00639999999999</v>
      </c>
      <c r="E173" s="80">
        <f>(3+0.75*(2.19+2.85+2.8))*10.764</f>
        <v>95.584319999999977</v>
      </c>
      <c r="F173" s="92">
        <f t="shared" si="18"/>
        <v>715.59071999999992</v>
      </c>
      <c r="G173" s="92">
        <v>0</v>
      </c>
      <c r="H173" s="92">
        <v>1185</v>
      </c>
      <c r="J173" s="32">
        <f t="shared" si="19"/>
        <v>1.6559745213017856</v>
      </c>
      <c r="T173" s="93"/>
    </row>
    <row r="174" spans="1:20" s="32" customFormat="1" ht="15.75" customHeight="1" x14ac:dyDescent="0.25">
      <c r="A174" s="106">
        <f>A173+1</f>
        <v>4</v>
      </c>
      <c r="B174" s="107"/>
      <c r="C174" s="92" t="s">
        <v>350</v>
      </c>
      <c r="D174" s="80">
        <f>(57.46)*10.764</f>
        <v>618.49943999999994</v>
      </c>
      <c r="E174" s="80">
        <f>(3+0.75*(2.5+3.05*2))*10.764</f>
        <v>101.71979999999999</v>
      </c>
      <c r="F174" s="92">
        <f t="shared" si="18"/>
        <v>720.2192399999999</v>
      </c>
      <c r="G174" s="92">
        <v>0</v>
      </c>
      <c r="H174" s="92">
        <v>1204</v>
      </c>
      <c r="I174" s="32">
        <f>H174*5650+600000+300000</f>
        <v>7702600</v>
      </c>
      <c r="J174" s="32">
        <f t="shared" si="19"/>
        <v>1.6717131855572203</v>
      </c>
      <c r="T174" s="93"/>
    </row>
    <row r="175" spans="1:20" s="32" customFormat="1" ht="15.75" customHeight="1" x14ac:dyDescent="0.25">
      <c r="A175" s="106">
        <f>A174+1</f>
        <v>5</v>
      </c>
      <c r="B175" s="107"/>
      <c r="C175" s="92" t="s">
        <v>350</v>
      </c>
      <c r="D175" s="80">
        <f>(55.91)*10.764</f>
        <v>601.8152399999999</v>
      </c>
      <c r="E175" s="80">
        <f>(3+0.75*(2.19+2.85+2.8))*10.764</f>
        <v>95.584319999999977</v>
      </c>
      <c r="F175" s="92">
        <f t="shared" si="18"/>
        <v>697.39955999999984</v>
      </c>
      <c r="G175" s="92">
        <v>0</v>
      </c>
      <c r="H175" s="92">
        <v>1150</v>
      </c>
      <c r="I175" s="32">
        <f>7700000-I174</f>
        <v>-2600</v>
      </c>
      <c r="J175" s="32">
        <f t="shared" si="19"/>
        <v>1.6489829732614116</v>
      </c>
    </row>
    <row r="176" spans="1:20" s="32" customFormat="1" ht="15.75" customHeight="1" x14ac:dyDescent="0.25">
      <c r="A176" s="125">
        <v>6</v>
      </c>
      <c r="B176" s="125"/>
      <c r="C176" s="92" t="s">
        <v>351</v>
      </c>
      <c r="D176" s="80">
        <f>(33.48)*10.764</f>
        <v>360.37871999999993</v>
      </c>
      <c r="E176" s="80">
        <f>(0.75*(2.75*2+2.1))*10.764</f>
        <v>61.35479999999999</v>
      </c>
      <c r="F176" s="92">
        <f t="shared" si="18"/>
        <v>421.73351999999994</v>
      </c>
      <c r="G176" s="92">
        <v>0</v>
      </c>
      <c r="H176" s="92">
        <v>700</v>
      </c>
      <c r="J176" s="32">
        <f t="shared" si="19"/>
        <v>1.6598158951178461</v>
      </c>
    </row>
    <row r="177" spans="1:20" s="32" customFormat="1" x14ac:dyDescent="0.25">
      <c r="A177" s="125">
        <f t="shared" ref="A177:A184" si="20">A176+1</f>
        <v>7</v>
      </c>
      <c r="B177" s="125"/>
      <c r="C177" s="92" t="s">
        <v>351</v>
      </c>
      <c r="D177" s="80">
        <f>(33.48)*10.764</f>
        <v>360.37871999999993</v>
      </c>
      <c r="E177" s="80">
        <f>(0.75*(2.75*2+2.1))*10.764</f>
        <v>61.35479999999999</v>
      </c>
      <c r="F177" s="92">
        <f t="shared" si="18"/>
        <v>421.73351999999994</v>
      </c>
      <c r="G177" s="92">
        <v>0</v>
      </c>
      <c r="H177" s="92">
        <v>700</v>
      </c>
      <c r="J177" s="32">
        <f t="shared" si="19"/>
        <v>1.6598158951178461</v>
      </c>
    </row>
    <row r="178" spans="1:20" s="32" customFormat="1" x14ac:dyDescent="0.25">
      <c r="A178" s="125">
        <f t="shared" si="20"/>
        <v>8</v>
      </c>
      <c r="B178" s="125"/>
      <c r="C178" s="92" t="s">
        <v>351</v>
      </c>
      <c r="D178" s="80">
        <f>(33.48)*10.764</f>
        <v>360.37871999999993</v>
      </c>
      <c r="E178" s="80">
        <f>(0.75*(2.75*2+2.1))*10.764</f>
        <v>61.35479999999999</v>
      </c>
      <c r="F178" s="92">
        <f t="shared" si="18"/>
        <v>421.73351999999994</v>
      </c>
      <c r="G178" s="92">
        <v>0</v>
      </c>
      <c r="H178" s="92">
        <v>700</v>
      </c>
      <c r="J178" s="32">
        <f t="shared" si="19"/>
        <v>1.6598158951178461</v>
      </c>
    </row>
    <row r="179" spans="1:20" s="32" customFormat="1" x14ac:dyDescent="0.25">
      <c r="A179" s="125">
        <f t="shared" si="20"/>
        <v>9</v>
      </c>
      <c r="B179" s="125"/>
      <c r="C179" s="92" t="s">
        <v>351</v>
      </c>
      <c r="D179" s="80">
        <f>(33.48)*10.764</f>
        <v>360.37871999999993</v>
      </c>
      <c r="E179" s="80">
        <f>(0.75*(2.75*2+2.1))*10.764</f>
        <v>61.35479999999999</v>
      </c>
      <c r="F179" s="92">
        <f t="shared" si="18"/>
        <v>421.73351999999994</v>
      </c>
      <c r="G179" s="92">
        <v>0</v>
      </c>
      <c r="H179" s="92">
        <v>700</v>
      </c>
      <c r="J179" s="32">
        <f t="shared" si="19"/>
        <v>1.6598158951178461</v>
      </c>
    </row>
    <row r="180" spans="1:20" s="32" customFormat="1" x14ac:dyDescent="0.25">
      <c r="A180" s="125">
        <f t="shared" si="20"/>
        <v>10</v>
      </c>
      <c r="B180" s="125"/>
      <c r="C180" s="92" t="s">
        <v>350</v>
      </c>
      <c r="D180" s="80">
        <f>(49.72)*10.764</f>
        <v>535.18607999999995</v>
      </c>
      <c r="E180" s="80">
        <f>(3+0.75*(2.19+2.8+2.85))*10.764</f>
        <v>95.584319999999977</v>
      </c>
      <c r="F180" s="92">
        <f t="shared" si="18"/>
        <v>630.77039999999988</v>
      </c>
      <c r="G180" s="92">
        <v>0</v>
      </c>
      <c r="H180" s="92">
        <v>1035</v>
      </c>
      <c r="J180" s="32">
        <f t="shared" si="19"/>
        <v>1.6408506169598323</v>
      </c>
    </row>
    <row r="181" spans="1:20" x14ac:dyDescent="0.25">
      <c r="A181" s="125">
        <f t="shared" si="20"/>
        <v>11</v>
      </c>
      <c r="B181" s="125"/>
      <c r="C181" s="92" t="s">
        <v>350</v>
      </c>
      <c r="D181" s="80">
        <f>(56.31)*10.764</f>
        <v>606.12084000000004</v>
      </c>
      <c r="E181" s="80">
        <f>(3+0.75*(2.5+3.05*2))*10.764</f>
        <v>101.71979999999999</v>
      </c>
      <c r="F181" s="92">
        <f t="shared" si="18"/>
        <v>707.84064000000001</v>
      </c>
      <c r="G181" s="92">
        <v>0</v>
      </c>
      <c r="H181" s="92">
        <v>1175</v>
      </c>
      <c r="J181" s="32">
        <f t="shared" si="19"/>
        <v>1.6599781555351216</v>
      </c>
      <c r="T181" s="32"/>
    </row>
    <row r="182" spans="1:20" ht="15.75" customHeight="1" x14ac:dyDescent="0.25">
      <c r="A182" s="125">
        <f t="shared" si="20"/>
        <v>12</v>
      </c>
      <c r="B182" s="125"/>
      <c r="C182" s="92" t="s">
        <v>350</v>
      </c>
      <c r="D182" s="80">
        <f>(50.99)*10.764</f>
        <v>548.85636</v>
      </c>
      <c r="E182" s="80">
        <f>(3+0.75*(2.19+2.85+2.8))*10.764</f>
        <v>95.584319999999977</v>
      </c>
      <c r="F182" s="92">
        <f t="shared" si="18"/>
        <v>644.44067999999993</v>
      </c>
      <c r="G182" s="92">
        <v>0</v>
      </c>
      <c r="H182" s="92">
        <v>1065</v>
      </c>
      <c r="J182" s="32">
        <f t="shared" si="19"/>
        <v>1.6525958603358188</v>
      </c>
      <c r="T182" s="32"/>
    </row>
    <row r="183" spans="1:20" ht="15.75" customHeight="1" x14ac:dyDescent="0.25">
      <c r="A183" s="125">
        <f t="shared" si="20"/>
        <v>13</v>
      </c>
      <c r="B183" s="125"/>
      <c r="C183" s="92" t="s">
        <v>351</v>
      </c>
      <c r="D183" s="80">
        <f>(32.6)*10.764</f>
        <v>350.90640000000002</v>
      </c>
      <c r="E183" s="80">
        <f>(0.75*(2.75*2+2.1))*10.764</f>
        <v>61.35479999999999</v>
      </c>
      <c r="F183" s="92">
        <f t="shared" si="18"/>
        <v>412.26120000000003</v>
      </c>
      <c r="G183" s="92">
        <v>0</v>
      </c>
      <c r="H183" s="92">
        <v>680</v>
      </c>
      <c r="J183" s="32">
        <f t="shared" si="19"/>
        <v>1.6494397241360572</v>
      </c>
      <c r="T183" s="32"/>
    </row>
    <row r="184" spans="1:20" x14ac:dyDescent="0.25">
      <c r="A184" s="125">
        <f t="shared" si="20"/>
        <v>14</v>
      </c>
      <c r="B184" s="125"/>
      <c r="C184" s="92" t="s">
        <v>351</v>
      </c>
      <c r="D184" s="80">
        <f>(34)*10.764</f>
        <v>365.976</v>
      </c>
      <c r="E184" s="80">
        <f>(0.75*(3.05+2.75+1.8))*10.764</f>
        <v>61.35479999999999</v>
      </c>
      <c r="F184" s="92">
        <f t="shared" si="18"/>
        <v>427.33080000000001</v>
      </c>
      <c r="G184" s="92">
        <v>0</v>
      </c>
      <c r="H184" s="92">
        <v>705</v>
      </c>
      <c r="J184" s="32">
        <f t="shared" si="19"/>
        <v>1.6497757709016059</v>
      </c>
      <c r="T184" s="32"/>
    </row>
    <row r="185" spans="1:20" x14ac:dyDescent="0.25">
      <c r="A185" s="132" t="s">
        <v>382</v>
      </c>
      <c r="B185" s="133"/>
      <c r="C185" s="133"/>
      <c r="D185" s="133"/>
      <c r="E185" s="133"/>
      <c r="F185" s="133"/>
      <c r="G185" s="133"/>
      <c r="H185" s="134"/>
      <c r="T185" s="32"/>
    </row>
    <row r="186" spans="1:20" x14ac:dyDescent="0.25">
      <c r="A186" s="106">
        <v>1</v>
      </c>
      <c r="B186" s="107"/>
      <c r="C186" s="70" t="s">
        <v>351</v>
      </c>
      <c r="D186" s="80">
        <f>(34)*10.764</f>
        <v>365.976</v>
      </c>
      <c r="E186" s="80">
        <f>(0.75*(2.75+1.8+3.05))*10.764</f>
        <v>61.35479999999999</v>
      </c>
      <c r="F186" s="83">
        <f t="shared" ref="F186:F191" si="21">D186+E186</f>
        <v>427.33080000000001</v>
      </c>
      <c r="G186" s="70">
        <v>0</v>
      </c>
      <c r="H186" s="87">
        <v>705</v>
      </c>
      <c r="T186" s="32"/>
    </row>
    <row r="187" spans="1:20" x14ac:dyDescent="0.25">
      <c r="A187" s="106">
        <f>A186+1</f>
        <v>2</v>
      </c>
      <c r="B187" s="107"/>
      <c r="C187" s="70" t="s">
        <v>351</v>
      </c>
      <c r="D187" s="80">
        <f>(32.6)*10.764</f>
        <v>350.90640000000002</v>
      </c>
      <c r="E187" s="80">
        <f>(0.75*(2.75*2+2.1))*10.764</f>
        <v>61.35479999999999</v>
      </c>
      <c r="F187" s="83">
        <f t="shared" si="21"/>
        <v>412.26120000000003</v>
      </c>
      <c r="G187" s="70">
        <v>0</v>
      </c>
      <c r="H187" s="87">
        <v>680</v>
      </c>
    </row>
    <row r="188" spans="1:20" x14ac:dyDescent="0.25">
      <c r="A188" s="106">
        <f>A187+1</f>
        <v>3</v>
      </c>
      <c r="B188" s="107"/>
      <c r="C188" s="70" t="s">
        <v>350</v>
      </c>
      <c r="D188" s="80">
        <f>(57.6)*10.764</f>
        <v>620.00639999999999</v>
      </c>
      <c r="E188" s="80">
        <f>(3+0.75*(2.19+2.85+2.8))*10.764</f>
        <v>95.584319999999977</v>
      </c>
      <c r="F188" s="83">
        <f t="shared" si="21"/>
        <v>715.59071999999992</v>
      </c>
      <c r="G188" s="70">
        <v>0</v>
      </c>
      <c r="H188" s="87">
        <v>1185</v>
      </c>
    </row>
    <row r="189" spans="1:20" x14ac:dyDescent="0.25">
      <c r="A189" s="106">
        <f>A188+1</f>
        <v>4</v>
      </c>
      <c r="B189" s="107"/>
      <c r="C189" s="70" t="s">
        <v>350</v>
      </c>
      <c r="D189" s="80">
        <f>(57.46)*10.764</f>
        <v>618.49943999999994</v>
      </c>
      <c r="E189" s="80">
        <f>(3+0.75*(2.5+3.05*2))*10.764</f>
        <v>101.71979999999999</v>
      </c>
      <c r="F189" s="83">
        <f t="shared" si="21"/>
        <v>720.2192399999999</v>
      </c>
      <c r="G189" s="70">
        <v>0</v>
      </c>
      <c r="H189" s="87">
        <v>1195</v>
      </c>
    </row>
    <row r="190" spans="1:20" x14ac:dyDescent="0.25">
      <c r="A190" s="106">
        <f>A189+1</f>
        <v>5</v>
      </c>
      <c r="B190" s="107"/>
      <c r="C190" s="70" t="s">
        <v>350</v>
      </c>
      <c r="D190" s="80">
        <f>(55.91)*10.764</f>
        <v>601.8152399999999</v>
      </c>
      <c r="E190" s="80">
        <f>(3+0.75*(2.19+2.85+2.8))*10.764</f>
        <v>95.584319999999977</v>
      </c>
      <c r="F190" s="83">
        <f t="shared" si="21"/>
        <v>697.39955999999984</v>
      </c>
      <c r="G190" s="70">
        <v>0</v>
      </c>
      <c r="H190" s="87">
        <v>1150</v>
      </c>
    </row>
    <row r="191" spans="1:20" x14ac:dyDescent="0.25">
      <c r="A191" s="125">
        <v>6</v>
      </c>
      <c r="B191" s="125"/>
      <c r="C191" s="70" t="s">
        <v>351</v>
      </c>
      <c r="D191" s="80">
        <f>(33.48)*10.764</f>
        <v>360.37871999999993</v>
      </c>
      <c r="E191" s="80">
        <f>(0.75*(2.75*2+2.1))*10.764</f>
        <v>61.35479999999999</v>
      </c>
      <c r="F191" s="83">
        <f t="shared" si="21"/>
        <v>421.73351999999994</v>
      </c>
      <c r="G191" s="70">
        <v>0</v>
      </c>
      <c r="H191" s="87">
        <v>700</v>
      </c>
    </row>
    <row r="192" spans="1:20" x14ac:dyDescent="0.25">
      <c r="A192" s="125">
        <v>7</v>
      </c>
      <c r="B192" s="125"/>
      <c r="C192" s="165" t="s">
        <v>352</v>
      </c>
      <c r="D192" s="166"/>
      <c r="E192" s="166"/>
      <c r="F192" s="166"/>
      <c r="G192" s="166"/>
      <c r="H192" s="167"/>
    </row>
    <row r="193" spans="1:8" x14ac:dyDescent="0.25">
      <c r="A193" s="125">
        <v>8</v>
      </c>
      <c r="B193" s="125"/>
      <c r="C193" s="168"/>
      <c r="D193" s="169"/>
      <c r="E193" s="169"/>
      <c r="F193" s="169"/>
      <c r="G193" s="169"/>
      <c r="H193" s="170"/>
    </row>
    <row r="194" spans="1:8" x14ac:dyDescent="0.25">
      <c r="A194" s="125">
        <v>9</v>
      </c>
      <c r="B194" s="125"/>
      <c r="C194" s="70" t="s">
        <v>351</v>
      </c>
      <c r="D194" s="80">
        <f>(33.48)*10.764</f>
        <v>360.37871999999993</v>
      </c>
      <c r="E194" s="80">
        <f>(0.75*(2.75*2+2.1))*10.764</f>
        <v>61.35479999999999</v>
      </c>
      <c r="F194" s="83">
        <f t="shared" ref="F194:F199" si="22">D194+E194</f>
        <v>421.73351999999994</v>
      </c>
      <c r="G194" s="70">
        <v>0</v>
      </c>
      <c r="H194" s="87">
        <v>700</v>
      </c>
    </row>
    <row r="195" spans="1:8" x14ac:dyDescent="0.25">
      <c r="A195" s="125">
        <f>A194+1</f>
        <v>10</v>
      </c>
      <c r="B195" s="125"/>
      <c r="C195" s="70" t="s">
        <v>350</v>
      </c>
      <c r="D195" s="80">
        <f>(49.72)*10.764</f>
        <v>535.18607999999995</v>
      </c>
      <c r="E195" s="80">
        <f>(3+0.75*(2.19+2.8+2.85))*10.764</f>
        <v>95.584319999999977</v>
      </c>
      <c r="F195" s="83">
        <f t="shared" si="22"/>
        <v>630.77039999999988</v>
      </c>
      <c r="G195" s="70">
        <v>0</v>
      </c>
      <c r="H195" s="87">
        <v>1035</v>
      </c>
    </row>
    <row r="196" spans="1:8" ht="15" customHeight="1" x14ac:dyDescent="0.25">
      <c r="A196" s="125">
        <f>A195+1</f>
        <v>11</v>
      </c>
      <c r="B196" s="125"/>
      <c r="C196" s="70" t="s">
        <v>350</v>
      </c>
      <c r="D196" s="80">
        <f>(56.31)*10.764</f>
        <v>606.12084000000004</v>
      </c>
      <c r="E196" s="80">
        <f>(3+0.75*(2.5+3.05*2))*10.764</f>
        <v>101.71979999999999</v>
      </c>
      <c r="F196" s="83">
        <f t="shared" si="22"/>
        <v>707.84064000000001</v>
      </c>
      <c r="G196" s="70">
        <v>0</v>
      </c>
      <c r="H196" s="87">
        <v>1175</v>
      </c>
    </row>
    <row r="197" spans="1:8" x14ac:dyDescent="0.25">
      <c r="A197" s="125">
        <f>A196+1</f>
        <v>12</v>
      </c>
      <c r="B197" s="125"/>
      <c r="C197" s="70" t="s">
        <v>350</v>
      </c>
      <c r="D197" s="80">
        <f>(50.99)*10.764</f>
        <v>548.85636</v>
      </c>
      <c r="E197" s="80">
        <f>(3+0.75*(2.19+2.85+2.8))*10.764</f>
        <v>95.584319999999977</v>
      </c>
      <c r="F197" s="83">
        <f t="shared" si="22"/>
        <v>644.44067999999993</v>
      </c>
      <c r="G197" s="70">
        <v>0</v>
      </c>
      <c r="H197" s="87">
        <v>1065</v>
      </c>
    </row>
    <row r="198" spans="1:8" x14ac:dyDescent="0.25">
      <c r="A198" s="125">
        <f>A197+1</f>
        <v>13</v>
      </c>
      <c r="B198" s="125"/>
      <c r="C198" s="70" t="s">
        <v>351</v>
      </c>
      <c r="D198" s="80">
        <f>(32.6)*10.764</f>
        <v>350.90640000000002</v>
      </c>
      <c r="E198" s="80">
        <f>(0.75*(2.75*2+2.1))*10.764</f>
        <v>61.35479999999999</v>
      </c>
      <c r="F198" s="83">
        <f t="shared" si="22"/>
        <v>412.26120000000003</v>
      </c>
      <c r="G198" s="70">
        <v>0</v>
      </c>
      <c r="H198" s="87">
        <v>680</v>
      </c>
    </row>
    <row r="199" spans="1:8" x14ac:dyDescent="0.25">
      <c r="A199" s="125">
        <f>A198+1</f>
        <v>14</v>
      </c>
      <c r="B199" s="125"/>
      <c r="C199" s="70" t="s">
        <v>351</v>
      </c>
      <c r="D199" s="80">
        <f>(34)*10.764</f>
        <v>365.976</v>
      </c>
      <c r="E199" s="80">
        <f>(0.75*(3.05+2.75+1.8))*10.764</f>
        <v>61.35479999999999</v>
      </c>
      <c r="F199" s="83">
        <f t="shared" si="22"/>
        <v>427.33080000000001</v>
      </c>
      <c r="G199" s="70">
        <v>0</v>
      </c>
      <c r="H199" s="87">
        <v>705</v>
      </c>
    </row>
    <row r="200" spans="1:8" x14ac:dyDescent="0.25">
      <c r="A200" s="132" t="s">
        <v>353</v>
      </c>
      <c r="B200" s="133"/>
      <c r="C200" s="133"/>
      <c r="D200" s="133"/>
      <c r="E200" s="133"/>
      <c r="F200" s="133"/>
      <c r="G200" s="133"/>
      <c r="H200" s="134"/>
    </row>
    <row r="201" spans="1:8" x14ac:dyDescent="0.25">
      <c r="A201" s="106">
        <v>1</v>
      </c>
      <c r="B201" s="107"/>
      <c r="C201" s="70" t="s">
        <v>351</v>
      </c>
      <c r="D201" s="80">
        <f>(34)*10.764</f>
        <v>365.976</v>
      </c>
      <c r="E201" s="80">
        <f>(0.75*(2.75+1.8+3.05))*10.764</f>
        <v>61.35479999999999</v>
      </c>
      <c r="F201" s="70">
        <f t="shared" ref="F201:F214" si="23">D201+E201</f>
        <v>427.33080000000001</v>
      </c>
      <c r="G201" s="70">
        <v>0</v>
      </c>
      <c r="H201" s="87">
        <v>705</v>
      </c>
    </row>
    <row r="202" spans="1:8" x14ac:dyDescent="0.25">
      <c r="A202" s="106">
        <f>A201+1</f>
        <v>2</v>
      </c>
      <c r="B202" s="107"/>
      <c r="C202" s="70" t="s">
        <v>351</v>
      </c>
      <c r="D202" s="80">
        <f>(32.6)*10.764</f>
        <v>350.90640000000002</v>
      </c>
      <c r="E202" s="80">
        <f>(0.75*(2.75*2+2.1))*10.764</f>
        <v>61.35479999999999</v>
      </c>
      <c r="F202" s="70">
        <f t="shared" si="23"/>
        <v>412.26120000000003</v>
      </c>
      <c r="G202" s="70">
        <v>0</v>
      </c>
      <c r="H202" s="87">
        <v>680</v>
      </c>
    </row>
    <row r="203" spans="1:8" x14ac:dyDescent="0.25">
      <c r="A203" s="106">
        <f>A202+1</f>
        <v>3</v>
      </c>
      <c r="B203" s="107"/>
      <c r="C203" s="70" t="s">
        <v>350</v>
      </c>
      <c r="D203" s="80">
        <f>(55.27+2.8)*10.764</f>
        <v>625.06547999999998</v>
      </c>
      <c r="E203" s="80">
        <f>(3+0.75*(2.19+2.85+2.8))*10.764</f>
        <v>95.584319999999977</v>
      </c>
      <c r="F203" s="70">
        <f t="shared" si="23"/>
        <v>720.64979999999991</v>
      </c>
      <c r="G203" s="70">
        <v>0</v>
      </c>
      <c r="H203" s="87">
        <v>1185</v>
      </c>
    </row>
    <row r="204" spans="1:8" x14ac:dyDescent="0.25">
      <c r="A204" s="106">
        <f>A203+1</f>
        <v>4</v>
      </c>
      <c r="B204" s="107"/>
      <c r="C204" s="70" t="s">
        <v>350</v>
      </c>
      <c r="D204" s="80">
        <f>(57.46)*10.764</f>
        <v>618.49943999999994</v>
      </c>
      <c r="E204" s="80">
        <f>(3+0.75*(2.5+3.05*2))*10.764</f>
        <v>101.71979999999999</v>
      </c>
      <c r="F204" s="70">
        <f t="shared" si="23"/>
        <v>720.2192399999999</v>
      </c>
      <c r="G204" s="70">
        <v>0</v>
      </c>
      <c r="H204" s="87">
        <v>1195</v>
      </c>
    </row>
    <row r="205" spans="1:8" x14ac:dyDescent="0.25">
      <c r="A205" s="106">
        <f>A204+1</f>
        <v>5</v>
      </c>
      <c r="B205" s="107"/>
      <c r="C205" s="70" t="s">
        <v>350</v>
      </c>
      <c r="D205" s="80">
        <f>(53.45+2.8)*10.764</f>
        <v>605.47499999999991</v>
      </c>
      <c r="E205" s="80">
        <f>(3+0.75*(2.19+2.85+2.8))*10.764</f>
        <v>95.584319999999977</v>
      </c>
      <c r="F205" s="70">
        <f t="shared" si="23"/>
        <v>701.05931999999984</v>
      </c>
      <c r="G205" s="70">
        <v>0</v>
      </c>
      <c r="H205" s="87">
        <v>1150</v>
      </c>
    </row>
    <row r="206" spans="1:8" x14ac:dyDescent="0.25">
      <c r="A206" s="125">
        <v>6</v>
      </c>
      <c r="B206" s="125"/>
      <c r="C206" s="70" t="s">
        <v>351</v>
      </c>
      <c r="D206" s="80">
        <f>(33.48)*10.764</f>
        <v>360.37871999999993</v>
      </c>
      <c r="E206" s="80">
        <f>(0.75*(2.75*2+2.1))*10.764</f>
        <v>61.35479999999999</v>
      </c>
      <c r="F206" s="70">
        <f t="shared" si="23"/>
        <v>421.73351999999994</v>
      </c>
      <c r="G206" s="70">
        <v>0</v>
      </c>
      <c r="H206" s="87">
        <v>700</v>
      </c>
    </row>
    <row r="207" spans="1:8" x14ac:dyDescent="0.25">
      <c r="A207" s="125">
        <f t="shared" ref="A207:A214" si="24">A206+1</f>
        <v>7</v>
      </c>
      <c r="B207" s="125"/>
      <c r="C207" s="70" t="s">
        <v>351</v>
      </c>
      <c r="D207" s="80">
        <f>(33.48)*10.764</f>
        <v>360.37871999999993</v>
      </c>
      <c r="E207" s="80">
        <f>(0.75*(2.75*2+2.1))*10.764</f>
        <v>61.35479999999999</v>
      </c>
      <c r="F207" s="70">
        <f t="shared" si="23"/>
        <v>421.73351999999994</v>
      </c>
      <c r="G207" s="70">
        <v>0</v>
      </c>
      <c r="H207" s="87">
        <v>700</v>
      </c>
    </row>
    <row r="208" spans="1:8" x14ac:dyDescent="0.25">
      <c r="A208" s="125">
        <f t="shared" si="24"/>
        <v>8</v>
      </c>
      <c r="B208" s="125"/>
      <c r="C208" s="70" t="s">
        <v>351</v>
      </c>
      <c r="D208" s="80">
        <f>(33.48)*10.764</f>
        <v>360.37871999999993</v>
      </c>
      <c r="E208" s="80">
        <f>(0.75*(2.75*2+2.1))*10.764</f>
        <v>61.35479999999999</v>
      </c>
      <c r="F208" s="70">
        <f t="shared" si="23"/>
        <v>421.73351999999994</v>
      </c>
      <c r="G208" s="70">
        <v>0</v>
      </c>
      <c r="H208" s="87">
        <v>700</v>
      </c>
    </row>
    <row r="209" spans="1:10" x14ac:dyDescent="0.25">
      <c r="A209" s="125">
        <f t="shared" si="24"/>
        <v>9</v>
      </c>
      <c r="B209" s="125"/>
      <c r="C209" s="70" t="s">
        <v>351</v>
      </c>
      <c r="D209" s="80">
        <f>(33.48)*10.764</f>
        <v>360.37871999999993</v>
      </c>
      <c r="E209" s="80">
        <f>(0.75*(2.75*2+2.1))*10.764</f>
        <v>61.35479999999999</v>
      </c>
      <c r="F209" s="70">
        <f t="shared" si="23"/>
        <v>421.73351999999994</v>
      </c>
      <c r="G209" s="70">
        <v>0</v>
      </c>
      <c r="H209" s="87">
        <v>700</v>
      </c>
    </row>
    <row r="210" spans="1:10" x14ac:dyDescent="0.25">
      <c r="A210" s="125">
        <f t="shared" si="24"/>
        <v>10</v>
      </c>
      <c r="B210" s="125"/>
      <c r="C210" s="70" t="s">
        <v>350</v>
      </c>
      <c r="D210" s="80">
        <f>(49.72)*10.764</f>
        <v>535.18607999999995</v>
      </c>
      <c r="E210" s="80">
        <f>(3+0.75*(2.19+2.8+2.85))*10.764</f>
        <v>95.584319999999977</v>
      </c>
      <c r="F210" s="70">
        <f t="shared" si="23"/>
        <v>630.77039999999988</v>
      </c>
      <c r="G210" s="70">
        <v>0</v>
      </c>
      <c r="H210" s="87">
        <v>1035</v>
      </c>
    </row>
    <row r="211" spans="1:10" x14ac:dyDescent="0.25">
      <c r="A211" s="125">
        <f t="shared" si="24"/>
        <v>11</v>
      </c>
      <c r="B211" s="125"/>
      <c r="C211" s="70" t="s">
        <v>350</v>
      </c>
      <c r="D211" s="80">
        <f>(56.31)*10.764</f>
        <v>606.12084000000004</v>
      </c>
      <c r="E211" s="80">
        <f>(3+0.75*(2.5+3.05*2))*10.764</f>
        <v>101.71979999999999</v>
      </c>
      <c r="F211" s="70">
        <f t="shared" si="23"/>
        <v>707.84064000000001</v>
      </c>
      <c r="G211" s="70">
        <v>0</v>
      </c>
      <c r="H211" s="87">
        <v>1175</v>
      </c>
    </row>
    <row r="212" spans="1:10" x14ac:dyDescent="0.25">
      <c r="A212" s="125">
        <f t="shared" si="24"/>
        <v>12</v>
      </c>
      <c r="B212" s="125"/>
      <c r="C212" s="70" t="s">
        <v>350</v>
      </c>
      <c r="D212" s="80">
        <f>(50.99)*10.764</f>
        <v>548.85636</v>
      </c>
      <c r="E212" s="80">
        <f>(3+0.75*(2.19+2.85+2.8))*10.764</f>
        <v>95.584319999999977</v>
      </c>
      <c r="F212" s="70">
        <f t="shared" si="23"/>
        <v>644.44067999999993</v>
      </c>
      <c r="G212" s="70">
        <v>0</v>
      </c>
      <c r="H212" s="87">
        <v>1065</v>
      </c>
    </row>
    <row r="213" spans="1:10" x14ac:dyDescent="0.25">
      <c r="A213" s="125">
        <f t="shared" si="24"/>
        <v>13</v>
      </c>
      <c r="B213" s="125"/>
      <c r="C213" s="70" t="s">
        <v>351</v>
      </c>
      <c r="D213" s="80">
        <f>(32.6)*10.764</f>
        <v>350.90640000000002</v>
      </c>
      <c r="E213" s="80">
        <f>(0.75*(2.75*2+2.1))*10.764</f>
        <v>61.35479999999999</v>
      </c>
      <c r="F213" s="70">
        <f t="shared" si="23"/>
        <v>412.26120000000003</v>
      </c>
      <c r="G213" s="70">
        <v>0</v>
      </c>
      <c r="H213" s="87">
        <v>680</v>
      </c>
    </row>
    <row r="214" spans="1:10" x14ac:dyDescent="0.25">
      <c r="A214" s="125">
        <f t="shared" si="24"/>
        <v>14</v>
      </c>
      <c r="B214" s="125"/>
      <c r="C214" s="70" t="s">
        <v>351</v>
      </c>
      <c r="D214" s="80">
        <f>(34)*10.764</f>
        <v>365.976</v>
      </c>
      <c r="E214" s="80">
        <f>(0.75*(3.05+2.75+1.8))*10.764</f>
        <v>61.35479999999999</v>
      </c>
      <c r="F214" s="70">
        <f t="shared" si="23"/>
        <v>427.33080000000001</v>
      </c>
      <c r="G214" s="70">
        <v>0</v>
      </c>
      <c r="H214" s="87">
        <v>705</v>
      </c>
    </row>
    <row r="215" spans="1:10" x14ac:dyDescent="0.25">
      <c r="A215" s="132" t="s">
        <v>354</v>
      </c>
      <c r="B215" s="133"/>
      <c r="C215" s="133"/>
      <c r="D215" s="133"/>
      <c r="E215" s="133"/>
      <c r="F215" s="133"/>
      <c r="G215" s="133"/>
      <c r="H215" s="134"/>
    </row>
    <row r="216" spans="1:10" x14ac:dyDescent="0.25">
      <c r="A216" s="106">
        <v>1</v>
      </c>
      <c r="B216" s="107"/>
      <c r="C216" s="70" t="s">
        <v>351</v>
      </c>
      <c r="D216" s="80">
        <f>(34)*10.764</f>
        <v>365.976</v>
      </c>
      <c r="E216" s="80">
        <f>(0.75*(2.75+1.8+3.05))*10.764</f>
        <v>61.35479999999999</v>
      </c>
      <c r="F216" s="70">
        <f t="shared" ref="F216:F221" si="25">D216+E216</f>
        <v>427.33080000000001</v>
      </c>
      <c r="G216" s="70">
        <v>0</v>
      </c>
      <c r="H216" s="70">
        <v>705</v>
      </c>
      <c r="J216" s="18">
        <f t="shared" ref="J216:J221" si="26">H216/F216</f>
        <v>1.6497757709016059</v>
      </c>
    </row>
    <row r="217" spans="1:10" x14ac:dyDescent="0.25">
      <c r="A217" s="106">
        <f>A216+1</f>
        <v>2</v>
      </c>
      <c r="B217" s="107"/>
      <c r="C217" s="70" t="s">
        <v>351</v>
      </c>
      <c r="D217" s="80">
        <f>(32.6)*10.764</f>
        <v>350.90640000000002</v>
      </c>
      <c r="E217" s="80">
        <f>(0.75*(2.75*2+2.1))*10.764</f>
        <v>61.35479999999999</v>
      </c>
      <c r="F217" s="70">
        <f t="shared" si="25"/>
        <v>412.26120000000003</v>
      </c>
      <c r="G217" s="70">
        <v>0</v>
      </c>
      <c r="H217" s="70">
        <v>680</v>
      </c>
      <c r="J217" s="18">
        <f t="shared" si="26"/>
        <v>1.6494397241360572</v>
      </c>
    </row>
    <row r="218" spans="1:10" x14ac:dyDescent="0.25">
      <c r="A218" s="106">
        <f>A217+1</f>
        <v>3</v>
      </c>
      <c r="B218" s="107"/>
      <c r="C218" s="70" t="s">
        <v>350</v>
      </c>
      <c r="D218" s="80">
        <f>(55.27+2.8)*10.764</f>
        <v>625.06547999999998</v>
      </c>
      <c r="E218" s="80">
        <f>(3+0.75*(2.19+2.85))*10.764</f>
        <v>72.979919999999993</v>
      </c>
      <c r="F218" s="70">
        <f t="shared" si="25"/>
        <v>698.04539999999997</v>
      </c>
      <c r="G218" s="70">
        <v>0</v>
      </c>
      <c r="H218" s="70">
        <v>1150</v>
      </c>
      <c r="J218" s="18">
        <f t="shared" si="26"/>
        <v>1.6474573143809845</v>
      </c>
    </row>
    <row r="219" spans="1:10" x14ac:dyDescent="0.25">
      <c r="A219" s="106">
        <f>A218+1</f>
        <v>4</v>
      </c>
      <c r="B219" s="107"/>
      <c r="C219" s="70" t="s">
        <v>350</v>
      </c>
      <c r="D219" s="80">
        <f>(57.46)*10.764</f>
        <v>618.49943999999994</v>
      </c>
      <c r="E219" s="80">
        <f>(3+0.75*(3.05*2+2.5))*10.764</f>
        <v>101.71979999999999</v>
      </c>
      <c r="F219" s="70">
        <f t="shared" si="25"/>
        <v>720.2192399999999</v>
      </c>
      <c r="G219" s="70">
        <v>0</v>
      </c>
      <c r="H219" s="70">
        <v>1190</v>
      </c>
      <c r="J219" s="18">
        <f t="shared" si="26"/>
        <v>1.6522746601437643</v>
      </c>
    </row>
    <row r="220" spans="1:10" x14ac:dyDescent="0.25">
      <c r="A220" s="106">
        <f>A219+1</f>
        <v>5</v>
      </c>
      <c r="B220" s="107"/>
      <c r="C220" s="70" t="s">
        <v>350</v>
      </c>
      <c r="D220" s="80">
        <f>(53.45+2.8)*10.764</f>
        <v>605.47499999999991</v>
      </c>
      <c r="E220" s="80">
        <f>(5.75+0.75*(2.19+2.85+2.8))*10.764</f>
        <v>125.18531999999998</v>
      </c>
      <c r="F220" s="70">
        <f t="shared" si="25"/>
        <v>730.66031999999984</v>
      </c>
      <c r="G220" s="70">
        <v>0</v>
      </c>
      <c r="H220" s="70">
        <v>1200</v>
      </c>
      <c r="J220" s="18">
        <f t="shared" si="26"/>
        <v>1.6423500320915201</v>
      </c>
    </row>
    <row r="221" spans="1:10" x14ac:dyDescent="0.25">
      <c r="A221" s="125">
        <v>6</v>
      </c>
      <c r="B221" s="125"/>
      <c r="C221" s="70" t="s">
        <v>351</v>
      </c>
      <c r="D221" s="80">
        <f>(29.28+4.85)*10.764</f>
        <v>367.37531999999999</v>
      </c>
      <c r="E221" s="80">
        <f>(4.85+0.75*(2.75))*10.764</f>
        <v>74.406149999999997</v>
      </c>
      <c r="F221" s="70">
        <f t="shared" si="25"/>
        <v>441.78147000000001</v>
      </c>
      <c r="G221" s="70">
        <v>0</v>
      </c>
      <c r="H221" s="70">
        <v>725</v>
      </c>
      <c r="J221" s="18">
        <f t="shared" si="26"/>
        <v>1.6410828638874329</v>
      </c>
    </row>
    <row r="222" spans="1:10" x14ac:dyDescent="0.25">
      <c r="A222" s="125">
        <v>7</v>
      </c>
      <c r="B222" s="125"/>
      <c r="C222" s="106" t="s">
        <v>355</v>
      </c>
      <c r="D222" s="159"/>
      <c r="E222" s="159"/>
      <c r="F222" s="159"/>
      <c r="G222" s="159"/>
      <c r="H222" s="107"/>
    </row>
    <row r="223" spans="1:10" x14ac:dyDescent="0.25">
      <c r="A223" s="125">
        <v>8</v>
      </c>
      <c r="B223" s="125"/>
      <c r="C223" s="70" t="s">
        <v>351</v>
      </c>
      <c r="D223" s="80">
        <f>(29.28+4.85)*10.764</f>
        <v>367.37531999999999</v>
      </c>
      <c r="E223" s="80">
        <f>(4.85+0.75*(2.75))*10.764</f>
        <v>74.406149999999997</v>
      </c>
      <c r="F223" s="70">
        <f t="shared" ref="F223:F229" si="27">D223+E223</f>
        <v>441.78147000000001</v>
      </c>
      <c r="G223" s="70">
        <v>0</v>
      </c>
      <c r="H223" s="70">
        <v>725</v>
      </c>
      <c r="J223" s="18">
        <f>H223/F223</f>
        <v>1.6410828638874329</v>
      </c>
    </row>
    <row r="224" spans="1:10" x14ac:dyDescent="0.25">
      <c r="A224" s="125">
        <f t="shared" ref="A224:A229" si="28">A223+1</f>
        <v>9</v>
      </c>
      <c r="B224" s="125"/>
      <c r="C224" s="70" t="s">
        <v>351</v>
      </c>
      <c r="D224" s="80">
        <f>(29.28+4.85)*10.764</f>
        <v>367.37531999999999</v>
      </c>
      <c r="E224" s="80">
        <f>(4.85+0.75*(2.75))*10.764</f>
        <v>74.406149999999997</v>
      </c>
      <c r="F224" s="70">
        <f t="shared" si="27"/>
        <v>441.78147000000001</v>
      </c>
      <c r="G224" s="70">
        <v>0</v>
      </c>
      <c r="H224" s="87">
        <v>725</v>
      </c>
      <c r="J224" s="18">
        <f t="shared" ref="J224:J229" si="29">H224/F224</f>
        <v>1.6410828638874329</v>
      </c>
    </row>
    <row r="225" spans="1:10" x14ac:dyDescent="0.25">
      <c r="A225" s="125">
        <f t="shared" si="28"/>
        <v>10</v>
      </c>
      <c r="B225" s="125"/>
      <c r="C225" s="70" t="s">
        <v>350</v>
      </c>
      <c r="D225" s="80">
        <f>(42.88+7.84)*10.764</f>
        <v>545.95007999999996</v>
      </c>
      <c r="E225" s="80">
        <f>(10.79)*10.764</f>
        <v>116.14355999999998</v>
      </c>
      <c r="F225" s="70">
        <f t="shared" si="27"/>
        <v>662.09363999999994</v>
      </c>
      <c r="G225" s="70">
        <v>0</v>
      </c>
      <c r="H225" s="87">
        <v>1100</v>
      </c>
      <c r="J225" s="18">
        <f t="shared" si="29"/>
        <v>1.6613964151656857</v>
      </c>
    </row>
    <row r="226" spans="1:10" x14ac:dyDescent="0.25">
      <c r="A226" s="125">
        <f t="shared" si="28"/>
        <v>11</v>
      </c>
      <c r="B226" s="125"/>
      <c r="C226" s="70" t="s">
        <v>350</v>
      </c>
      <c r="D226" s="80">
        <f>(53.18+2.5)*10.764</f>
        <v>599.33951999999999</v>
      </c>
      <c r="E226" s="80">
        <f>(9.465+0.75*(3.05))*10.764</f>
        <v>126.50390999999999</v>
      </c>
      <c r="F226" s="70">
        <f t="shared" si="27"/>
        <v>725.84343000000001</v>
      </c>
      <c r="G226" s="70">
        <v>0</v>
      </c>
      <c r="H226" s="87">
        <v>1200</v>
      </c>
      <c r="J226" s="18">
        <f t="shared" si="29"/>
        <v>1.6532491035980033</v>
      </c>
    </row>
    <row r="227" spans="1:10" x14ac:dyDescent="0.25">
      <c r="A227" s="125">
        <f t="shared" si="28"/>
        <v>12</v>
      </c>
      <c r="B227" s="125"/>
      <c r="C227" s="70" t="s">
        <v>350</v>
      </c>
      <c r="D227" s="80">
        <f>(44.29+7.84)*10.764</f>
        <v>561.12731999999994</v>
      </c>
      <c r="E227" s="80">
        <f>(8.04)*10.764</f>
        <v>86.54255999999998</v>
      </c>
      <c r="F227" s="70">
        <f t="shared" si="27"/>
        <v>647.66987999999992</v>
      </c>
      <c r="G227" s="70">
        <v>0</v>
      </c>
      <c r="H227" s="87">
        <v>1065</v>
      </c>
      <c r="J227" s="18">
        <f t="shared" si="29"/>
        <v>1.6443562266628797</v>
      </c>
    </row>
    <row r="228" spans="1:10" x14ac:dyDescent="0.25">
      <c r="A228" s="125">
        <f t="shared" si="28"/>
        <v>13</v>
      </c>
      <c r="B228" s="125"/>
      <c r="C228" s="70" t="s">
        <v>351</v>
      </c>
      <c r="D228" s="80">
        <f>(32.6)*10.764</f>
        <v>350.90640000000002</v>
      </c>
      <c r="E228" s="80">
        <f>(0.75*(2.75*2+2.1))*10.764</f>
        <v>61.35479999999999</v>
      </c>
      <c r="F228" s="70">
        <f t="shared" si="27"/>
        <v>412.26120000000003</v>
      </c>
      <c r="G228" s="70">
        <v>0</v>
      </c>
      <c r="H228" s="87">
        <v>680</v>
      </c>
      <c r="J228" s="18">
        <f t="shared" si="29"/>
        <v>1.6494397241360572</v>
      </c>
    </row>
    <row r="229" spans="1:10" x14ac:dyDescent="0.25">
      <c r="A229" s="125">
        <f t="shared" si="28"/>
        <v>14</v>
      </c>
      <c r="B229" s="125"/>
      <c r="C229" s="70" t="s">
        <v>351</v>
      </c>
      <c r="D229" s="80">
        <f>(34)*10.764</f>
        <v>365.976</v>
      </c>
      <c r="E229" s="80">
        <f>(0.75*(3.05+2.75+1.8))*10.764</f>
        <v>61.35479999999999</v>
      </c>
      <c r="F229" s="70">
        <f t="shared" si="27"/>
        <v>427.33080000000001</v>
      </c>
      <c r="G229" s="70">
        <v>0</v>
      </c>
      <c r="H229" s="87">
        <v>705</v>
      </c>
      <c r="J229" s="18">
        <f t="shared" si="29"/>
        <v>1.6497757709016059</v>
      </c>
    </row>
    <row r="230" spans="1:10" x14ac:dyDescent="0.25">
      <c r="A230" s="106"/>
      <c r="B230" s="159"/>
      <c r="C230" s="159"/>
      <c r="D230" s="159"/>
      <c r="E230" s="159"/>
      <c r="F230" s="159"/>
      <c r="G230" s="159"/>
      <c r="H230" s="107"/>
    </row>
    <row r="231" spans="1:10" x14ac:dyDescent="0.25">
      <c r="A231" s="141" t="s">
        <v>65</v>
      </c>
      <c r="B231" s="141"/>
      <c r="C231" s="141"/>
      <c r="D231" s="141"/>
      <c r="E231" s="141"/>
      <c r="F231" s="141"/>
      <c r="G231" s="141"/>
      <c r="H231" s="141"/>
    </row>
    <row r="232" spans="1:10" x14ac:dyDescent="0.25">
      <c r="A232" s="41" t="s">
        <v>149</v>
      </c>
      <c r="B232" s="135" t="s">
        <v>391</v>
      </c>
      <c r="C232" s="136"/>
      <c r="D232" s="136"/>
      <c r="E232" s="136"/>
      <c r="F232" s="136"/>
      <c r="G232" s="136"/>
      <c r="H232" s="137"/>
    </row>
    <row r="233" spans="1:10" x14ac:dyDescent="0.25">
      <c r="A233" s="41" t="s">
        <v>149</v>
      </c>
      <c r="B233" s="135" t="str">
        <f>(IF(H139="Saleable area Loading :","We have considered Saleable area of Flats as per our Calculation.","We considered Saleable area of Flat as per Builder area Sheet."))</f>
        <v>We considered Saleable area of Flat as per Builder area Sheet.</v>
      </c>
      <c r="C233" s="136"/>
      <c r="D233" s="136"/>
      <c r="E233" s="136"/>
      <c r="F233" s="136"/>
      <c r="G233" s="136"/>
      <c r="H233" s="137"/>
    </row>
    <row r="234" spans="1:10" x14ac:dyDescent="0.25">
      <c r="A234" s="41" t="s">
        <v>149</v>
      </c>
      <c r="B234" s="135" t="str">
        <f>(IF(H112="Saleable area Loading :","We have considered Saleable area of Commercial as per our Calculation.","We considered Saleable area of Commercial as per Builder area Sheet."))</f>
        <v>We considered Saleable area of Commercial as per Builder area Sheet.</v>
      </c>
      <c r="C234" s="136"/>
      <c r="D234" s="136"/>
      <c r="E234" s="136"/>
      <c r="F234" s="136"/>
      <c r="G234" s="136"/>
      <c r="H234" s="137"/>
    </row>
    <row r="235" spans="1:10" x14ac:dyDescent="0.25">
      <c r="A235" s="41" t="s">
        <v>149</v>
      </c>
      <c r="B235" s="138" t="s">
        <v>120</v>
      </c>
      <c r="C235" s="139"/>
      <c r="D235" s="139"/>
      <c r="E235" s="139"/>
      <c r="F235" s="139"/>
      <c r="G235" s="139"/>
      <c r="H235" s="140"/>
    </row>
    <row r="236" spans="1:10" ht="30" customHeight="1" x14ac:dyDescent="0.25">
      <c r="A236" s="41" t="s">
        <v>149</v>
      </c>
      <c r="B236" s="135" t="s">
        <v>378</v>
      </c>
      <c r="C236" s="136"/>
      <c r="D236" s="136"/>
      <c r="E236" s="136"/>
      <c r="F236" s="136"/>
      <c r="G236" s="136"/>
      <c r="H236" s="137"/>
    </row>
    <row r="237" spans="1:10" x14ac:dyDescent="0.25">
      <c r="A237" s="41" t="s">
        <v>149</v>
      </c>
      <c r="B237" s="138" t="s">
        <v>148</v>
      </c>
      <c r="C237" s="139"/>
      <c r="D237" s="139"/>
      <c r="E237" s="139"/>
      <c r="F237" s="139"/>
      <c r="G237" s="139"/>
      <c r="H237" s="140"/>
    </row>
    <row r="238" spans="1:10" x14ac:dyDescent="0.25">
      <c r="A238" s="41" t="s">
        <v>149</v>
      </c>
      <c r="B238" s="138" t="s">
        <v>121</v>
      </c>
      <c r="C238" s="139"/>
      <c r="D238" s="139"/>
      <c r="E238" s="139"/>
      <c r="F238" s="139"/>
      <c r="G238" s="139"/>
      <c r="H238" s="140"/>
    </row>
    <row r="239" spans="1:10" ht="33" customHeight="1" x14ac:dyDescent="0.25">
      <c r="A239" s="41" t="s">
        <v>149</v>
      </c>
      <c r="B239" s="138" t="s">
        <v>150</v>
      </c>
      <c r="C239" s="139"/>
      <c r="D239" s="139"/>
      <c r="E239" s="139"/>
      <c r="F239" s="139"/>
      <c r="G239" s="139"/>
      <c r="H239" s="140"/>
    </row>
    <row r="240" spans="1:10" x14ac:dyDescent="0.25">
      <c r="A240" s="91" t="s">
        <v>149</v>
      </c>
      <c r="B240" s="138" t="s">
        <v>122</v>
      </c>
      <c r="C240" s="139"/>
      <c r="D240" s="139"/>
      <c r="E240" s="139"/>
      <c r="F240" s="139"/>
      <c r="G240" s="139"/>
      <c r="H240" s="140"/>
    </row>
    <row r="241" spans="1:8" x14ac:dyDescent="0.25">
      <c r="A241" s="41" t="s">
        <v>149</v>
      </c>
      <c r="B241" s="138" t="s">
        <v>386</v>
      </c>
      <c r="C241" s="139"/>
      <c r="D241" s="139"/>
      <c r="E241" s="139"/>
      <c r="F241" s="139"/>
      <c r="G241" s="139"/>
      <c r="H241" s="140"/>
    </row>
    <row r="242" spans="1:8" ht="34.5" hidden="1" customHeight="1" x14ac:dyDescent="0.25">
      <c r="A242" s="47" t="s">
        <v>149</v>
      </c>
      <c r="B242" s="162" t="s">
        <v>174</v>
      </c>
      <c r="C242" s="163"/>
      <c r="D242" s="163"/>
      <c r="E242" s="163"/>
      <c r="F242" s="163"/>
      <c r="G242" s="163"/>
      <c r="H242" s="164"/>
    </row>
    <row r="243" spans="1:8" hidden="1" x14ac:dyDescent="0.25">
      <c r="A243" s="51" t="s">
        <v>149</v>
      </c>
      <c r="B243" s="162" t="s">
        <v>229</v>
      </c>
      <c r="C243" s="163"/>
      <c r="D243" s="163"/>
      <c r="E243" s="163"/>
      <c r="F243" s="163"/>
      <c r="G243" s="163"/>
      <c r="H243" s="164"/>
    </row>
    <row r="244" spans="1:8" x14ac:dyDescent="0.25">
      <c r="A244" s="142" t="s">
        <v>58</v>
      </c>
      <c r="B244" s="142"/>
      <c r="C244" s="142"/>
      <c r="D244" s="142"/>
      <c r="E244" s="142"/>
      <c r="F244" s="142"/>
      <c r="G244" s="142"/>
      <c r="H244" s="142"/>
    </row>
    <row r="245" spans="1:8" x14ac:dyDescent="0.25">
      <c r="A245" s="110" t="s">
        <v>59</v>
      </c>
      <c r="B245" s="110"/>
      <c r="C245" s="110"/>
      <c r="D245" s="110"/>
      <c r="E245" s="110"/>
      <c r="F245" s="110"/>
      <c r="G245" s="110"/>
      <c r="H245" s="110"/>
    </row>
    <row r="246" spans="1:8" x14ac:dyDescent="0.25">
      <c r="A246" s="124" t="s">
        <v>60</v>
      </c>
      <c r="B246" s="124"/>
      <c r="C246" s="124"/>
      <c r="D246" s="124"/>
      <c r="E246" s="124"/>
      <c r="F246" s="124"/>
      <c r="G246" s="124"/>
      <c r="H246" s="124"/>
    </row>
    <row r="247" spans="1:8" x14ac:dyDescent="0.25">
      <c r="A247" s="110" t="s">
        <v>61</v>
      </c>
      <c r="B247" s="110"/>
      <c r="C247" s="110"/>
      <c r="D247" s="110"/>
      <c r="E247" s="110"/>
      <c r="F247" s="110"/>
      <c r="G247" s="110"/>
      <c r="H247" s="110"/>
    </row>
    <row r="248" spans="1:8" x14ac:dyDescent="0.25">
      <c r="A248" s="110" t="s">
        <v>62</v>
      </c>
      <c r="B248" s="110"/>
      <c r="C248" s="110"/>
      <c r="D248" s="110"/>
      <c r="E248" s="110"/>
      <c r="F248" s="110"/>
      <c r="G248" s="110"/>
      <c r="H248" s="110"/>
    </row>
    <row r="249" spans="1:8" x14ac:dyDescent="0.25">
      <c r="A249" s="110" t="s">
        <v>123</v>
      </c>
      <c r="B249" s="110"/>
      <c r="C249" s="110"/>
      <c r="D249" s="110"/>
      <c r="E249" s="110"/>
      <c r="F249" s="110"/>
      <c r="G249" s="110"/>
      <c r="H249" s="110"/>
    </row>
    <row r="250" spans="1:8" x14ac:dyDescent="0.25">
      <c r="A250" s="119" t="s">
        <v>124</v>
      </c>
      <c r="B250" s="119"/>
      <c r="C250" s="119"/>
      <c r="D250" s="119"/>
      <c r="E250" s="119"/>
      <c r="F250" s="119"/>
      <c r="G250" s="119"/>
      <c r="H250" s="119"/>
    </row>
    <row r="251" spans="1:8" x14ac:dyDescent="0.25">
      <c r="A251" s="179" t="s">
        <v>74</v>
      </c>
      <c r="B251" s="179"/>
      <c r="C251" s="179" t="s">
        <v>388</v>
      </c>
      <c r="D251" s="179"/>
      <c r="E251" s="179" t="s">
        <v>104</v>
      </c>
      <c r="F251" s="179"/>
      <c r="G251" s="179" t="s">
        <v>390</v>
      </c>
      <c r="H251" s="179"/>
    </row>
    <row r="252" spans="1:8" x14ac:dyDescent="0.25">
      <c r="A252" s="178" t="s">
        <v>76</v>
      </c>
      <c r="B252" s="178"/>
      <c r="C252" s="178"/>
      <c r="D252" s="178"/>
      <c r="E252" s="178"/>
      <c r="F252" s="178"/>
      <c r="G252" s="178"/>
      <c r="H252" s="178"/>
    </row>
    <row r="253" spans="1:8" x14ac:dyDescent="0.25">
      <c r="A253" s="178"/>
      <c r="B253" s="178"/>
      <c r="C253" s="178"/>
      <c r="D253" s="178"/>
      <c r="E253" s="178"/>
      <c r="F253" s="178"/>
      <c r="G253" s="178"/>
      <c r="H253" s="178"/>
    </row>
    <row r="254" spans="1:8" x14ac:dyDescent="0.25">
      <c r="A254" s="178"/>
      <c r="B254" s="178"/>
      <c r="C254" s="178"/>
      <c r="D254" s="178"/>
      <c r="E254" s="178"/>
      <c r="F254" s="178"/>
      <c r="G254" s="178"/>
      <c r="H254" s="178"/>
    </row>
    <row r="255" spans="1:8" x14ac:dyDescent="0.25">
      <c r="A255" s="178"/>
      <c r="B255" s="178"/>
      <c r="C255" s="178"/>
      <c r="D255" s="178"/>
      <c r="E255" s="178"/>
      <c r="F255" s="178"/>
      <c r="G255" s="178"/>
      <c r="H255" s="178"/>
    </row>
    <row r="256" spans="1:8" x14ac:dyDescent="0.25">
      <c r="A256" s="35" t="s">
        <v>63</v>
      </c>
      <c r="B256" s="36"/>
      <c r="C256" s="36"/>
      <c r="D256" s="35" t="str">
        <f>E9</f>
        <v>Avencia</v>
      </c>
      <c r="F256" s="36"/>
      <c r="G256" s="36"/>
      <c r="H256" s="36"/>
    </row>
    <row r="257" spans="1:8" x14ac:dyDescent="0.25">
      <c r="A257" s="36"/>
      <c r="B257" s="36"/>
      <c r="C257" s="36"/>
      <c r="D257" s="36"/>
      <c r="E257" s="36"/>
      <c r="F257" s="36"/>
      <c r="G257" s="36"/>
      <c r="H257" s="36"/>
    </row>
    <row r="258" spans="1:8" x14ac:dyDescent="0.25">
      <c r="A258" s="36"/>
      <c r="B258" s="36"/>
      <c r="C258" s="36"/>
      <c r="D258" s="36"/>
      <c r="E258" s="36"/>
      <c r="F258" s="36"/>
      <c r="G258" s="36"/>
      <c r="H258" s="36"/>
    </row>
    <row r="299" spans="1:1" x14ac:dyDescent="0.25">
      <c r="A299" s="38" t="s">
        <v>159</v>
      </c>
    </row>
    <row r="342" spans="1:1" x14ac:dyDescent="0.25">
      <c r="A342" s="38" t="s">
        <v>64</v>
      </c>
    </row>
  </sheetData>
  <mergeCells count="403">
    <mergeCell ref="A194:B194"/>
    <mergeCell ref="A195:B195"/>
    <mergeCell ref="A196:B196"/>
    <mergeCell ref="I11:L11"/>
    <mergeCell ref="A137:B137"/>
    <mergeCell ref="A216:B216"/>
    <mergeCell ref="A217:B217"/>
    <mergeCell ref="A218:B218"/>
    <mergeCell ref="A219:B219"/>
    <mergeCell ref="A171:B171"/>
    <mergeCell ref="A172:B172"/>
    <mergeCell ref="A173:B173"/>
    <mergeCell ref="A174:B174"/>
    <mergeCell ref="A128:B128"/>
    <mergeCell ref="A129:B129"/>
    <mergeCell ref="A130:B130"/>
    <mergeCell ref="A131:B131"/>
    <mergeCell ref="A200:H200"/>
    <mergeCell ref="A201:B201"/>
    <mergeCell ref="A132:B132"/>
    <mergeCell ref="A133:B133"/>
    <mergeCell ref="A134:B134"/>
    <mergeCell ref="A161:B161"/>
    <mergeCell ref="A167:B167"/>
    <mergeCell ref="A223:B223"/>
    <mergeCell ref="A207:B207"/>
    <mergeCell ref="A208:B208"/>
    <mergeCell ref="A209:B209"/>
    <mergeCell ref="A210:B210"/>
    <mergeCell ref="A211:B211"/>
    <mergeCell ref="A212:B212"/>
    <mergeCell ref="A213:B213"/>
    <mergeCell ref="A202:B202"/>
    <mergeCell ref="A203:B203"/>
    <mergeCell ref="A204:B204"/>
    <mergeCell ref="A205:B205"/>
    <mergeCell ref="A215:H215"/>
    <mergeCell ref="A206:B206"/>
    <mergeCell ref="A220:B220"/>
    <mergeCell ref="A221:B221"/>
    <mergeCell ref="A222:B222"/>
    <mergeCell ref="A115:H115"/>
    <mergeCell ref="A120:B120"/>
    <mergeCell ref="A121:B121"/>
    <mergeCell ref="A122:B122"/>
    <mergeCell ref="A123:B123"/>
    <mergeCell ref="A124:B124"/>
    <mergeCell ref="A125:B125"/>
    <mergeCell ref="A126:H126"/>
    <mergeCell ref="A127:B127"/>
    <mergeCell ref="C143:G143"/>
    <mergeCell ref="A160:B160"/>
    <mergeCell ref="C137:H137"/>
    <mergeCell ref="A179:B179"/>
    <mergeCell ref="A180:B180"/>
    <mergeCell ref="A181:B181"/>
    <mergeCell ref="A182:B182"/>
    <mergeCell ref="A183:B183"/>
    <mergeCell ref="A185:H185"/>
    <mergeCell ref="A168:B168"/>
    <mergeCell ref="A169:B169"/>
    <mergeCell ref="A170:H170"/>
    <mergeCell ref="A184:B184"/>
    <mergeCell ref="A175:B175"/>
    <mergeCell ref="A176:B176"/>
    <mergeCell ref="A177:B177"/>
    <mergeCell ref="A178:B178"/>
    <mergeCell ref="A186:B186"/>
    <mergeCell ref="A187:B187"/>
    <mergeCell ref="A188:B188"/>
    <mergeCell ref="A225:B225"/>
    <mergeCell ref="A226:B226"/>
    <mergeCell ref="A227:B227"/>
    <mergeCell ref="B241:H241"/>
    <mergeCell ref="B238:H238"/>
    <mergeCell ref="B234:H234"/>
    <mergeCell ref="A228:B228"/>
    <mergeCell ref="A230:H230"/>
    <mergeCell ref="A197:B197"/>
    <mergeCell ref="A198:B198"/>
    <mergeCell ref="A199:B199"/>
    <mergeCell ref="A214:B214"/>
    <mergeCell ref="A229:B229"/>
    <mergeCell ref="A224:B224"/>
    <mergeCell ref="C222:H222"/>
    <mergeCell ref="B240:H240"/>
    <mergeCell ref="A189:B189"/>
    <mergeCell ref="A190:B190"/>
    <mergeCell ref="A191:B191"/>
    <mergeCell ref="A192:B192"/>
    <mergeCell ref="A193:B193"/>
    <mergeCell ref="A49:B49"/>
    <mergeCell ref="C49:H49"/>
    <mergeCell ref="B237:H237"/>
    <mergeCell ref="F89:H89"/>
    <mergeCell ref="A89:E89"/>
    <mergeCell ref="D112:D113"/>
    <mergeCell ref="A91:E91"/>
    <mergeCell ref="A90:E90"/>
    <mergeCell ref="A87:E87"/>
    <mergeCell ref="F91:H91"/>
    <mergeCell ref="G112:G113"/>
    <mergeCell ref="A163:B163"/>
    <mergeCell ref="A79:B79"/>
    <mergeCell ref="A75:B75"/>
    <mergeCell ref="A73:B73"/>
    <mergeCell ref="C73:H73"/>
    <mergeCell ref="A81:B81"/>
    <mergeCell ref="A68:C68"/>
    <mergeCell ref="D68:H68"/>
    <mergeCell ref="C75:H75"/>
    <mergeCell ref="A78:B78"/>
    <mergeCell ref="A80:B80"/>
    <mergeCell ref="E76:F76"/>
    <mergeCell ref="A69:C69"/>
    <mergeCell ref="L127:M127"/>
    <mergeCell ref="A153:B153"/>
    <mergeCell ref="A150:B150"/>
    <mergeCell ref="A151:B151"/>
    <mergeCell ref="A162:B162"/>
    <mergeCell ref="A40:B40"/>
    <mergeCell ref="C40:H40"/>
    <mergeCell ref="F112:F113"/>
    <mergeCell ref="C102:D102"/>
    <mergeCell ref="E102:F102"/>
    <mergeCell ref="B112:B113"/>
    <mergeCell ref="A112:A113"/>
    <mergeCell ref="C139:C140"/>
    <mergeCell ref="G139:G140"/>
    <mergeCell ref="L126:M126"/>
    <mergeCell ref="L123:M123"/>
    <mergeCell ref="A145:B145"/>
    <mergeCell ref="G109:H109"/>
    <mergeCell ref="L124:M124"/>
    <mergeCell ref="A146:B146"/>
    <mergeCell ref="L125:M125"/>
    <mergeCell ref="C55:H55"/>
    <mergeCell ref="A147:B147"/>
    <mergeCell ref="A76:B76"/>
    <mergeCell ref="A39:B39"/>
    <mergeCell ref="C39:H39"/>
    <mergeCell ref="A46:D46"/>
    <mergeCell ref="L118:M118"/>
    <mergeCell ref="L117:M117"/>
    <mergeCell ref="L116:M116"/>
    <mergeCell ref="L115:M115"/>
    <mergeCell ref="A84:B84"/>
    <mergeCell ref="C107:D107"/>
    <mergeCell ref="E107:F107"/>
    <mergeCell ref="G107:H107"/>
    <mergeCell ref="A88:E88"/>
    <mergeCell ref="A114:H114"/>
    <mergeCell ref="E112:E113"/>
    <mergeCell ref="A47:D47"/>
    <mergeCell ref="A48:H48"/>
    <mergeCell ref="D64:H64"/>
    <mergeCell ref="A64:C64"/>
    <mergeCell ref="A83:B83"/>
    <mergeCell ref="A45:D45"/>
    <mergeCell ref="E77:F86"/>
    <mergeCell ref="G77:H86"/>
    <mergeCell ref="A85:B85"/>
    <mergeCell ref="A86:B86"/>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F37:H37"/>
    <mergeCell ref="C51:E51"/>
    <mergeCell ref="C50:E50"/>
    <mergeCell ref="G50:H50"/>
    <mergeCell ref="A51:B51"/>
    <mergeCell ref="C58:E58"/>
    <mergeCell ref="G58:H58"/>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52:H255"/>
    <mergeCell ref="A251:B251"/>
    <mergeCell ref="E251:F251"/>
    <mergeCell ref="C251:D251"/>
    <mergeCell ref="G251:H251"/>
    <mergeCell ref="A100:H100"/>
    <mergeCell ref="A98:E98"/>
    <mergeCell ref="F98:H98"/>
    <mergeCell ref="A99:E99"/>
    <mergeCell ref="F99:H99"/>
    <mergeCell ref="A107:B107"/>
    <mergeCell ref="A158:B158"/>
    <mergeCell ref="A102:B102"/>
    <mergeCell ref="A247:H247"/>
    <mergeCell ref="A105:H105"/>
    <mergeCell ref="A250:H250"/>
    <mergeCell ref="A248:H248"/>
    <mergeCell ref="A108:B108"/>
    <mergeCell ref="E108:F108"/>
    <mergeCell ref="G108:H108"/>
    <mergeCell ref="G103:H103"/>
    <mergeCell ref="A104:B104"/>
    <mergeCell ref="C104:D104"/>
    <mergeCell ref="E104:F104"/>
    <mergeCell ref="B242:H242"/>
    <mergeCell ref="B243:H243"/>
    <mergeCell ref="A92:E92"/>
    <mergeCell ref="C192:H193"/>
    <mergeCell ref="C103:D103"/>
    <mergeCell ref="E103:F103"/>
    <mergeCell ref="D71:H71"/>
    <mergeCell ref="A77:B77"/>
    <mergeCell ref="G76:H76"/>
    <mergeCell ref="A97:E97"/>
    <mergeCell ref="G104:H104"/>
    <mergeCell ref="B239:H239"/>
    <mergeCell ref="A164:B164"/>
    <mergeCell ref="A152:B152"/>
    <mergeCell ref="A109:B109"/>
    <mergeCell ref="C109:D109"/>
    <mergeCell ref="E109:F109"/>
    <mergeCell ref="A135:B135"/>
    <mergeCell ref="A136:B136"/>
    <mergeCell ref="A142:H142"/>
    <mergeCell ref="A148:B148"/>
    <mergeCell ref="A154:B154"/>
    <mergeCell ref="C154:G154"/>
    <mergeCell ref="A143:B143"/>
    <mergeCell ref="C112:C113"/>
    <mergeCell ref="B139:B140"/>
    <mergeCell ref="D69:H69"/>
    <mergeCell ref="A72:C72"/>
    <mergeCell ref="D72:H72"/>
    <mergeCell ref="A70:C70"/>
    <mergeCell ref="A245:H245"/>
    <mergeCell ref="F87:H87"/>
    <mergeCell ref="F92:H92"/>
    <mergeCell ref="A144:B144"/>
    <mergeCell ref="A119:B119"/>
    <mergeCell ref="A118:B118"/>
    <mergeCell ref="A93:E93"/>
    <mergeCell ref="F93:H93"/>
    <mergeCell ref="A95:E95"/>
    <mergeCell ref="F90:H90"/>
    <mergeCell ref="A94:E94"/>
    <mergeCell ref="A138:H138"/>
    <mergeCell ref="E106:F106"/>
    <mergeCell ref="A110:H110"/>
    <mergeCell ref="A139:A140"/>
    <mergeCell ref="F139:F140"/>
    <mergeCell ref="A156:B156"/>
    <mergeCell ref="A116:B116"/>
    <mergeCell ref="C52:E52"/>
    <mergeCell ref="A65:C65"/>
    <mergeCell ref="D65:H65"/>
    <mergeCell ref="G52:H52"/>
    <mergeCell ref="A61:H61"/>
    <mergeCell ref="A62:C62"/>
    <mergeCell ref="A63:C63"/>
    <mergeCell ref="D63:H63"/>
    <mergeCell ref="G60:H60"/>
    <mergeCell ref="A54:B55"/>
    <mergeCell ref="C54:E54"/>
    <mergeCell ref="G54:H54"/>
    <mergeCell ref="A56:B57"/>
    <mergeCell ref="C56:E56"/>
    <mergeCell ref="G56:H56"/>
    <mergeCell ref="A58:B59"/>
    <mergeCell ref="A82:B82"/>
    <mergeCell ref="A249:H249"/>
    <mergeCell ref="A246:H246"/>
    <mergeCell ref="A149:B149"/>
    <mergeCell ref="A106:B106"/>
    <mergeCell ref="D139:D140"/>
    <mergeCell ref="E139:E140"/>
    <mergeCell ref="F88:H88"/>
    <mergeCell ref="G102:H102"/>
    <mergeCell ref="F94:H94"/>
    <mergeCell ref="C101:D101"/>
    <mergeCell ref="C108:D108"/>
    <mergeCell ref="A141:H141"/>
    <mergeCell ref="A159:B159"/>
    <mergeCell ref="B232:H232"/>
    <mergeCell ref="B233:H233"/>
    <mergeCell ref="B235:H235"/>
    <mergeCell ref="B236:H236"/>
    <mergeCell ref="A231:H231"/>
    <mergeCell ref="A165:B165"/>
    <mergeCell ref="A166:B166"/>
    <mergeCell ref="A155:H155"/>
    <mergeCell ref="A244:H244"/>
    <mergeCell ref="G106:H106"/>
    <mergeCell ref="A50:B50"/>
    <mergeCell ref="G51:H51"/>
    <mergeCell ref="A52:B53"/>
    <mergeCell ref="C53:H53"/>
    <mergeCell ref="I15:P15"/>
    <mergeCell ref="F97:H97"/>
    <mergeCell ref="F95:H95"/>
    <mergeCell ref="A157:B157"/>
    <mergeCell ref="A111:H111"/>
    <mergeCell ref="G101:H101"/>
    <mergeCell ref="A96:E96"/>
    <mergeCell ref="A117:B117"/>
    <mergeCell ref="A60:B60"/>
    <mergeCell ref="C60:E60"/>
    <mergeCell ref="D62:H62"/>
    <mergeCell ref="F96:H96"/>
    <mergeCell ref="E101:F101"/>
    <mergeCell ref="A101:B101"/>
    <mergeCell ref="A103:B103"/>
    <mergeCell ref="C106:D106"/>
    <mergeCell ref="D70:H70"/>
    <mergeCell ref="A71:C71"/>
    <mergeCell ref="E43:H43"/>
    <mergeCell ref="A43:D43"/>
  </mergeCells>
  <dataValidations count="20">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2:E113">
      <formula1>"Attached Loft area,Attached Otla area,Attached Mezzanine area"</formula1>
    </dataValidation>
    <dataValidation type="list" allowBlank="1" showInputMessage="1" showErrorMessage="1" sqref="G251:H251">
      <formula1>"Gaurav Panchal,Kunal Kadam,Pranita Mhatre,Shruti Fule,Pooja Kawale,Neha Dhokale,Shruti Tathare,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2:B113">
      <formula1>"Shop No. (Sale Plan),Sale / Rehab,Sale / Mhada"</formula1>
    </dataValidation>
    <dataValidation type="list" allowBlank="1" showInputMessage="1" showErrorMessage="1" sqref="B139:B140">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9:E140">
      <formula1>"Fungible area,Open Balcony + Chajja Area,Cornice Area,AP Area,WS Area"</formula1>
    </dataValidation>
    <dataValidation type="list" allowBlank="1" showInputMessage="1" showErrorMessage="1" sqref="H113">
      <formula1>".45,.50,.55,.60,1"</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 type="list" allowBlank="1" showInputMessage="1" showErrorMessage="1" sqref="H112 H139">
      <formula1>"Saleable area Loading :,Builder Saleable Area"</formula1>
    </dataValidation>
    <dataValidation type="list" allowBlank="1" showInputMessage="1" showErrorMessage="1" sqref="D112:D113">
      <formula1>"Carpet area,RERA Carpet area"</formula1>
    </dataValidation>
    <dataValidation type="list" allowBlank="1" showInputMessage="1" showErrorMessage="1" sqref="D139:D140">
      <formula1>"Carpet + Enclosed Balcony Area,RERA Carpet area"</formula1>
    </dataValidation>
    <dataValidation type="list" allowBlank="1" showInputMessage="1" showErrorMessage="1" sqref="H140">
      <formula1>".45,.50,.55,.60,.65"</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2" max="16383" man="1"/>
    <brk id="255" max="7" man="1"/>
    <brk id="298" max="7" man="1"/>
    <brk id="341"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43" t="s">
        <v>105</v>
      </c>
      <c r="C3" s="243"/>
      <c r="D3" s="243"/>
      <c r="E3" s="243"/>
      <c r="F3" s="243"/>
      <c r="G3" s="243"/>
      <c r="H3" s="243"/>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8"/>
      <c r="C4" s="48" t="s">
        <v>11</v>
      </c>
      <c r="D4" s="49" t="s">
        <v>175</v>
      </c>
      <c r="E4" s="49" t="s">
        <v>185</v>
      </c>
      <c r="F4" s="49" t="s">
        <v>168</v>
      </c>
      <c r="G4" s="49" t="s">
        <v>190</v>
      </c>
      <c r="H4" s="49" t="s">
        <v>208</v>
      </c>
      <c r="J4" t="s">
        <v>190</v>
      </c>
      <c r="K4" t="s">
        <v>206</v>
      </c>
    </row>
    <row r="5" spans="2:11" x14ac:dyDescent="0.25">
      <c r="B5" s="48"/>
      <c r="C5" s="48"/>
      <c r="D5" s="49" t="s">
        <v>176</v>
      </c>
      <c r="E5" s="49" t="s">
        <v>183</v>
      </c>
      <c r="F5" s="49" t="s">
        <v>205</v>
      </c>
      <c r="G5" s="49" t="s">
        <v>191</v>
      </c>
      <c r="H5" s="49" t="s">
        <v>209</v>
      </c>
    </row>
    <row r="6" spans="2:11" x14ac:dyDescent="0.25">
      <c r="B6" s="48"/>
      <c r="C6" s="48"/>
      <c r="D6" s="49" t="s">
        <v>177</v>
      </c>
      <c r="E6" s="49" t="s">
        <v>184</v>
      </c>
      <c r="F6" s="49" t="s">
        <v>206</v>
      </c>
      <c r="G6" s="49" t="s">
        <v>192</v>
      </c>
      <c r="H6" s="49" t="s">
        <v>222</v>
      </c>
    </row>
    <row r="7" spans="2:11" x14ac:dyDescent="0.25">
      <c r="B7" s="48"/>
      <c r="C7" s="48"/>
      <c r="D7" s="49" t="s">
        <v>178</v>
      </c>
      <c r="E7" s="49" t="s">
        <v>186</v>
      </c>
      <c r="F7" s="49" t="s">
        <v>207</v>
      </c>
      <c r="G7" s="49" t="s">
        <v>193</v>
      </c>
      <c r="H7" s="49" t="s">
        <v>210</v>
      </c>
    </row>
    <row r="8" spans="2:11" x14ac:dyDescent="0.25">
      <c r="B8" s="48"/>
      <c r="C8" s="48"/>
      <c r="D8" s="49" t="s">
        <v>179</v>
      </c>
      <c r="E8" s="49" t="s">
        <v>187</v>
      </c>
      <c r="F8" s="49"/>
      <c r="G8" s="49" t="s">
        <v>194</v>
      </c>
      <c r="H8" s="49" t="s">
        <v>211</v>
      </c>
    </row>
    <row r="9" spans="2:11" x14ac:dyDescent="0.25">
      <c r="B9" s="48"/>
      <c r="C9" s="48"/>
      <c r="D9" s="49" t="s">
        <v>180</v>
      </c>
      <c r="E9" s="49" t="s">
        <v>185</v>
      </c>
      <c r="F9" s="49"/>
      <c r="G9" s="49" t="s">
        <v>195</v>
      </c>
      <c r="H9" s="49" t="s">
        <v>212</v>
      </c>
    </row>
    <row r="10" spans="2:11" x14ac:dyDescent="0.25">
      <c r="B10" s="48"/>
      <c r="C10" s="48"/>
      <c r="D10" s="49" t="s">
        <v>181</v>
      </c>
      <c r="E10" s="49" t="s">
        <v>188</v>
      </c>
      <c r="F10" s="49"/>
      <c r="G10" s="49" t="s">
        <v>196</v>
      </c>
      <c r="H10" s="49" t="s">
        <v>213</v>
      </c>
    </row>
    <row r="11" spans="2:11" x14ac:dyDescent="0.25">
      <c r="B11" s="48"/>
      <c r="C11" s="48"/>
      <c r="D11" s="49" t="s">
        <v>182</v>
      </c>
      <c r="E11" s="49" t="s">
        <v>189</v>
      </c>
      <c r="F11" s="49"/>
      <c r="G11" s="49" t="s">
        <v>197</v>
      </c>
      <c r="H11" s="49" t="s">
        <v>214</v>
      </c>
    </row>
    <row r="12" spans="2:11" x14ac:dyDescent="0.25">
      <c r="B12" s="48"/>
      <c r="C12" s="48"/>
      <c r="D12" s="49"/>
      <c r="E12" s="49"/>
      <c r="F12" s="49"/>
      <c r="G12" s="49" t="s">
        <v>198</v>
      </c>
      <c r="H12" s="49" t="s">
        <v>215</v>
      </c>
    </row>
    <row r="13" spans="2:11" x14ac:dyDescent="0.25">
      <c r="B13" s="48"/>
      <c r="C13" s="48"/>
      <c r="D13" s="49"/>
      <c r="E13" s="49"/>
      <c r="F13" s="49"/>
      <c r="G13" s="49" t="s">
        <v>199</v>
      </c>
      <c r="H13" s="49" t="s">
        <v>216</v>
      </c>
    </row>
    <row r="14" spans="2:11" x14ac:dyDescent="0.25">
      <c r="B14" s="48"/>
      <c r="C14" s="48"/>
      <c r="D14" s="49"/>
      <c r="E14" s="49"/>
      <c r="F14" s="49"/>
      <c r="G14" s="49" t="s">
        <v>200</v>
      </c>
      <c r="H14" s="49" t="s">
        <v>217</v>
      </c>
    </row>
    <row r="15" spans="2:11" x14ac:dyDescent="0.25">
      <c r="B15" s="48"/>
      <c r="C15" s="48"/>
      <c r="D15" s="49"/>
      <c r="E15" s="49"/>
      <c r="F15" s="49"/>
      <c r="G15" s="49" t="s">
        <v>201</v>
      </c>
      <c r="H15" s="49" t="s">
        <v>218</v>
      </c>
    </row>
    <row r="16" spans="2:11" x14ac:dyDescent="0.25">
      <c r="B16" s="48"/>
      <c r="C16" s="48"/>
      <c r="D16" s="49"/>
      <c r="E16" s="49"/>
      <c r="F16" s="49"/>
      <c r="G16" s="49" t="s">
        <v>202</v>
      </c>
      <c r="H16" s="49" t="s">
        <v>219</v>
      </c>
    </row>
    <row r="17" spans="2:8" x14ac:dyDescent="0.25">
      <c r="B17" s="48"/>
      <c r="C17" s="48"/>
      <c r="D17" s="49"/>
      <c r="E17" s="49"/>
      <c r="F17" s="49"/>
      <c r="G17" s="49" t="s">
        <v>203</v>
      </c>
      <c r="H17" s="49" t="s">
        <v>220</v>
      </c>
    </row>
    <row r="18" spans="2:8" x14ac:dyDescent="0.25">
      <c r="B18" s="48"/>
      <c r="C18" s="48"/>
      <c r="D18" s="49"/>
      <c r="E18" s="49"/>
      <c r="F18" s="49"/>
      <c r="G18" s="49" t="s">
        <v>204</v>
      </c>
      <c r="H18" s="49" t="s">
        <v>221</v>
      </c>
    </row>
    <row r="24" spans="2:8" x14ac:dyDescent="0.25">
      <c r="C24" t="s">
        <v>165</v>
      </c>
    </row>
    <row r="25" spans="2:8" x14ac:dyDescent="0.25">
      <c r="C25" t="s">
        <v>223</v>
      </c>
    </row>
    <row r="26" spans="2:8" x14ac:dyDescent="0.25">
      <c r="C26" t="s">
        <v>224</v>
      </c>
    </row>
    <row r="27" spans="2:8" x14ac:dyDescent="0.25">
      <c r="C27" t="s">
        <v>225</v>
      </c>
    </row>
    <row r="28" spans="2:8" x14ac:dyDescent="0.25">
      <c r="C28" t="s">
        <v>226</v>
      </c>
    </row>
    <row r="29" spans="2:8" x14ac:dyDescent="0.25">
      <c r="C29" t="s">
        <v>227</v>
      </c>
    </row>
    <row r="30" spans="2:8" x14ac:dyDescent="0.25">
      <c r="C30" t="s">
        <v>165</v>
      </c>
    </row>
    <row r="33" spans="3:11" x14ac:dyDescent="0.25">
      <c r="J33">
        <v>1</v>
      </c>
      <c r="K33">
        <v>2</v>
      </c>
    </row>
    <row r="34" spans="3:11" x14ac:dyDescent="0.25">
      <c r="C34" s="52" t="s">
        <v>233</v>
      </c>
      <c r="D34" s="49" t="s">
        <v>231</v>
      </c>
      <c r="E34" s="49" t="s">
        <v>236</v>
      </c>
      <c r="F34" s="49" t="s">
        <v>234</v>
      </c>
      <c r="G34" s="49" t="s">
        <v>235</v>
      </c>
      <c r="H34" s="49" t="s">
        <v>237</v>
      </c>
      <c r="J34" t="s">
        <v>190</v>
      </c>
      <c r="K34" t="s">
        <v>206</v>
      </c>
    </row>
    <row r="35" spans="3:11" x14ac:dyDescent="0.25">
      <c r="C35" s="48" t="s">
        <v>232</v>
      </c>
      <c r="D35" s="49" t="s">
        <v>166</v>
      </c>
      <c r="E35" s="49" t="s">
        <v>241</v>
      </c>
      <c r="F35" s="49" t="s">
        <v>243</v>
      </c>
      <c r="G35" s="49" t="s">
        <v>245</v>
      </c>
      <c r="H35" s="49"/>
    </row>
    <row r="36" spans="3:11" x14ac:dyDescent="0.25">
      <c r="C36" s="48"/>
      <c r="D36" s="49" t="s">
        <v>238</v>
      </c>
      <c r="E36" s="49" t="s">
        <v>242</v>
      </c>
      <c r="F36" s="49" t="s">
        <v>244</v>
      </c>
      <c r="G36" s="49" t="s">
        <v>246</v>
      </c>
      <c r="H36" s="49"/>
    </row>
    <row r="37" spans="3:11" x14ac:dyDescent="0.25">
      <c r="C37" s="48"/>
      <c r="D37" s="49" t="s">
        <v>239</v>
      </c>
      <c r="E37" s="49"/>
      <c r="F37" s="49"/>
      <c r="G37" s="49" t="s">
        <v>247</v>
      </c>
      <c r="H37" s="49"/>
    </row>
    <row r="38" spans="3:11" x14ac:dyDescent="0.25">
      <c r="C38" s="48"/>
      <c r="D38" s="49" t="s">
        <v>240</v>
      </c>
      <c r="E38" s="49"/>
      <c r="F38" s="49"/>
      <c r="G38" s="49" t="s">
        <v>247</v>
      </c>
      <c r="H38" s="49"/>
    </row>
    <row r="39" spans="3:11" x14ac:dyDescent="0.25">
      <c r="C39" s="48"/>
      <c r="D39" s="49"/>
      <c r="E39" s="49"/>
      <c r="F39" s="49"/>
      <c r="G39" s="49" t="s">
        <v>248</v>
      </c>
      <c r="H39" s="49"/>
    </row>
    <row r="40" spans="3:11" x14ac:dyDescent="0.25">
      <c r="C40" s="48"/>
      <c r="D40" s="49"/>
      <c r="E40" s="49"/>
      <c r="F40" s="49"/>
      <c r="G40" s="49" t="s">
        <v>249</v>
      </c>
      <c r="H40" s="49"/>
    </row>
    <row r="41" spans="3:11" x14ac:dyDescent="0.25">
      <c r="C41" s="48"/>
      <c r="D41" s="49"/>
      <c r="E41" s="49"/>
      <c r="F41" s="49"/>
      <c r="G41" s="49"/>
      <c r="H41" s="49"/>
    </row>
    <row r="43" spans="3:11" x14ac:dyDescent="0.25">
      <c r="C43" t="s">
        <v>250</v>
      </c>
    </row>
    <row r="44" spans="3:11" x14ac:dyDescent="0.25">
      <c r="C44" t="s">
        <v>168</v>
      </c>
      <c r="D44" t="s">
        <v>251</v>
      </c>
    </row>
    <row r="45" spans="3:11" x14ac:dyDescent="0.25">
      <c r="D45" t="s">
        <v>252</v>
      </c>
    </row>
    <row r="46" spans="3:11" x14ac:dyDescent="0.25">
      <c r="D46" t="s">
        <v>253</v>
      </c>
    </row>
    <row r="47" spans="3:11" x14ac:dyDescent="0.25">
      <c r="D47" t="s">
        <v>254</v>
      </c>
    </row>
    <row r="48" spans="3:11" x14ac:dyDescent="0.25">
      <c r="D48" t="s">
        <v>255</v>
      </c>
    </row>
    <row r="49" spans="3:4" x14ac:dyDescent="0.25">
      <c r="C49" t="s">
        <v>175</v>
      </c>
      <c r="D49" t="s">
        <v>256</v>
      </c>
    </row>
    <row r="50" spans="3:4" x14ac:dyDescent="0.25">
      <c r="D50" t="s">
        <v>257</v>
      </c>
    </row>
    <row r="51" spans="3:4" x14ac:dyDescent="0.25">
      <c r="D51" t="s">
        <v>258</v>
      </c>
    </row>
    <row r="52" spans="3:4" x14ac:dyDescent="0.25">
      <c r="D52" t="s">
        <v>261</v>
      </c>
    </row>
    <row r="53" spans="3:4" x14ac:dyDescent="0.25">
      <c r="D53" t="s">
        <v>259</v>
      </c>
    </row>
    <row r="54" spans="3:4" x14ac:dyDescent="0.25">
      <c r="D54" t="s">
        <v>260</v>
      </c>
    </row>
    <row r="55" spans="3:4" x14ac:dyDescent="0.25">
      <c r="D55" t="s">
        <v>262</v>
      </c>
    </row>
    <row r="56" spans="3:4" x14ac:dyDescent="0.25">
      <c r="D56" t="s">
        <v>263</v>
      </c>
    </row>
    <row r="57" spans="3:4" x14ac:dyDescent="0.25">
      <c r="D57" t="s">
        <v>264</v>
      </c>
    </row>
    <row r="58" spans="3:4" x14ac:dyDescent="0.25">
      <c r="D58" t="s">
        <v>266</v>
      </c>
    </row>
    <row r="59" spans="3:4" x14ac:dyDescent="0.25">
      <c r="D59" t="s">
        <v>275</v>
      </c>
    </row>
    <row r="60" spans="3:4" x14ac:dyDescent="0.25">
      <c r="C60" t="s">
        <v>190</v>
      </c>
      <c r="D60" t="s">
        <v>267</v>
      </c>
    </row>
    <row r="61" spans="3:4" x14ac:dyDescent="0.25">
      <c r="D61" t="s">
        <v>265</v>
      </c>
    </row>
    <row r="62" spans="3:4" x14ac:dyDescent="0.25">
      <c r="D62" t="s">
        <v>255</v>
      </c>
    </row>
    <row r="63" spans="3:4" x14ac:dyDescent="0.25">
      <c r="D63" t="s">
        <v>268</v>
      </c>
    </row>
    <row r="64" spans="3:4" x14ac:dyDescent="0.25">
      <c r="D64" t="s">
        <v>269</v>
      </c>
    </row>
    <row r="65" spans="3:4" x14ac:dyDescent="0.25">
      <c r="D65" t="s">
        <v>270</v>
      </c>
    </row>
    <row r="66" spans="3:4" x14ac:dyDescent="0.25">
      <c r="D66" t="s">
        <v>271</v>
      </c>
    </row>
    <row r="67" spans="3:4" x14ac:dyDescent="0.25">
      <c r="C67" t="s">
        <v>185</v>
      </c>
      <c r="D67" t="s">
        <v>272</v>
      </c>
    </row>
    <row r="68" spans="3:4" x14ac:dyDescent="0.25">
      <c r="D68" t="s">
        <v>273</v>
      </c>
    </row>
    <row r="69" spans="3:4" x14ac:dyDescent="0.2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0"/>
  <sheetViews>
    <sheetView topLeftCell="A19" workbookViewId="0">
      <selection activeCell="C39" sqref="C39"/>
    </sheetView>
  </sheetViews>
  <sheetFormatPr defaultRowHeight="15" x14ac:dyDescent="0.25"/>
  <cols>
    <col min="2" max="2" width="3" bestFit="1" customWidth="1"/>
    <col min="3" max="3" width="130" customWidth="1"/>
  </cols>
  <sheetData>
    <row r="2" spans="2:3" ht="15" customHeight="1" x14ac:dyDescent="0.25">
      <c r="B2" s="53">
        <v>1</v>
      </c>
      <c r="C2" s="56" t="s">
        <v>281</v>
      </c>
    </row>
    <row r="3" spans="2:3" x14ac:dyDescent="0.25">
      <c r="B3" s="53">
        <v>2</v>
      </c>
      <c r="C3" s="54" t="s">
        <v>282</v>
      </c>
    </row>
    <row r="4" spans="2:3" x14ac:dyDescent="0.25">
      <c r="B4" s="53">
        <v>3</v>
      </c>
      <c r="C4" s="55" t="s">
        <v>283</v>
      </c>
    </row>
    <row r="5" spans="2:3" ht="30" x14ac:dyDescent="0.25">
      <c r="B5" s="53">
        <v>4</v>
      </c>
      <c r="C5" s="54" t="s">
        <v>284</v>
      </c>
    </row>
    <row r="6" spans="2:3" x14ac:dyDescent="0.25">
      <c r="B6" s="53">
        <v>5</v>
      </c>
      <c r="C6" s="55" t="s">
        <v>285</v>
      </c>
    </row>
    <row r="7" spans="2:3" ht="30" x14ac:dyDescent="0.25">
      <c r="B7" s="53">
        <v>6</v>
      </c>
      <c r="C7" s="54" t="s">
        <v>286</v>
      </c>
    </row>
    <row r="8" spans="2:3" ht="90" x14ac:dyDescent="0.25">
      <c r="B8" s="53">
        <v>7</v>
      </c>
      <c r="C8" s="54" t="s">
        <v>287</v>
      </c>
    </row>
    <row r="9" spans="2:3" x14ac:dyDescent="0.25">
      <c r="B9" s="53">
        <v>8</v>
      </c>
      <c r="C9" s="55" t="s">
        <v>288</v>
      </c>
    </row>
    <row r="10" spans="2:3" x14ac:dyDescent="0.25">
      <c r="B10" s="53">
        <v>9</v>
      </c>
      <c r="C10" s="55" t="s">
        <v>289</v>
      </c>
    </row>
    <row r="11" spans="2:3" x14ac:dyDescent="0.25">
      <c r="B11" s="53">
        <v>10</v>
      </c>
      <c r="C11" s="55" t="s">
        <v>290</v>
      </c>
    </row>
    <row r="12" spans="2:3" x14ac:dyDescent="0.25">
      <c r="B12" s="53">
        <v>11</v>
      </c>
      <c r="C12" s="55" t="s">
        <v>291</v>
      </c>
    </row>
    <row r="13" spans="2:3" x14ac:dyDescent="0.25">
      <c r="B13" s="53">
        <v>12</v>
      </c>
      <c r="C13" s="55" t="s">
        <v>292</v>
      </c>
    </row>
    <row r="14" spans="2:3" x14ac:dyDescent="0.25">
      <c r="B14" s="53">
        <v>13</v>
      </c>
      <c r="C14" s="55" t="s">
        <v>293</v>
      </c>
    </row>
    <row r="15" spans="2:3" x14ac:dyDescent="0.25">
      <c r="B15" s="53">
        <v>14</v>
      </c>
      <c r="C15" s="55" t="s">
        <v>283</v>
      </c>
    </row>
    <row r="16" spans="2:3" x14ac:dyDescent="0.25">
      <c r="B16" s="53">
        <v>15</v>
      </c>
      <c r="C16" s="55" t="s">
        <v>295</v>
      </c>
    </row>
    <row r="17" spans="2:3" ht="31.5" customHeight="1" x14ac:dyDescent="0.25">
      <c r="B17" s="57">
        <v>16</v>
      </c>
      <c r="C17" s="59" t="s">
        <v>296</v>
      </c>
    </row>
    <row r="18" spans="2:3" x14ac:dyDescent="0.25">
      <c r="B18" s="58">
        <v>17</v>
      </c>
      <c r="C18" s="59" t="s">
        <v>297</v>
      </c>
    </row>
    <row r="19" spans="2:3" x14ac:dyDescent="0.25">
      <c r="B19" s="57">
        <v>18</v>
      </c>
      <c r="C19" s="53" t="s">
        <v>298</v>
      </c>
    </row>
    <row r="20" spans="2:3" x14ac:dyDescent="0.25">
      <c r="B20" s="58">
        <v>19</v>
      </c>
      <c r="C20" s="53" t="s">
        <v>299</v>
      </c>
    </row>
    <row r="21" spans="2:3" x14ac:dyDescent="0.25">
      <c r="B21" s="60">
        <v>20</v>
      </c>
      <c r="C21" s="53" t="s">
        <v>300</v>
      </c>
    </row>
    <row r="22" spans="2:3" x14ac:dyDescent="0.25">
      <c r="B22" s="58">
        <v>21</v>
      </c>
      <c r="C22" s="53" t="s">
        <v>298</v>
      </c>
    </row>
    <row r="23" spans="2:3" s="68" customFormat="1" ht="29.25" customHeight="1" x14ac:dyDescent="0.25">
      <c r="B23" s="67">
        <v>22</v>
      </c>
      <c r="C23" s="56" t="s">
        <v>327</v>
      </c>
    </row>
    <row r="24" spans="2:3" s="68" customFormat="1" ht="30.75" customHeight="1" x14ac:dyDescent="0.25">
      <c r="B24" s="69">
        <v>23</v>
      </c>
      <c r="C24" s="56" t="s">
        <v>328</v>
      </c>
    </row>
    <row r="25" spans="2:3" x14ac:dyDescent="0.25">
      <c r="B25" s="60">
        <v>24</v>
      </c>
      <c r="C25" s="53"/>
    </row>
    <row r="26" spans="2:3" x14ac:dyDescent="0.25">
      <c r="B26" s="58">
        <v>25</v>
      </c>
      <c r="C26" s="53"/>
    </row>
    <row r="30" spans="2:3" x14ac:dyDescent="0.25">
      <c r="C30" s="94" t="s">
        <v>385</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40625" defaultRowHeight="15" x14ac:dyDescent="0.25"/>
  <cols>
    <col min="1" max="1" width="9.140625" style="48"/>
    <col min="2" max="2" width="12.28515625" style="48" customWidth="1"/>
    <col min="3" max="16384" width="9.140625" style="48"/>
  </cols>
  <sheetData>
    <row r="2" spans="1:12" x14ac:dyDescent="0.25">
      <c r="B2" s="61" t="s">
        <v>301</v>
      </c>
      <c r="C2" s="244"/>
      <c r="D2" s="244"/>
    </row>
    <row r="3" spans="1:12" x14ac:dyDescent="0.25">
      <c r="D3" s="62"/>
      <c r="E3" s="62"/>
      <c r="F3" s="62"/>
      <c r="G3" s="62"/>
      <c r="H3" s="62"/>
      <c r="I3" s="62"/>
    </row>
    <row r="4" spans="1:12" x14ac:dyDescent="0.25">
      <c r="A4" s="61" t="s">
        <v>66</v>
      </c>
      <c r="B4" s="63" t="s">
        <v>302</v>
      </c>
      <c r="C4" s="245" t="s">
        <v>303</v>
      </c>
      <c r="D4" s="245"/>
      <c r="E4" s="245"/>
      <c r="F4" s="63"/>
      <c r="G4" s="246" t="s">
        <v>304</v>
      </c>
      <c r="H4" s="246"/>
      <c r="I4" s="246"/>
      <c r="J4" s="247" t="s">
        <v>305</v>
      </c>
      <c r="K4" s="247"/>
      <c r="L4" s="247"/>
    </row>
    <row r="5" spans="1:12" x14ac:dyDescent="0.25">
      <c r="A5" s="61"/>
      <c r="B5" s="63"/>
      <c r="C5" s="63" t="s">
        <v>306</v>
      </c>
      <c r="D5" s="63" t="s">
        <v>307</v>
      </c>
      <c r="E5" s="63" t="s">
        <v>308</v>
      </c>
      <c r="F5" s="63"/>
      <c r="G5" s="63" t="s">
        <v>306</v>
      </c>
      <c r="H5" s="63" t="s">
        <v>307</v>
      </c>
      <c r="I5" s="63" t="s">
        <v>308</v>
      </c>
      <c r="J5" s="63" t="s">
        <v>306</v>
      </c>
      <c r="K5" s="63" t="s">
        <v>307</v>
      </c>
      <c r="L5" s="63" t="s">
        <v>308</v>
      </c>
    </row>
    <row r="6" spans="1:12" x14ac:dyDescent="0.25">
      <c r="B6" s="49" t="s">
        <v>309</v>
      </c>
      <c r="C6" s="49"/>
      <c r="D6" s="49"/>
      <c r="E6" s="49">
        <f>C6*D6</f>
        <v>0</v>
      </c>
      <c r="F6" s="49" t="s">
        <v>326</v>
      </c>
      <c r="G6" s="49"/>
      <c r="H6" s="49"/>
      <c r="I6" s="49">
        <f>G6*H6</f>
        <v>0</v>
      </c>
      <c r="J6" s="49"/>
      <c r="K6" s="49"/>
      <c r="L6" s="49">
        <f>J6*K6</f>
        <v>0</v>
      </c>
    </row>
    <row r="7" spans="1:12" x14ac:dyDescent="0.25">
      <c r="B7" s="49"/>
      <c r="C7" s="49"/>
      <c r="D7" s="49"/>
      <c r="E7" s="49">
        <f t="shared" ref="E7:E41" si="0">C7*D7</f>
        <v>0</v>
      </c>
      <c r="F7" s="49" t="s">
        <v>326</v>
      </c>
      <c r="G7" s="49"/>
      <c r="H7" s="49"/>
      <c r="I7" s="49">
        <f t="shared" ref="I7:I35" si="1">G7*H7</f>
        <v>0</v>
      </c>
      <c r="J7" s="49"/>
      <c r="K7" s="49"/>
      <c r="L7" s="49">
        <f t="shared" ref="L7:L35" si="2">J7*K7</f>
        <v>0</v>
      </c>
    </row>
    <row r="8" spans="1:12" x14ac:dyDescent="0.25">
      <c r="B8" s="49"/>
      <c r="C8" s="49"/>
      <c r="D8" s="49"/>
      <c r="E8" s="49">
        <f t="shared" si="0"/>
        <v>0</v>
      </c>
      <c r="F8" s="49"/>
      <c r="G8" s="49"/>
      <c r="H8" s="49"/>
      <c r="I8" s="49">
        <f t="shared" si="1"/>
        <v>0</v>
      </c>
      <c r="J8" s="49"/>
      <c r="K8" s="49"/>
      <c r="L8" s="49">
        <f t="shared" si="2"/>
        <v>0</v>
      </c>
    </row>
    <row r="9" spans="1:12" x14ac:dyDescent="0.25">
      <c r="B9" s="49"/>
      <c r="C9" s="49"/>
      <c r="D9" s="49"/>
      <c r="E9" s="49">
        <f t="shared" si="0"/>
        <v>0</v>
      </c>
      <c r="F9" s="49" t="s">
        <v>310</v>
      </c>
      <c r="G9" s="49"/>
      <c r="H9" s="49"/>
      <c r="I9" s="49">
        <f t="shared" si="1"/>
        <v>0</v>
      </c>
      <c r="J9" s="49"/>
      <c r="K9" s="49"/>
      <c r="L9" s="49">
        <f t="shared" si="2"/>
        <v>0</v>
      </c>
    </row>
    <row r="10" spans="1:12" x14ac:dyDescent="0.25">
      <c r="B10" s="49" t="s">
        <v>311</v>
      </c>
      <c r="C10" s="49"/>
      <c r="D10" s="49"/>
      <c r="E10" s="49">
        <f t="shared" si="0"/>
        <v>0</v>
      </c>
      <c r="F10" s="49" t="s">
        <v>310</v>
      </c>
      <c r="G10" s="49"/>
      <c r="H10" s="49"/>
      <c r="I10" s="49">
        <f t="shared" si="1"/>
        <v>0</v>
      </c>
      <c r="J10" s="49"/>
      <c r="K10" s="49"/>
      <c r="L10" s="49">
        <f t="shared" si="2"/>
        <v>0</v>
      </c>
    </row>
    <row r="11" spans="1:12" x14ac:dyDescent="0.25">
      <c r="B11" s="49"/>
      <c r="C11" s="49"/>
      <c r="D11" s="49"/>
      <c r="E11" s="49">
        <f t="shared" si="0"/>
        <v>0</v>
      </c>
      <c r="F11" s="49" t="s">
        <v>312</v>
      </c>
      <c r="G11" s="49"/>
      <c r="H11" s="49"/>
      <c r="I11" s="49">
        <f t="shared" si="1"/>
        <v>0</v>
      </c>
      <c r="J11" s="49"/>
      <c r="K11" s="49"/>
      <c r="L11" s="49">
        <f t="shared" si="2"/>
        <v>0</v>
      </c>
    </row>
    <row r="12" spans="1:12" x14ac:dyDescent="0.25">
      <c r="B12" s="49"/>
      <c r="C12" s="49"/>
      <c r="D12" s="49"/>
      <c r="E12" s="49">
        <f t="shared" si="0"/>
        <v>0</v>
      </c>
      <c r="F12" s="49"/>
      <c r="G12" s="49"/>
      <c r="H12" s="49"/>
      <c r="I12" s="49">
        <f t="shared" si="1"/>
        <v>0</v>
      </c>
      <c r="J12" s="49"/>
      <c r="K12" s="49"/>
      <c r="L12" s="49">
        <f t="shared" si="2"/>
        <v>0</v>
      </c>
    </row>
    <row r="13" spans="1:12" x14ac:dyDescent="0.25">
      <c r="B13" s="49"/>
      <c r="C13" s="49"/>
      <c r="D13" s="49"/>
      <c r="E13" s="49">
        <f t="shared" si="0"/>
        <v>0</v>
      </c>
      <c r="F13" s="49"/>
      <c r="G13" s="49"/>
      <c r="H13" s="49"/>
      <c r="I13" s="49">
        <f t="shared" si="1"/>
        <v>0</v>
      </c>
      <c r="J13" s="49"/>
      <c r="K13" s="49"/>
      <c r="L13" s="49">
        <f t="shared" si="2"/>
        <v>0</v>
      </c>
    </row>
    <row r="14" spans="1:12" x14ac:dyDescent="0.25">
      <c r="B14" s="49" t="s">
        <v>313</v>
      </c>
      <c r="C14" s="49"/>
      <c r="D14" s="49"/>
      <c r="E14" s="49">
        <f t="shared" si="0"/>
        <v>0</v>
      </c>
      <c r="F14" s="49" t="s">
        <v>310</v>
      </c>
      <c r="G14" s="49"/>
      <c r="H14" s="49"/>
      <c r="I14" s="49">
        <f t="shared" si="1"/>
        <v>0</v>
      </c>
      <c r="J14" s="49"/>
      <c r="K14" s="49"/>
      <c r="L14" s="49">
        <f t="shared" si="2"/>
        <v>0</v>
      </c>
    </row>
    <row r="15" spans="1:12" x14ac:dyDescent="0.25">
      <c r="B15" s="49"/>
      <c r="C15" s="49"/>
      <c r="D15" s="49"/>
      <c r="E15" s="49">
        <f t="shared" si="0"/>
        <v>0</v>
      </c>
      <c r="F15" s="49" t="s">
        <v>312</v>
      </c>
      <c r="G15" s="49"/>
      <c r="H15" s="49"/>
      <c r="I15" s="49">
        <f t="shared" si="1"/>
        <v>0</v>
      </c>
      <c r="J15" s="49"/>
      <c r="K15" s="49"/>
      <c r="L15" s="49">
        <f t="shared" si="2"/>
        <v>0</v>
      </c>
    </row>
    <row r="16" spans="1:12" x14ac:dyDescent="0.25">
      <c r="B16" s="49"/>
      <c r="C16" s="49"/>
      <c r="D16" s="49"/>
      <c r="E16" s="49">
        <f t="shared" si="0"/>
        <v>0</v>
      </c>
      <c r="F16" s="49"/>
      <c r="G16" s="49"/>
      <c r="H16" s="49"/>
      <c r="I16" s="49">
        <f t="shared" si="1"/>
        <v>0</v>
      </c>
      <c r="J16" s="49"/>
      <c r="K16" s="49"/>
      <c r="L16" s="49">
        <f t="shared" si="2"/>
        <v>0</v>
      </c>
    </row>
    <row r="17" spans="2:12" x14ac:dyDescent="0.25">
      <c r="B17" s="49"/>
      <c r="C17" s="49"/>
      <c r="D17" s="49"/>
      <c r="E17" s="49">
        <f t="shared" si="0"/>
        <v>0</v>
      </c>
      <c r="F17" s="49"/>
      <c r="G17" s="49"/>
      <c r="H17" s="49"/>
      <c r="I17" s="49">
        <f t="shared" si="1"/>
        <v>0</v>
      </c>
      <c r="J17" s="49"/>
      <c r="K17" s="49"/>
      <c r="L17" s="49">
        <f t="shared" si="2"/>
        <v>0</v>
      </c>
    </row>
    <row r="18" spans="2:12" x14ac:dyDescent="0.25">
      <c r="B18" s="49" t="s">
        <v>314</v>
      </c>
      <c r="C18" s="49"/>
      <c r="D18" s="49"/>
      <c r="E18" s="49">
        <f t="shared" si="0"/>
        <v>0</v>
      </c>
      <c r="F18" s="49" t="s">
        <v>310</v>
      </c>
      <c r="G18" s="49"/>
      <c r="H18" s="49"/>
      <c r="I18" s="49">
        <f t="shared" si="1"/>
        <v>0</v>
      </c>
      <c r="J18" s="49"/>
      <c r="K18" s="49"/>
      <c r="L18" s="49">
        <f t="shared" si="2"/>
        <v>0</v>
      </c>
    </row>
    <row r="19" spans="2:12" x14ac:dyDescent="0.25">
      <c r="B19" s="49"/>
      <c r="C19" s="49"/>
      <c r="D19" s="49"/>
      <c r="E19" s="49">
        <f t="shared" si="0"/>
        <v>0</v>
      </c>
      <c r="F19" s="49" t="s">
        <v>312</v>
      </c>
      <c r="G19" s="49"/>
      <c r="H19" s="49"/>
      <c r="I19" s="49">
        <f t="shared" si="1"/>
        <v>0</v>
      </c>
      <c r="J19" s="49"/>
      <c r="K19" s="49"/>
      <c r="L19" s="49">
        <f t="shared" si="2"/>
        <v>0</v>
      </c>
    </row>
    <row r="20" spans="2:12" x14ac:dyDescent="0.25">
      <c r="B20" s="49"/>
      <c r="C20" s="49"/>
      <c r="D20" s="49"/>
      <c r="E20" s="49">
        <f t="shared" si="0"/>
        <v>0</v>
      </c>
      <c r="F20" s="49"/>
      <c r="G20" s="49"/>
      <c r="H20" s="49"/>
      <c r="I20" s="49">
        <f t="shared" si="1"/>
        <v>0</v>
      </c>
      <c r="J20" s="49"/>
      <c r="K20" s="49"/>
      <c r="L20" s="49">
        <f t="shared" si="2"/>
        <v>0</v>
      </c>
    </row>
    <row r="21" spans="2:12" x14ac:dyDescent="0.25">
      <c r="B21" s="49" t="s">
        <v>315</v>
      </c>
      <c r="C21" s="49"/>
      <c r="D21" s="49"/>
      <c r="E21" s="49">
        <f t="shared" si="0"/>
        <v>0</v>
      </c>
      <c r="F21" s="49" t="s">
        <v>310</v>
      </c>
      <c r="G21" s="49"/>
      <c r="H21" s="49"/>
      <c r="I21" s="49">
        <f t="shared" si="1"/>
        <v>0</v>
      </c>
      <c r="J21" s="49"/>
      <c r="K21" s="49"/>
      <c r="L21" s="49">
        <f t="shared" si="2"/>
        <v>0</v>
      </c>
    </row>
    <row r="22" spans="2:12" x14ac:dyDescent="0.25">
      <c r="B22" s="49"/>
      <c r="C22" s="49"/>
      <c r="D22" s="49"/>
      <c r="E22" s="49">
        <f t="shared" si="0"/>
        <v>0</v>
      </c>
      <c r="F22" s="49" t="s">
        <v>312</v>
      </c>
      <c r="G22" s="49"/>
      <c r="H22" s="49"/>
      <c r="I22" s="49">
        <f t="shared" si="1"/>
        <v>0</v>
      </c>
      <c r="J22" s="49"/>
      <c r="K22" s="49"/>
      <c r="L22" s="49">
        <f t="shared" si="2"/>
        <v>0</v>
      </c>
    </row>
    <row r="23" spans="2:12" x14ac:dyDescent="0.25">
      <c r="B23" s="49"/>
      <c r="C23" s="49"/>
      <c r="D23" s="49"/>
      <c r="E23" s="49">
        <f t="shared" si="0"/>
        <v>0</v>
      </c>
      <c r="F23" s="49"/>
      <c r="G23" s="49"/>
      <c r="H23" s="49"/>
      <c r="I23" s="49">
        <f t="shared" si="1"/>
        <v>0</v>
      </c>
      <c r="J23" s="49"/>
      <c r="K23" s="49"/>
      <c r="L23" s="49">
        <f t="shared" si="2"/>
        <v>0</v>
      </c>
    </row>
    <row r="24" spans="2:12" x14ac:dyDescent="0.25">
      <c r="B24" s="49" t="s">
        <v>316</v>
      </c>
      <c r="C24" s="49"/>
      <c r="D24" s="49"/>
      <c r="E24" s="49">
        <f t="shared" si="0"/>
        <v>0</v>
      </c>
      <c r="F24" s="49" t="s">
        <v>317</v>
      </c>
      <c r="G24" s="49"/>
      <c r="H24" s="49"/>
      <c r="I24" s="49">
        <f t="shared" si="1"/>
        <v>0</v>
      </c>
      <c r="J24" s="49"/>
      <c r="K24" s="49"/>
      <c r="L24" s="49">
        <f t="shared" si="2"/>
        <v>0</v>
      </c>
    </row>
    <row r="25" spans="2:12" x14ac:dyDescent="0.25">
      <c r="B25" s="49"/>
      <c r="C25" s="49"/>
      <c r="D25" s="49"/>
      <c r="E25" s="49">
        <f t="shared" ref="E25:E27" si="3">C25*D25</f>
        <v>0</v>
      </c>
      <c r="F25" s="49" t="s">
        <v>317</v>
      </c>
      <c r="G25" s="49"/>
      <c r="H25" s="49"/>
      <c r="I25" s="49">
        <f t="shared" ref="I25:I27" si="4">G25*H25</f>
        <v>0</v>
      </c>
      <c r="J25" s="49"/>
      <c r="K25" s="49"/>
      <c r="L25" s="49">
        <f t="shared" ref="L25:L27" si="5">J25*K25</f>
        <v>0</v>
      </c>
    </row>
    <row r="26" spans="2:12" x14ac:dyDescent="0.25">
      <c r="B26" s="49"/>
      <c r="C26" s="49"/>
      <c r="D26" s="49"/>
      <c r="E26" s="49">
        <f t="shared" si="3"/>
        <v>0</v>
      </c>
      <c r="F26" s="49" t="s">
        <v>317</v>
      </c>
      <c r="G26" s="49"/>
      <c r="H26" s="49"/>
      <c r="I26" s="49">
        <f t="shared" si="4"/>
        <v>0</v>
      </c>
      <c r="J26" s="49"/>
      <c r="K26" s="49"/>
      <c r="L26" s="49">
        <f t="shared" si="5"/>
        <v>0</v>
      </c>
    </row>
    <row r="27" spans="2:12" x14ac:dyDescent="0.25">
      <c r="B27" s="49"/>
      <c r="C27" s="49"/>
      <c r="D27" s="49"/>
      <c r="E27" s="49">
        <f t="shared" si="3"/>
        <v>0</v>
      </c>
      <c r="F27" s="49" t="s">
        <v>317</v>
      </c>
      <c r="G27" s="49"/>
      <c r="H27" s="49"/>
      <c r="I27" s="49">
        <f t="shared" si="4"/>
        <v>0</v>
      </c>
      <c r="J27" s="49"/>
      <c r="K27" s="49"/>
      <c r="L27" s="49">
        <f t="shared" si="5"/>
        <v>0</v>
      </c>
    </row>
    <row r="28" spans="2:12" x14ac:dyDescent="0.25">
      <c r="B28" s="49" t="s">
        <v>318</v>
      </c>
      <c r="C28" s="49"/>
      <c r="D28" s="49"/>
      <c r="E28" s="49">
        <f t="shared" si="0"/>
        <v>0</v>
      </c>
      <c r="F28" s="49" t="s">
        <v>317</v>
      </c>
      <c r="G28" s="49"/>
      <c r="H28" s="49"/>
      <c r="I28" s="49">
        <f t="shared" si="1"/>
        <v>0</v>
      </c>
      <c r="J28" s="49"/>
      <c r="K28" s="49"/>
      <c r="L28" s="49">
        <f t="shared" si="2"/>
        <v>0</v>
      </c>
    </row>
    <row r="29" spans="2:12" x14ac:dyDescent="0.25">
      <c r="B29" s="49" t="s">
        <v>319</v>
      </c>
      <c r="C29" s="49"/>
      <c r="D29" s="49"/>
      <c r="E29" s="49">
        <f t="shared" si="0"/>
        <v>0</v>
      </c>
      <c r="F29" s="49" t="s">
        <v>317</v>
      </c>
      <c r="G29" s="49"/>
      <c r="H29" s="49"/>
      <c r="I29" s="49">
        <f t="shared" si="1"/>
        <v>0</v>
      </c>
      <c r="J29" s="49"/>
      <c r="K29" s="49"/>
      <c r="L29" s="49">
        <f t="shared" si="2"/>
        <v>0</v>
      </c>
    </row>
    <row r="30" spans="2:12" x14ac:dyDescent="0.25">
      <c r="B30" s="49" t="s">
        <v>323</v>
      </c>
      <c r="C30" s="49"/>
      <c r="D30" s="49"/>
      <c r="E30" s="49">
        <f t="shared" si="0"/>
        <v>0</v>
      </c>
      <c r="F30" s="49"/>
      <c r="G30" s="49"/>
      <c r="H30" s="49"/>
      <c r="I30" s="49">
        <f t="shared" si="1"/>
        <v>0</v>
      </c>
      <c r="J30" s="49"/>
      <c r="K30" s="49"/>
      <c r="L30" s="49">
        <f t="shared" si="2"/>
        <v>0</v>
      </c>
    </row>
    <row r="31" spans="2:12" x14ac:dyDescent="0.25">
      <c r="B31" s="49"/>
      <c r="C31" s="49"/>
      <c r="D31" s="49"/>
      <c r="E31" s="49">
        <f t="shared" ref="E31:E32" si="6">C31*D31</f>
        <v>0</v>
      </c>
      <c r="F31" s="49"/>
      <c r="G31" s="49"/>
      <c r="H31" s="49"/>
      <c r="I31" s="49">
        <f t="shared" ref="I31:I32" si="7">G31*H31</f>
        <v>0</v>
      </c>
      <c r="J31" s="49"/>
      <c r="K31" s="49"/>
      <c r="L31" s="49">
        <f t="shared" ref="L31:L32" si="8">J31*K31</f>
        <v>0</v>
      </c>
    </row>
    <row r="32" spans="2:12" x14ac:dyDescent="0.25">
      <c r="B32" s="49"/>
      <c r="C32" s="49"/>
      <c r="D32" s="49"/>
      <c r="E32" s="49">
        <f t="shared" si="6"/>
        <v>0</v>
      </c>
      <c r="F32" s="49"/>
      <c r="G32" s="49"/>
      <c r="H32" s="49"/>
      <c r="I32" s="49">
        <f t="shared" si="7"/>
        <v>0</v>
      </c>
      <c r="J32" s="49"/>
      <c r="K32" s="49"/>
      <c r="L32" s="49">
        <f t="shared" si="8"/>
        <v>0</v>
      </c>
    </row>
    <row r="33" spans="2:12" x14ac:dyDescent="0.25">
      <c r="B33" s="49" t="s">
        <v>320</v>
      </c>
      <c r="C33" s="49"/>
      <c r="D33" s="49"/>
      <c r="E33" s="49">
        <f t="shared" si="0"/>
        <v>0</v>
      </c>
      <c r="F33" s="49"/>
      <c r="G33" s="49"/>
      <c r="H33" s="49"/>
      <c r="I33" s="49">
        <f t="shared" si="1"/>
        <v>0</v>
      </c>
      <c r="J33" s="49"/>
      <c r="K33" s="49"/>
      <c r="L33" s="49">
        <f t="shared" si="2"/>
        <v>0</v>
      </c>
    </row>
    <row r="34" spans="2:12" x14ac:dyDescent="0.25">
      <c r="B34" s="49" t="s">
        <v>324</v>
      </c>
      <c r="C34" s="49"/>
      <c r="D34" s="49"/>
      <c r="E34" s="49">
        <f t="shared" si="0"/>
        <v>0</v>
      </c>
      <c r="F34" s="49"/>
      <c r="G34" s="49"/>
      <c r="H34" s="49"/>
      <c r="I34" s="49">
        <f t="shared" si="1"/>
        <v>0</v>
      </c>
      <c r="J34" s="49"/>
      <c r="K34" s="49"/>
      <c r="L34" s="49">
        <f t="shared" si="2"/>
        <v>0</v>
      </c>
    </row>
    <row r="35" spans="2:12" x14ac:dyDescent="0.25">
      <c r="B35" s="49" t="s">
        <v>321</v>
      </c>
      <c r="C35" s="49"/>
      <c r="D35" s="49"/>
      <c r="E35" s="49">
        <f t="shared" si="0"/>
        <v>0</v>
      </c>
      <c r="F35" s="49"/>
      <c r="G35" s="49"/>
      <c r="H35" s="49"/>
      <c r="I35" s="49">
        <f t="shared" si="1"/>
        <v>0</v>
      </c>
      <c r="J35" s="49"/>
      <c r="K35" s="49"/>
      <c r="L35" s="49">
        <f t="shared" si="2"/>
        <v>0</v>
      </c>
    </row>
    <row r="36" spans="2:12" x14ac:dyDescent="0.25">
      <c r="B36" s="49" t="s">
        <v>322</v>
      </c>
      <c r="C36" s="49"/>
      <c r="D36" s="49"/>
      <c r="E36" s="49">
        <f t="shared" si="0"/>
        <v>0</v>
      </c>
      <c r="F36" s="49"/>
      <c r="G36" s="49"/>
      <c r="H36" s="49"/>
      <c r="I36" s="49">
        <f>G36*H36</f>
        <v>0</v>
      </c>
      <c r="J36" s="49"/>
      <c r="K36" s="49"/>
      <c r="L36" s="49">
        <f>J36*K36</f>
        <v>0</v>
      </c>
    </row>
    <row r="37" spans="2:12" x14ac:dyDescent="0.25">
      <c r="B37" s="49"/>
      <c r="C37" s="49"/>
      <c r="D37" s="49"/>
      <c r="E37" s="49">
        <f t="shared" ref="E37:E38" si="9">C37*D37</f>
        <v>0</v>
      </c>
      <c r="F37" s="49"/>
      <c r="G37" s="49"/>
      <c r="H37" s="49"/>
      <c r="I37" s="49">
        <f t="shared" ref="I37:I38" si="10">G37*H37</f>
        <v>0</v>
      </c>
      <c r="J37" s="49"/>
      <c r="K37" s="49"/>
      <c r="L37" s="49">
        <f t="shared" ref="L37:L38" si="11">J37*K37</f>
        <v>0</v>
      </c>
    </row>
    <row r="38" spans="2:12" x14ac:dyDescent="0.25">
      <c r="B38" s="49" t="s">
        <v>325</v>
      </c>
      <c r="C38" s="49"/>
      <c r="D38" s="49"/>
      <c r="E38" s="49">
        <f t="shared" si="9"/>
        <v>0</v>
      </c>
      <c r="F38" s="49"/>
      <c r="G38" s="49"/>
      <c r="H38" s="49"/>
      <c r="I38" s="49">
        <f t="shared" si="10"/>
        <v>0</v>
      </c>
      <c r="J38" s="49"/>
      <c r="K38" s="49"/>
      <c r="L38" s="49">
        <f t="shared" si="11"/>
        <v>0</v>
      </c>
    </row>
    <row r="39" spans="2:12" x14ac:dyDescent="0.25">
      <c r="B39" s="49"/>
      <c r="C39" s="49"/>
      <c r="D39" s="49"/>
      <c r="E39" s="49">
        <f t="shared" si="0"/>
        <v>0</v>
      </c>
      <c r="F39" s="49"/>
      <c r="G39" s="49"/>
      <c r="H39" s="49"/>
      <c r="I39" s="49">
        <f>G39*H39</f>
        <v>0</v>
      </c>
      <c r="J39" s="49"/>
      <c r="K39" s="49"/>
      <c r="L39" s="49">
        <f>J39*K39</f>
        <v>0</v>
      </c>
    </row>
    <row r="40" spans="2:12" x14ac:dyDescent="0.25">
      <c r="B40" s="49"/>
      <c r="C40" s="49"/>
      <c r="D40" s="49"/>
      <c r="E40" s="49">
        <f t="shared" si="0"/>
        <v>0</v>
      </c>
      <c r="F40" s="49"/>
      <c r="G40" s="49"/>
      <c r="H40" s="49"/>
      <c r="I40" s="49">
        <f>G40*H40</f>
        <v>0</v>
      </c>
      <c r="J40" s="49"/>
      <c r="K40" s="49"/>
      <c r="L40" s="49">
        <f>J40*K40</f>
        <v>0</v>
      </c>
    </row>
    <row r="41" spans="2:12" x14ac:dyDescent="0.25">
      <c r="B41" s="49"/>
      <c r="C41" s="49"/>
      <c r="D41" s="49"/>
      <c r="E41" s="49">
        <f t="shared" si="0"/>
        <v>0</v>
      </c>
      <c r="F41" s="49"/>
      <c r="G41" s="49"/>
      <c r="H41" s="49"/>
      <c r="I41" s="49">
        <f>G41*H41</f>
        <v>0</v>
      </c>
      <c r="J41" s="49"/>
      <c r="K41" s="49"/>
      <c r="L41" s="49">
        <f>J41*K41</f>
        <v>0</v>
      </c>
    </row>
    <row r="42" spans="2:12" x14ac:dyDescent="0.25">
      <c r="B42" s="49" t="s">
        <v>146</v>
      </c>
      <c r="C42" s="49"/>
      <c r="D42" s="49">
        <f>E42*10.764</f>
        <v>0</v>
      </c>
      <c r="E42" s="66">
        <f>SUM(E6:E41)</f>
        <v>0</v>
      </c>
      <c r="F42" s="49"/>
      <c r="G42" s="49"/>
      <c r="H42" s="49">
        <f>I42*10.764</f>
        <v>0</v>
      </c>
      <c r="I42" s="65">
        <f>SUM(I6:I41)</f>
        <v>0</v>
      </c>
      <c r="J42" s="49"/>
      <c r="K42" s="49">
        <f>L42*10.764</f>
        <v>0</v>
      </c>
      <c r="L42" s="64">
        <f>SUM(L6:L41)</f>
        <v>0</v>
      </c>
    </row>
    <row r="44" spans="2:12" x14ac:dyDescent="0.25">
      <c r="D44" s="48">
        <f>D42+H42</f>
        <v>0</v>
      </c>
      <c r="E44" s="48">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2025-04-08T05:22:48Z</cp:lastPrinted>
  <dcterms:created xsi:type="dcterms:W3CDTF">2019-07-16T09:29:46Z</dcterms:created>
  <dcterms:modified xsi:type="dcterms:W3CDTF">2025-04-08T05:22:49Z</dcterms:modified>
</cp:coreProperties>
</file>