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C84" i="1"/>
  <c r="C70" i="1"/>
  <c r="C100" i="1" l="1"/>
  <c r="C99" i="1"/>
  <c r="J88" i="1" l="1"/>
  <c r="J87" i="1"/>
  <c r="J86" i="1"/>
  <c r="J85" i="1"/>
  <c r="H78" i="1"/>
  <c r="J82" i="1" l="1"/>
  <c r="C81" i="1" s="1"/>
  <c r="D81" i="1" s="1"/>
  <c r="J80" i="1"/>
  <c r="D90" i="1"/>
  <c r="D86" i="1"/>
  <c r="D87" i="1"/>
  <c r="D83" i="1"/>
  <c r="D89" i="1"/>
  <c r="D85" i="1"/>
  <c r="J81" i="1"/>
  <c r="D88" i="1"/>
  <c r="D84" i="1"/>
  <c r="J83" i="1"/>
  <c r="J84" i="1" s="1"/>
  <c r="J89" i="1" s="1"/>
  <c r="J90" i="1" s="1"/>
  <c r="C82" i="1" s="1"/>
  <c r="J102" i="1"/>
  <c r="J101" i="1"/>
  <c r="J100" i="1"/>
  <c r="J99" i="1"/>
  <c r="E81" i="1" l="1"/>
  <c r="I77" i="1" s="1"/>
  <c r="C79" i="1" s="1"/>
  <c r="D82" i="1"/>
  <c r="G81" i="1"/>
  <c r="E3" i="1"/>
  <c r="D191" i="1" l="1"/>
  <c r="F191" i="1" s="1"/>
  <c r="D200" i="1"/>
  <c r="F200" i="1" s="1"/>
  <c r="D218" i="1"/>
  <c r="F218" i="1" s="1"/>
  <c r="D208" i="1"/>
  <c r="F208" i="1" s="1"/>
  <c r="D287" i="1"/>
  <c r="F287" i="1" s="1"/>
  <c r="D286" i="1"/>
  <c r="F286" i="1" s="1"/>
  <c r="D284" i="1"/>
  <c r="F284" i="1" s="1"/>
  <c r="D283" i="1"/>
  <c r="F283" i="1" s="1"/>
  <c r="D282" i="1"/>
  <c r="F282" i="1" s="1"/>
  <c r="D281" i="1"/>
  <c r="F281" i="1" s="1"/>
  <c r="G280" i="1"/>
  <c r="D280" i="1"/>
  <c r="F280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G271" i="1"/>
  <c r="D271" i="1"/>
  <c r="F271" i="1" s="1"/>
  <c r="D269" i="1"/>
  <c r="F269" i="1" s="1"/>
  <c r="D268" i="1"/>
  <c r="F268" i="1" s="1"/>
  <c r="D267" i="1"/>
  <c r="F267" i="1" s="1"/>
  <c r="D266" i="1"/>
  <c r="F266" i="1" s="1"/>
  <c r="D265" i="1"/>
  <c r="F265" i="1" s="1"/>
  <c r="G265" i="1"/>
  <c r="D254" i="1"/>
  <c r="F254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0" i="1"/>
  <c r="F250" i="1" s="1"/>
  <c r="D249" i="1"/>
  <c r="F249" i="1" s="1"/>
  <c r="D248" i="1"/>
  <c r="F248" i="1" s="1"/>
  <c r="D247" i="1"/>
  <c r="F247" i="1" s="1"/>
  <c r="D246" i="1"/>
  <c r="F246" i="1" s="1"/>
  <c r="D242" i="1"/>
  <c r="F242" i="1" s="1"/>
  <c r="D241" i="1"/>
  <c r="F241" i="1" s="1"/>
  <c r="D240" i="1"/>
  <c r="F240" i="1" s="1"/>
  <c r="D239" i="1"/>
  <c r="F239" i="1" s="1"/>
  <c r="D237" i="1"/>
  <c r="F237" i="1" s="1"/>
  <c r="D236" i="1"/>
  <c r="F236" i="1" s="1"/>
  <c r="D232" i="1"/>
  <c r="F232" i="1" s="1"/>
  <c r="D231" i="1"/>
  <c r="F231" i="1" s="1"/>
  <c r="D233" i="1"/>
  <c r="F233" i="1" s="1"/>
  <c r="D230" i="1"/>
  <c r="F230" i="1" s="1"/>
  <c r="G253" i="1"/>
  <c r="D253" i="1"/>
  <c r="F253" i="1" s="1"/>
  <c r="D251" i="1"/>
  <c r="F251" i="1" s="1"/>
  <c r="G244" i="1"/>
  <c r="D244" i="1"/>
  <c r="F244" i="1" s="1"/>
  <c r="D238" i="1"/>
  <c r="F238" i="1" s="1"/>
  <c r="G235" i="1"/>
  <c r="D235" i="1"/>
  <c r="F235" i="1" s="1"/>
  <c r="A227" i="1"/>
  <c r="A228" i="1" s="1"/>
  <c r="A229" i="1" s="1"/>
  <c r="A230" i="1" s="1"/>
  <c r="A231" i="1" s="1"/>
  <c r="A232" i="1" s="1"/>
  <c r="A233" i="1" s="1"/>
  <c r="G226" i="1"/>
  <c r="D221" i="1"/>
  <c r="F221" i="1" s="1"/>
  <c r="D220" i="1"/>
  <c r="F220" i="1" s="1"/>
  <c r="D219" i="1"/>
  <c r="F219" i="1" s="1"/>
  <c r="D217" i="1"/>
  <c r="F217" i="1" s="1"/>
  <c r="D216" i="1"/>
  <c r="F216" i="1" s="1"/>
  <c r="D215" i="1"/>
  <c r="F215" i="1" s="1"/>
  <c r="G214" i="1"/>
  <c r="D214" i="1"/>
  <c r="F214" i="1" s="1"/>
  <c r="D212" i="1"/>
  <c r="F212" i="1" s="1"/>
  <c r="D211" i="1"/>
  <c r="F211" i="1" s="1"/>
  <c r="D210" i="1"/>
  <c r="F210" i="1" s="1"/>
  <c r="D209" i="1"/>
  <c r="F209" i="1" s="1"/>
  <c r="D207" i="1"/>
  <c r="F207" i="1" s="1"/>
  <c r="D206" i="1"/>
  <c r="F206" i="1" s="1"/>
  <c r="G205" i="1"/>
  <c r="D205" i="1"/>
  <c r="F205" i="1" s="1"/>
  <c r="D203" i="1"/>
  <c r="F203" i="1" s="1"/>
  <c r="D202" i="1"/>
  <c r="F202" i="1" s="1"/>
  <c r="D201" i="1"/>
  <c r="F201" i="1" s="1"/>
  <c r="D199" i="1"/>
  <c r="F199" i="1" s="1"/>
  <c r="D198" i="1"/>
  <c r="F198" i="1" s="1"/>
  <c r="D197" i="1"/>
  <c r="F197" i="1" s="1"/>
  <c r="G196" i="1"/>
  <c r="D196" i="1"/>
  <c r="F196" i="1" s="1"/>
  <c r="D194" i="1"/>
  <c r="F194" i="1" s="1"/>
  <c r="D193" i="1"/>
  <c r="F193" i="1" s="1"/>
  <c r="D192" i="1"/>
  <c r="F192" i="1" s="1"/>
  <c r="D190" i="1"/>
  <c r="F190" i="1" s="1"/>
  <c r="D189" i="1"/>
  <c r="F189" i="1" s="1"/>
  <c r="G187" i="1"/>
  <c r="D187" i="1"/>
  <c r="F187" i="1" s="1"/>
  <c r="D181" i="1"/>
  <c r="D180" i="1"/>
  <c r="D179" i="1"/>
  <c r="D178" i="1"/>
  <c r="D185" i="1"/>
  <c r="F185" i="1" s="1"/>
  <c r="D184" i="1"/>
  <c r="F184" i="1" s="1"/>
  <c r="D183" i="1"/>
  <c r="D182" i="1"/>
  <c r="D176" i="1"/>
  <c r="F176" i="1" s="1"/>
  <c r="D175" i="1"/>
  <c r="F175" i="1" s="1"/>
  <c r="D174" i="1"/>
  <c r="D173" i="1"/>
  <c r="D162" i="1"/>
  <c r="D161" i="1"/>
  <c r="F161" i="1" s="1"/>
  <c r="D160" i="1"/>
  <c r="F160" i="1" s="1"/>
  <c r="D159" i="1"/>
  <c r="F159" i="1" s="1"/>
  <c r="D158" i="1"/>
  <c r="F158" i="1" s="1"/>
  <c r="D157" i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F157" i="1"/>
  <c r="F162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G150" i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D136" i="1"/>
  <c r="D137" i="1"/>
  <c r="D138" i="1"/>
  <c r="D139" i="1"/>
  <c r="D140" i="1"/>
  <c r="D141" i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35" i="1"/>
  <c r="G120" i="1" l="1"/>
  <c r="E124" i="1"/>
  <c r="C128" i="1"/>
  <c r="C119" i="1"/>
  <c r="G125" i="1"/>
  <c r="E119" i="1"/>
  <c r="E120" i="1"/>
  <c r="C120" i="1"/>
  <c r="C124" i="1"/>
  <c r="E125" i="1"/>
  <c r="C125" i="1"/>
  <c r="E128" i="1"/>
  <c r="G126" i="1"/>
  <c r="E126" i="1"/>
  <c r="C126" i="1"/>
  <c r="C121" i="1" l="1"/>
  <c r="E127" i="1"/>
  <c r="C127" i="1"/>
  <c r="E121" i="1"/>
  <c r="B290" i="1" l="1"/>
  <c r="C13" i="1" l="1"/>
  <c r="E27" i="1" l="1"/>
  <c r="F183" i="1" l="1"/>
  <c r="F182" i="1"/>
  <c r="F181" i="1"/>
  <c r="F180" i="1"/>
  <c r="F179" i="1"/>
  <c r="F178" i="1"/>
  <c r="F174" i="1"/>
  <c r="F173" i="1"/>
  <c r="G124" i="1" l="1"/>
  <c r="G127" i="1" s="1"/>
  <c r="G128" i="1"/>
  <c r="F136" i="1"/>
  <c r="F137" i="1"/>
  <c r="F138" i="1"/>
  <c r="F139" i="1"/>
  <c r="F140" i="1"/>
  <c r="F141" i="1"/>
  <c r="F135" i="1"/>
  <c r="G119" i="1" l="1"/>
  <c r="G121" i="1" s="1"/>
  <c r="B29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3" i="1"/>
  <c r="G178" i="1"/>
  <c r="G169" i="1"/>
  <c r="A170" i="1"/>
  <c r="A171" i="1" s="1"/>
  <c r="A172" i="1" s="1"/>
  <c r="A173" i="1" s="1"/>
  <c r="A174" i="1" s="1"/>
  <c r="A175" i="1" s="1"/>
  <c r="A176" i="1" s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35" i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F116" i="1"/>
  <c r="J74" i="1"/>
  <c r="J73" i="1"/>
  <c r="J72" i="1"/>
  <c r="J71" i="1"/>
  <c r="D52" i="1"/>
  <c r="G47" i="1"/>
  <c r="C47" i="1"/>
  <c r="E40" i="1"/>
  <c r="E41" i="1" s="1"/>
  <c r="E24" i="1"/>
  <c r="E22" i="1"/>
  <c r="E7" i="1"/>
  <c r="D57" i="1"/>
  <c r="H64" i="1"/>
  <c r="D69" i="1" l="1"/>
  <c r="J67" i="1"/>
  <c r="D76" i="1"/>
  <c r="D74" i="1"/>
  <c r="D72" i="1"/>
  <c r="D70" i="1"/>
  <c r="J68" i="1"/>
  <c r="C67" i="1" s="1"/>
  <c r="J66" i="1"/>
  <c r="J69" i="1"/>
  <c r="D75" i="1"/>
  <c r="D71" i="1"/>
  <c r="D73" i="1"/>
  <c r="H92" i="1"/>
  <c r="D104" i="1" l="1"/>
  <c r="D102" i="1"/>
  <c r="D100" i="1"/>
  <c r="D98" i="1"/>
  <c r="J97" i="1"/>
  <c r="J98" i="1" s="1"/>
  <c r="J103" i="1" s="1"/>
  <c r="J104" i="1" s="1"/>
  <c r="C96" i="1" s="1"/>
  <c r="E95" i="1" s="1"/>
  <c r="D103" i="1"/>
  <c r="D101" i="1"/>
  <c r="D99" i="1"/>
  <c r="D97" i="1"/>
  <c r="J95" i="1"/>
  <c r="J96" i="1"/>
  <c r="C95" i="1" s="1"/>
  <c r="J94" i="1"/>
  <c r="J70" i="1"/>
  <c r="J75" i="1" s="1"/>
  <c r="J76" i="1" s="1"/>
  <c r="C68" i="1" s="1"/>
  <c r="E67" i="1" s="1"/>
  <c r="D67" i="1"/>
  <c r="D96" i="1" l="1"/>
  <c r="G95" i="1"/>
  <c r="D95" i="1"/>
  <c r="I91" i="1" s="1"/>
  <c r="C93" i="1" s="1"/>
  <c r="D68" i="1"/>
  <c r="G67" i="1"/>
  <c r="D61" i="1" s="1"/>
  <c r="D62" i="1" s="1"/>
  <c r="I63" i="1"/>
  <c r="C65" i="1" s="1"/>
  <c r="F62" i="1" l="1"/>
</calcChain>
</file>

<file path=xl/sharedStrings.xml><?xml version="1.0" encoding="utf-8"?>
<sst xmlns="http://schemas.openxmlformats.org/spreadsheetml/2006/main" count="618" uniqueCount="248">
  <si>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</si>
  <si>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</si>
  <si>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</si>
  <si>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</si>
  <si>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</si>
  <si>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</si>
  <si>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</si>
  <si>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</si>
  <si>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</si>
  <si>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</si>
  <si>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</si>
  <si>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</si>
  <si>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</si>
  <si>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</si>
  <si>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</si>
  <si>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</si>
  <si>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</si>
  <si>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</si>
  <si>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</si>
  <si>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</si>
  <si>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</si>
  <si>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</si>
  <si>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</si>
  <si>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</si>
  <si>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</si>
  <si>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</si>
  <si>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</si>
  <si>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</si>
  <si>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</si>
  <si>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</si>
  <si>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</si>
  <si>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</si>
  <si>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</si>
  <si>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</si>
  <si>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</si>
  <si>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</si>
  <si>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</si>
  <si>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</si>
  <si>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</si>
  <si>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</si>
  <si>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</si>
  <si>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</si>
  <si>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</si>
  <si>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</si>
  <si>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</si>
  <si>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</si>
  <si>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</si>
  <si>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</si>
  <si>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</si>
  <si>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</si>
  <si>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</si>
  <si>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</si>
  <si>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</si>
  <si>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</si>
  <si>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</si>
  <si>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</si>
  <si>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</si>
  <si>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</si>
  <si>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</si>
  <si>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</si>
  <si>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</si>
  <si>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</si>
  <si>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</si>
  <si>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</si>
  <si>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</si>
  <si>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</si>
  <si>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</si>
  <si>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</si>
  <si>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</si>
  <si>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</si>
  <si>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</si>
  <si>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</si>
  <si>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</si>
  <si>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</si>
  <si>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</si>
  <si>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</si>
  <si>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</si>
  <si>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</si>
  <si>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</si>
  <si>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</si>
  <si>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</si>
  <si>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</si>
  <si>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</si>
  <si>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</si>
  <si>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</si>
  <si>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</si>
  <si>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</si>
  <si>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</si>
  <si>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</si>
  <si>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</si>
  <si>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</si>
  <si>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</si>
  <si>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</si>
  <si>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</si>
  <si>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</si>
  <si>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</si>
  <si>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</si>
  <si>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</si>
  <si>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</si>
  <si>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</si>
  <si>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</si>
  <si>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</si>
  <si>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</si>
  <si>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</si>
  <si>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</si>
  <si>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</si>
  <si>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</si>
  <si>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</si>
  <si>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</si>
  <si>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</si>
  <si>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</si>
  <si>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</si>
  <si>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</si>
  <si>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</si>
  <si>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</si>
  <si>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</si>
  <si>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</si>
  <si>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</si>
  <si>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</si>
  <si>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</si>
  <si>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</si>
  <si>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</si>
  <si>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</si>
  <si>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</si>
  <si>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</si>
  <si>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</si>
  <si>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</si>
  <si>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</si>
  <si>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</si>
  <si>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</si>
  <si>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</si>
  <si>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</si>
  <si>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</si>
  <si>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</si>
  <si>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</si>
  <si>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</si>
  <si>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</si>
  <si>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</si>
  <si>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</si>
  <si>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</si>
  <si>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</si>
  <si>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</si>
  <si>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</si>
  <si>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</si>
  <si>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</si>
  <si>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</si>
  <si>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</si>
  <si>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</si>
  <si>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</si>
  <si>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</si>
  <si>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</si>
  <si>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</si>
  <si>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</si>
  <si>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</si>
  <si>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</si>
  <si>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</si>
  <si>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</si>
  <si>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</si>
  <si>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</si>
  <si>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</si>
  <si>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</si>
  <si>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</si>
  <si>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Recommended rate of the Shop Per Sq. Ft. (on Saleable area)</t>
  </si>
  <si>
    <t>Recommended rate of the Flat Per Sq. Ft. (on Saleable area)</t>
  </si>
  <si>
    <t>Axis Sanpada</t>
  </si>
  <si>
    <t>M/s.Dosti Enterprises</t>
  </si>
  <si>
    <t>Survey No</t>
  </si>
  <si>
    <t>Thane Municipal Corporation (TMC)</t>
  </si>
  <si>
    <t>Balkum</t>
  </si>
  <si>
    <t>Thane</t>
  </si>
  <si>
    <t>Thane West</t>
  </si>
  <si>
    <t>Bhiwandi - Wada Road</t>
  </si>
  <si>
    <t>5.9 KM from Thane Railway Station</t>
  </si>
  <si>
    <t>NG Regency</t>
  </si>
  <si>
    <t>43/2 (pt), 43/3, 43/4, 43/5, 44/1(pt), 45/1 (pt), 46/1/A, 47/1, 47/2/A, 47/2/3/2 A(pt), 47/3/1/A, 47/4/A, 47/5(pt)</t>
  </si>
  <si>
    <t>Balkum Pipeline Road</t>
  </si>
  <si>
    <t>Internal Road</t>
  </si>
  <si>
    <t>Open Plot</t>
  </si>
  <si>
    <t>As per RERA - 31/10/2026</t>
  </si>
  <si>
    <t>V.P.SO5/0177/19/TMC/TDD/3803/21</t>
  </si>
  <si>
    <t>Building No.1 ( A wing)</t>
  </si>
  <si>
    <t>Ground Floor for Commercial &amp; Parking</t>
  </si>
  <si>
    <t>Shop
(Mhada Or Sale)</t>
  </si>
  <si>
    <t>Sale</t>
  </si>
  <si>
    <t>Shop</t>
  </si>
  <si>
    <t>Building No.2 ( A wing)</t>
  </si>
  <si>
    <t>1st to 3rd Podium Floor For Parking</t>
  </si>
  <si>
    <t>4th Podium Floor For Parking &amp; Residential</t>
  </si>
  <si>
    <t>Flat
(Sale Or Mhada)</t>
  </si>
  <si>
    <t>-</t>
  </si>
  <si>
    <t>2BHK</t>
  </si>
  <si>
    <t>3BHK</t>
  </si>
  <si>
    <t>Parking Area</t>
  </si>
  <si>
    <t>1st Floor</t>
  </si>
  <si>
    <t>Mhada</t>
  </si>
  <si>
    <t>1.5BHK</t>
  </si>
  <si>
    <t>2nd, 7th, 12th, 17th, 22nd &amp; 27th Floor (Part Refuge Area)</t>
  </si>
  <si>
    <t>Refuge Area</t>
  </si>
  <si>
    <t>3rd to 6th, 8th to 11th, 13th to 16th, 18th to 21st, 23rd to 26th Floor</t>
  </si>
  <si>
    <t>28th Floor</t>
  </si>
  <si>
    <t>29th Floor</t>
  </si>
  <si>
    <t>3rd to 6th, 8th to 11th, 13th to 16th, 18th to 21st, 23rd to 26th, 28th &amp; 29th Floor</t>
  </si>
  <si>
    <t>We considered Gross carpet area = Net carpet + Enclose balcony + Utility Area.</t>
  </si>
  <si>
    <t>Building No.3</t>
  </si>
  <si>
    <t>Ground Floor For Parking</t>
  </si>
  <si>
    <t>2nd, 7th &amp; 12th Floor (Part Refuge Area)</t>
  </si>
  <si>
    <t xml:space="preserve">Building No.1( A wing) Sale </t>
  </si>
  <si>
    <t>Total Sale Flats</t>
  </si>
  <si>
    <t xml:space="preserve">Building No.1( A wing) Mhada Flats </t>
  </si>
  <si>
    <t>Sale Flats - 517, Sale Shops - 26, Mhada Flats - 49</t>
  </si>
  <si>
    <t>Ajay Songare</t>
  </si>
  <si>
    <t>Clubhouse Membership</t>
  </si>
  <si>
    <t>Water Charges</t>
  </si>
  <si>
    <t>MSEDCL</t>
  </si>
  <si>
    <t>Corpus Fund - For Club House</t>
  </si>
  <si>
    <t>Approved Plans, CC, Cost Sheet</t>
  </si>
  <si>
    <t>Dosti West County Sector 2 - Dosti Tulip</t>
  </si>
  <si>
    <t>1st, 3rd to 6th, 8th to 11th &amp; 13th Floor</t>
  </si>
  <si>
    <t>8800/- to 11000/- Costsheet 19/05/2022 - By Akash Sir.</t>
  </si>
  <si>
    <t>On Site, we meet Mr.Sandip - 7208964023.</t>
  </si>
  <si>
    <t>Wing A = (Building No.1/Wing A, as per sanctioned plan) = G + 1st to 4th Podium Floors + 1st to 14th Floor</t>
  </si>
  <si>
    <t>Wing A (as per sale plan) = Building No.1-Wing A (as per sanctioned plan) = G + 1st to 4th Podium Floor + 1st to 29th floor
Wing B (as per sale plan) = Building No.2 -Wing A (as per sanctioned plan) = G + 1st to 4th Podium Floor + 1st to 29th floor
Wing C (as per sale plan) = Building No.3 (as per sanctioned plan) = G + 1st to 4th Podium Floor + 1st to 13th floor</t>
  </si>
  <si>
    <t xml:space="preserve">Wing A (as per sale plan) = Building No.1-Wing A (as per sanctioned plan) </t>
  </si>
  <si>
    <t>Wing B (as per sale plan) = Building No.2 -Wing A (as per sanctioned plan)</t>
  </si>
  <si>
    <t>Wing C (as per sale plan) = Building No.3 (as per sanctioned plan)</t>
  </si>
  <si>
    <t>Wing A = Building No.1 (A wing)
Wing B = Building No.2 (A wing)
Wing C = Building No.3</t>
  </si>
  <si>
    <t>P51700032666</t>
  </si>
  <si>
    <t>3 Buildings</t>
  </si>
  <si>
    <t>50/­ from 1st Floor</t>
  </si>
  <si>
    <t>Other Charges</t>
  </si>
  <si>
    <t>11000 12600</t>
  </si>
  <si>
    <t>sanket 27/04/2023</t>
  </si>
  <si>
    <t xml:space="preserve">same rate as Dosti Nest </t>
  </si>
  <si>
    <t xml:space="preserve">Office No. 1031, Wing J, Akshar Business Park, Plot No. 03 Sector 25, Near APMC Market, Vashi, Navi Mumbai, Maharashtra 400703 TEL: 022-46090378/79/8E mail : vsjcapf@gmail.com. Web site : www.vsjadon.com
</t>
  </si>
  <si>
    <t>Location Link</t>
  </si>
  <si>
    <t>https://goo.gl/maps/qKjLwohE11YyBaW36</t>
  </si>
  <si>
    <t xml:space="preserve">Construction work is in process at the time of Visit. Internal photographs not allowed. </t>
  </si>
  <si>
    <t>Wing A (as per sale plan) = Building No.1 Wing A (as per sanctioned plan)  - G + 1st to 4th Podium Floor + 1st to 30th floor</t>
  </si>
  <si>
    <t>Wing B (as per sale plan) = Building No.2 -Wing A (as per sanctioned plan) = G + 1st to 4th Podium Floor + 1st to 30th floor</t>
  </si>
  <si>
    <t>Wing C (as per sale plan) = Building No.3 (as per sanctioned plan) = G + 1st to 4th Podium Floor + 1st to 30th floor</t>
  </si>
  <si>
    <t>Building No.1 (A Wing), Building No.2 (A Wing) &amp; Building No.3 = G + 1st to 4th Podium Floor + 1st to 30th floor</t>
  </si>
  <si>
    <t>S05/0177/19/TMC/TDD/4428/23</t>
  </si>
  <si>
    <t xml:space="preserve">Building No.1 (A Wing) = G + 1st to 4th Podium Floor + 1st to 14th floor
Building No.2 (A wing) = G + 1st to 4th Podium Floors + 1st to 14th Floor
Building No.3 = G + 1st to 4th Podium Floors + 1st to 13th floors.  </t>
  </si>
  <si>
    <t>We have updated CC from RERA site on 14/01/2023.</t>
  </si>
  <si>
    <t>Construction work goes beyond approved no. of floor. Please Provide revised approved plans &amp; CC.</t>
  </si>
  <si>
    <t>Shruti Tathare</t>
  </si>
  <si>
    <t>09/07/2025.</t>
  </si>
  <si>
    <t>Mr.Pratik Gada 7208964023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</si>
</sst>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2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3" fillId="0" borderId="13" xfId="0" applyNumberFormat="1" applyFont="1" applyBorder="1"/>
    <xf numFmtId="1" fontId="23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3" fillId="0" borderId="15" xfId="0" applyNumberFormat="1" applyFont="1" applyBorder="1"/>
    <xf numFmtId="1" fontId="24" fillId="0" borderId="1" xfId="0" applyNumberFormat="1" applyFont="1" applyBorder="1" applyAlignment="1">
      <alignment horizontal="center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left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7" fillId="3" borderId="23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7" fillId="2" borderId="9" xfId="1" applyFont="1" applyFill="1" applyBorder="1" applyAlignment="1" applyProtection="1">
      <alignment horizontal="left" vertical="top" wrapText="1"/>
      <protection locked="0"/>
    </xf>
    <xf numFmtId="0" fontId="7" fillId="2" borderId="21" xfId="1" applyFont="1" applyFill="1" applyBorder="1" applyAlignment="1" applyProtection="1">
      <alignment horizontal="left" vertical="top" wrapText="1"/>
      <protection locked="0"/>
    </xf>
    <xf numFmtId="0" fontId="7" fillId="2" borderId="10" xfId="1" applyFont="1" applyFill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2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9" xfId="10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10" xfId="1" applyFont="1" applyBorder="1" applyAlignment="1" applyProtection="1">
      <alignment horizontal="left" vertical="top"/>
      <protection locked="0"/>
    </xf>
    <xf numFmtId="168" fontId="12" fillId="2" borderId="1" xfId="9" applyNumberFormat="1" applyFont="1" applyFill="1" applyBorder="1" applyAlignment="1" applyProtection="1">
      <alignment horizontal="right" vertical="top"/>
      <protection locked="0"/>
    </xf>
    <xf numFmtId="0" fontId="7" fillId="0" borderId="0" xfId="1" applyFont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411956</xdr:colOff>
      <xdr:row>374</xdr:row>
      <xdr:rowOff>160306</xdr:rowOff>
    </xdr:from>
    <xdr:to>
      <xdr:col>6</xdr:col>
      <xdr:colOff>51967</xdr:colOff>
      <xdr:row>392</xdr:row>
      <xdr:rowOff>159858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3956" y="79110650"/>
          <a:ext cx="3783386" cy="36428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456780</xdr:colOff>
      <xdr:row>355</xdr:row>
      <xdr:rowOff>178804</xdr:rowOff>
    </xdr:from>
    <xdr:to>
      <xdr:col>6</xdr:col>
      <xdr:colOff>89988</xdr:colOff>
      <xdr:row>373</xdr:row>
      <xdr:rowOff>178353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8780" y="78194157"/>
          <a:ext cx="3790590" cy="36302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104775</xdr:colOff>
      <xdr:row>45</xdr:row>
      <xdr:rowOff>57150</xdr:rowOff>
    </xdr:from>
    <xdr:to>
      <xdr:col>15</xdr:col>
      <xdr:colOff>723120</xdr:colOff>
      <xdr:row>50</xdr:row>
      <xdr:rowOff>66496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9400" y="11096625"/>
          <a:ext cx="6238095" cy="14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40</xdr:row>
      <xdr:rowOff>43707</xdr:rowOff>
    </xdr:from>
    <xdr:to>
      <xdr:col>15</xdr:col>
      <xdr:colOff>199194</xdr:colOff>
      <xdr:row>44</xdr:row>
      <xdr:rowOff>380824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43725" y="9854457"/>
          <a:ext cx="5399844" cy="1137217"/>
        </a:xfrm>
        <a:prstGeom prst="rect">
          <a:avLst/>
        </a:prstGeom>
      </xdr:spPr>
    </xdr:pic>
    <xdr:clientData/>
  </xdr:twoCellAnchor>
  <xdr:twoCellAnchor>
    <xdr:from>
      <xdr:col>0</xdr:col>
      <xdr:colOff>110529</xdr:colOff>
      <xdr:row>313</xdr:row>
      <xdr:rowOff>146235</xdr:rowOff>
    </xdr:from>
    <xdr:to>
      <xdr:col>7</xdr:col>
      <xdr:colOff>734702</xdr:colOff>
      <xdr:row>344</xdr:row>
      <xdr:rowOff>22411</xdr:rowOff>
    </xdr:to>
    <xdr:grpSp>
      <xdr:nvGrpSpPr>
        <xdr:cNvPr id="7" name="Group 6"/>
        <xdr:cNvGrpSpPr/>
      </xdr:nvGrpSpPr>
      <xdr:grpSpPr>
        <a:xfrm>
          <a:off x="110529" y="69902853"/>
          <a:ext cx="6327967" cy="6117852"/>
          <a:chOff x="110529" y="69701147"/>
          <a:chExt cx="6327967" cy="6117852"/>
        </a:xfrm>
      </xdr:grpSpPr>
      <xdr:pic>
        <xdr:nvPicPr>
          <xdr:cNvPr id="10" name="Picture 9" descr="https://vsjcllp.vsjadon.com/upload/insp-24001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12367" y="73611442"/>
            <a:ext cx="1626129" cy="2177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001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6430" y="69701147"/>
            <a:ext cx="2848260" cy="38206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4001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0529" y="73647200"/>
            <a:ext cx="1619900" cy="21717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001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8801" y="73638615"/>
            <a:ext cx="2874720" cy="2177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001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729" y="69707311"/>
            <a:ext cx="2834922" cy="38228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KjLwohE11YyBaW3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6"/>
  <sheetViews>
    <sheetView tabSelected="1" view="pageBreakPreview" zoomScale="85" zoomScaleNormal="100" zoomScaleSheetLayoutView="85" workbookViewId="0">
      <selection activeCell="I11" sqref="I11"/>
    </sheetView>
  </sheetViews>
  <sheetFormatPr defaultColWidth="9.140625" defaultRowHeight="15.75" x14ac:dyDescent="0.25"/>
  <cols>
    <col min="1" max="1" width="11.42578125" style="10" customWidth="1"/>
    <col min="2" max="2" width="12" style="10" customWidth="1"/>
    <col min="3" max="3" width="12.7109375" style="10" customWidth="1"/>
    <col min="4" max="4" width="14.140625" style="10" customWidth="1"/>
    <col min="5" max="7" width="11.7109375" style="10" customWidth="1"/>
    <col min="8" max="8" width="12.42578125" style="10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61" t="s">
        <v>233</v>
      </c>
      <c r="B1" s="161"/>
      <c r="C1" s="161"/>
      <c r="D1" s="161"/>
      <c r="E1" s="161"/>
      <c r="F1" s="161"/>
      <c r="G1" s="161"/>
      <c r="H1" s="161"/>
    </row>
    <row r="2" spans="1:8" ht="16.5" customHeight="1" x14ac:dyDescent="0.25">
      <c r="A2" s="162" t="s">
        <v>0</v>
      </c>
      <c r="B2" s="162"/>
      <c r="C2" s="162"/>
      <c r="D2" s="162"/>
      <c r="E2" s="162"/>
      <c r="F2" s="162"/>
      <c r="G2" s="162"/>
      <c r="H2" s="162"/>
    </row>
    <row r="3" spans="1:8" x14ac:dyDescent="0.25">
      <c r="A3" s="71" t="s">
        <v>1</v>
      </c>
      <c r="B3" s="71"/>
      <c r="C3" s="71"/>
      <c r="D3" s="71"/>
      <c r="E3" s="163" t="str">
        <f ca="1">TEXT(TODAY(),"DD/MM/YYYY")</f>
        <v>10/07/2025</v>
      </c>
      <c r="F3" s="163"/>
      <c r="G3" s="163"/>
      <c r="H3" s="163"/>
    </row>
    <row r="4" spans="1:8" ht="15" customHeight="1" x14ac:dyDescent="0.25">
      <c r="A4" s="71" t="s">
        <v>2</v>
      </c>
      <c r="B4" s="71"/>
      <c r="C4" s="71"/>
      <c r="D4" s="71"/>
      <c r="E4" s="165" t="s">
        <v>164</v>
      </c>
      <c r="F4" s="165"/>
      <c r="G4" s="165"/>
      <c r="H4" s="165"/>
    </row>
    <row r="5" spans="1:8" x14ac:dyDescent="0.25">
      <c r="A5" s="71" t="s">
        <v>3</v>
      </c>
      <c r="B5" s="71"/>
      <c r="C5" s="71"/>
      <c r="D5" s="71"/>
      <c r="E5" s="163" t="s">
        <v>246</v>
      </c>
      <c r="F5" s="163"/>
      <c r="G5" s="163"/>
      <c r="H5" s="163"/>
    </row>
    <row r="6" spans="1:8" ht="16.5" customHeight="1" x14ac:dyDescent="0.25">
      <c r="A6" s="71" t="s">
        <v>4</v>
      </c>
      <c r="B6" s="71"/>
      <c r="C6" s="71"/>
      <c r="D6" s="71"/>
      <c r="E6" s="127" t="s">
        <v>165</v>
      </c>
      <c r="F6" s="127"/>
      <c r="G6" s="127"/>
      <c r="H6" s="127"/>
    </row>
    <row r="7" spans="1:8" ht="15" customHeight="1" x14ac:dyDescent="0.25">
      <c r="A7" s="71" t="s">
        <v>5</v>
      </c>
      <c r="B7" s="71"/>
      <c r="C7" s="71"/>
      <c r="D7" s="71"/>
      <c r="E7" s="127" t="str">
        <f>E6</f>
        <v>M/s.Dosti Enterprises</v>
      </c>
      <c r="F7" s="127"/>
      <c r="G7" s="127"/>
      <c r="H7" s="127"/>
    </row>
    <row r="8" spans="1:8" x14ac:dyDescent="0.25">
      <c r="A8" s="71" t="s">
        <v>6</v>
      </c>
      <c r="B8" s="71"/>
      <c r="C8" s="71"/>
      <c r="D8" s="71"/>
      <c r="E8" s="164" t="s">
        <v>216</v>
      </c>
      <c r="F8" s="85"/>
      <c r="G8" s="85"/>
      <c r="H8" s="85"/>
    </row>
    <row r="9" spans="1:8" x14ac:dyDescent="0.25">
      <c r="A9" s="71" t="s">
        <v>126</v>
      </c>
      <c r="B9" s="71"/>
      <c r="C9" s="71"/>
      <c r="D9" s="71"/>
      <c r="E9" s="71" t="s">
        <v>247</v>
      </c>
      <c r="F9" s="71"/>
      <c r="G9" s="71"/>
      <c r="H9" s="71"/>
    </row>
    <row r="10" spans="1:8" ht="47.25" customHeight="1" x14ac:dyDescent="0.25">
      <c r="A10" s="166" t="s">
        <v>7</v>
      </c>
      <c r="B10" s="166"/>
      <c r="C10" s="166"/>
      <c r="D10" s="166"/>
      <c r="E10" s="132" t="s">
        <v>225</v>
      </c>
      <c r="F10" s="166"/>
      <c r="G10" s="166"/>
      <c r="H10" s="166"/>
    </row>
    <row r="11" spans="1:8" x14ac:dyDescent="0.25">
      <c r="A11" s="71" t="s">
        <v>8</v>
      </c>
      <c r="B11" s="71"/>
      <c r="C11" s="71"/>
      <c r="D11" s="71"/>
      <c r="E11" s="132" t="s">
        <v>215</v>
      </c>
      <c r="F11" s="132"/>
      <c r="G11" s="132"/>
      <c r="H11" s="132"/>
    </row>
    <row r="12" spans="1:8" x14ac:dyDescent="0.25">
      <c r="A12" s="71" t="s">
        <v>9</v>
      </c>
      <c r="B12" s="71"/>
      <c r="C12" s="71"/>
      <c r="D12" s="71"/>
      <c r="E12" s="132" t="s">
        <v>226</v>
      </c>
      <c r="F12" s="166"/>
      <c r="G12" s="166"/>
      <c r="H12" s="166"/>
    </row>
    <row r="13" spans="1:8" ht="63" customHeight="1" x14ac:dyDescent="0.25">
      <c r="A13" s="127" t="s">
        <v>10</v>
      </c>
      <c r="B13" s="127"/>
      <c r="C13" s="12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Dosti West County Sector 2 - Dosti Tulip, Survey No.43/2 (pt), 43/3, 43/4, 43/5, 44/1(pt), 45/1 (pt), 46/1/A, 47/1, 47/2/A, 47/2/3/2 A(pt), 47/3/1/A, 47/4/A, 47/5(pt), near NG Regency, Bhiwandi - Wada Road, Balkum, Thane West, Thane, Thane - 400608.</v>
      </c>
      <c r="D13" s="127"/>
      <c r="E13" s="127"/>
      <c r="F13" s="127"/>
      <c r="G13" s="127"/>
      <c r="H13" s="127"/>
    </row>
    <row r="14" spans="1:8" ht="32.25" customHeight="1" x14ac:dyDescent="0.25">
      <c r="A14" s="132" t="s">
        <v>166</v>
      </c>
      <c r="B14" s="132"/>
      <c r="C14" s="132" t="s">
        <v>174</v>
      </c>
      <c r="D14" s="132"/>
      <c r="E14" s="132"/>
      <c r="F14" s="132"/>
      <c r="G14" s="132"/>
      <c r="H14" s="132"/>
    </row>
    <row r="15" spans="1:8" ht="15.75" customHeight="1" x14ac:dyDescent="0.25">
      <c r="A15" s="127" t="s">
        <v>11</v>
      </c>
      <c r="B15" s="127"/>
      <c r="C15" s="166" t="s">
        <v>171</v>
      </c>
      <c r="D15" s="166"/>
      <c r="E15" s="127" t="s">
        <v>79</v>
      </c>
      <c r="F15" s="127"/>
      <c r="G15" s="132" t="s">
        <v>168</v>
      </c>
      <c r="H15" s="132"/>
    </row>
    <row r="16" spans="1:8" x14ac:dyDescent="0.25">
      <c r="A16" s="71" t="s">
        <v>13</v>
      </c>
      <c r="B16" s="71"/>
      <c r="C16" s="132" t="s">
        <v>170</v>
      </c>
      <c r="D16" s="132"/>
      <c r="E16" s="127" t="s">
        <v>12</v>
      </c>
      <c r="F16" s="127"/>
      <c r="G16" s="167" t="s">
        <v>169</v>
      </c>
      <c r="H16" s="167"/>
    </row>
    <row r="17" spans="1:8" x14ac:dyDescent="0.25">
      <c r="A17" s="71" t="s">
        <v>80</v>
      </c>
      <c r="B17" s="71"/>
      <c r="C17" s="132" t="s">
        <v>169</v>
      </c>
      <c r="D17" s="132"/>
      <c r="E17" s="127" t="s">
        <v>14</v>
      </c>
      <c r="F17" s="127"/>
      <c r="G17" s="132">
        <v>400608</v>
      </c>
      <c r="H17" s="132"/>
    </row>
    <row r="18" spans="1:8" ht="32.25" customHeight="1" x14ac:dyDescent="0.25">
      <c r="A18" s="71" t="s">
        <v>127</v>
      </c>
      <c r="B18" s="71"/>
      <c r="C18" s="168" t="s">
        <v>173</v>
      </c>
      <c r="D18" s="168"/>
      <c r="E18" s="127" t="s">
        <v>15</v>
      </c>
      <c r="F18" s="127"/>
      <c r="G18" s="132" t="s">
        <v>172</v>
      </c>
      <c r="H18" s="132"/>
    </row>
    <row r="19" spans="1:8" ht="15" customHeight="1" x14ac:dyDescent="0.25">
      <c r="A19" s="127" t="s">
        <v>83</v>
      </c>
      <c r="B19" s="127"/>
      <c r="C19" s="127"/>
      <c r="D19" s="127"/>
      <c r="E19" s="166" t="s">
        <v>16</v>
      </c>
      <c r="F19" s="166"/>
      <c r="G19" s="166"/>
      <c r="H19" s="166"/>
    </row>
    <row r="20" spans="1:8" ht="18.75" customHeight="1" x14ac:dyDescent="0.25">
      <c r="A20" s="127"/>
      <c r="B20" s="127"/>
      <c r="C20" s="127"/>
      <c r="D20" s="127"/>
      <c r="E20" s="166"/>
      <c r="F20" s="166"/>
      <c r="G20" s="166"/>
      <c r="H20" s="166"/>
    </row>
    <row r="21" spans="1:8" ht="15" customHeight="1" x14ac:dyDescent="0.25">
      <c r="A21" s="127" t="s">
        <v>17</v>
      </c>
      <c r="B21" s="127"/>
      <c r="C21" s="127"/>
      <c r="D21" s="127"/>
      <c r="E21" s="132" t="s">
        <v>18</v>
      </c>
      <c r="F21" s="132"/>
      <c r="G21" s="132"/>
      <c r="H21" s="132"/>
    </row>
    <row r="22" spans="1:8" ht="15" customHeight="1" x14ac:dyDescent="0.25">
      <c r="A22" s="71" t="s">
        <v>19</v>
      </c>
      <c r="B22" s="71"/>
      <c r="C22" s="71"/>
      <c r="D22" s="71"/>
      <c r="E22" s="132" t="str">
        <f>IF(AND(G16="Mumbai"),"Upper Class","Middle Class")</f>
        <v>Middle Class</v>
      </c>
      <c r="F22" s="132"/>
      <c r="G22" s="132"/>
      <c r="H22" s="132"/>
    </row>
    <row r="23" spans="1:8" x14ac:dyDescent="0.25">
      <c r="A23" s="71" t="s">
        <v>20</v>
      </c>
      <c r="B23" s="71"/>
      <c r="C23" s="71"/>
      <c r="D23" s="71"/>
      <c r="E23" s="132" t="s">
        <v>21</v>
      </c>
      <c r="F23" s="132"/>
      <c r="G23" s="132"/>
      <c r="H23" s="132"/>
    </row>
    <row r="24" spans="1:8" ht="15.75" customHeight="1" x14ac:dyDescent="0.25">
      <c r="A24" s="71" t="s">
        <v>22</v>
      </c>
      <c r="B24" s="71"/>
      <c r="C24" s="71"/>
      <c r="D24" s="71"/>
      <c r="E24" s="132" t="str">
        <f>IF(AND(G16="Mumbai"),"Developed","Developing")</f>
        <v>Developing</v>
      </c>
      <c r="F24" s="132"/>
      <c r="G24" s="132"/>
      <c r="H24" s="132"/>
    </row>
    <row r="25" spans="1:8" x14ac:dyDescent="0.25">
      <c r="A25" s="71" t="s">
        <v>23</v>
      </c>
      <c r="B25" s="71"/>
      <c r="C25" s="71"/>
      <c r="D25" s="71"/>
      <c r="E25" s="132" t="s">
        <v>24</v>
      </c>
      <c r="F25" s="132"/>
      <c r="G25" s="132"/>
      <c r="H25" s="132"/>
    </row>
    <row r="26" spans="1:8" x14ac:dyDescent="0.25">
      <c r="A26" s="71" t="s">
        <v>88</v>
      </c>
      <c r="B26" s="71"/>
      <c r="C26" s="71"/>
      <c r="D26" s="71"/>
      <c r="E26" s="132" t="s">
        <v>89</v>
      </c>
      <c r="F26" s="132"/>
      <c r="G26" s="132"/>
      <c r="H26" s="132"/>
    </row>
    <row r="27" spans="1:8" ht="15" customHeight="1" x14ac:dyDescent="0.25">
      <c r="A27" s="127" t="s">
        <v>35</v>
      </c>
      <c r="B27" s="127"/>
      <c r="C27" s="127"/>
      <c r="D27" s="127"/>
      <c r="E27" s="165" t="str">
        <f>IF(ISNUMBER(SEARCH("Shop",D53)),"Residential + Commercial",IF(ISNUMBER(SEARCH("Office",D53)),"Residential + Commercial",IF(SEARCH("Flats",D53),"Residential","")))</f>
        <v>Residential + Commercial</v>
      </c>
      <c r="F27" s="165"/>
      <c r="G27" s="165"/>
      <c r="H27" s="165"/>
    </row>
    <row r="28" spans="1:8" x14ac:dyDescent="0.25">
      <c r="A28" s="127" t="s">
        <v>100</v>
      </c>
      <c r="B28" s="127"/>
      <c r="C28" s="127"/>
      <c r="D28" s="127"/>
      <c r="E28" s="127" t="s">
        <v>36</v>
      </c>
      <c r="F28" s="127"/>
      <c r="G28" s="127"/>
      <c r="H28" s="127"/>
    </row>
    <row r="29" spans="1:8" s="6" customFormat="1" x14ac:dyDescent="0.25">
      <c r="A29" s="174" t="s">
        <v>101</v>
      </c>
      <c r="B29" s="174"/>
      <c r="C29" s="172" t="s">
        <v>29</v>
      </c>
      <c r="D29" s="172"/>
      <c r="E29" s="172"/>
      <c r="F29" s="172" t="s">
        <v>31</v>
      </c>
      <c r="G29" s="172"/>
      <c r="H29" s="172"/>
    </row>
    <row r="30" spans="1:8" s="6" customFormat="1" x14ac:dyDescent="0.25">
      <c r="A30" s="169" t="s">
        <v>25</v>
      </c>
      <c r="B30" s="169" t="s">
        <v>30</v>
      </c>
      <c r="C30" s="170" t="s">
        <v>30</v>
      </c>
      <c r="D30" s="170"/>
      <c r="E30" s="170"/>
      <c r="F30" s="170" t="s">
        <v>177</v>
      </c>
      <c r="G30" s="170"/>
      <c r="H30" s="170"/>
    </row>
    <row r="31" spans="1:8" x14ac:dyDescent="0.25">
      <c r="A31" s="169" t="s">
        <v>26</v>
      </c>
      <c r="B31" s="169" t="s">
        <v>30</v>
      </c>
      <c r="C31" s="170" t="s">
        <v>30</v>
      </c>
      <c r="D31" s="170"/>
      <c r="E31" s="170"/>
      <c r="F31" s="170" t="s">
        <v>176</v>
      </c>
      <c r="G31" s="170"/>
      <c r="H31" s="170"/>
    </row>
    <row r="32" spans="1:8" s="6" customFormat="1" x14ac:dyDescent="0.25">
      <c r="A32" s="169" t="s">
        <v>28</v>
      </c>
      <c r="B32" s="169" t="s">
        <v>30</v>
      </c>
      <c r="C32" s="170" t="s">
        <v>30</v>
      </c>
      <c r="D32" s="170"/>
      <c r="E32" s="170"/>
      <c r="F32" s="170" t="s">
        <v>177</v>
      </c>
      <c r="G32" s="170"/>
      <c r="H32" s="170"/>
    </row>
    <row r="33" spans="1:8" x14ac:dyDescent="0.25">
      <c r="A33" s="169" t="s">
        <v>27</v>
      </c>
      <c r="B33" s="169" t="s">
        <v>30</v>
      </c>
      <c r="C33" s="170" t="s">
        <v>30</v>
      </c>
      <c r="D33" s="170"/>
      <c r="E33" s="170"/>
      <c r="F33" s="170" t="s">
        <v>175</v>
      </c>
      <c r="G33" s="170"/>
      <c r="H33" s="170"/>
    </row>
    <row r="34" spans="1:8" x14ac:dyDescent="0.25">
      <c r="A34" s="71" t="s">
        <v>32</v>
      </c>
      <c r="B34" s="71"/>
      <c r="C34" s="71"/>
      <c r="D34" s="71"/>
      <c r="E34" s="71"/>
      <c r="F34" s="71"/>
      <c r="G34" s="71"/>
      <c r="H34" s="71"/>
    </row>
    <row r="35" spans="1:8" s="58" customFormat="1" ht="15.75" customHeight="1" x14ac:dyDescent="0.25">
      <c r="A35" s="85" t="s">
        <v>33</v>
      </c>
      <c r="B35" s="85"/>
      <c r="C35" s="173">
        <v>19.228737899999999</v>
      </c>
      <c r="D35" s="173"/>
      <c r="E35" s="85" t="s">
        <v>34</v>
      </c>
      <c r="F35" s="85"/>
      <c r="G35" s="71">
        <v>72.994206000000005</v>
      </c>
      <c r="H35" s="71"/>
    </row>
    <row r="36" spans="1:8" s="58" customFormat="1" ht="15.75" customHeight="1" x14ac:dyDescent="0.25">
      <c r="A36" s="85" t="s">
        <v>234</v>
      </c>
      <c r="B36" s="85"/>
      <c r="C36" s="175" t="s">
        <v>235</v>
      </c>
      <c r="D36" s="176"/>
      <c r="E36" s="176"/>
      <c r="F36" s="176"/>
      <c r="G36" s="176"/>
      <c r="H36" s="177"/>
    </row>
    <row r="37" spans="1:8" x14ac:dyDescent="0.25">
      <c r="A37" s="85" t="s">
        <v>37</v>
      </c>
      <c r="B37" s="85"/>
      <c r="C37" s="85"/>
      <c r="D37" s="85"/>
      <c r="E37" s="85"/>
      <c r="F37" s="85"/>
      <c r="G37" s="85"/>
      <c r="H37" s="85"/>
    </row>
    <row r="38" spans="1:8" x14ac:dyDescent="0.25">
      <c r="A38" s="71" t="s">
        <v>38</v>
      </c>
      <c r="B38" s="71"/>
      <c r="C38" s="71"/>
      <c r="D38" s="71"/>
      <c r="E38" s="171">
        <v>11210</v>
      </c>
      <c r="F38" s="171"/>
      <c r="G38" s="171"/>
      <c r="H38" s="171"/>
    </row>
    <row r="39" spans="1:8" x14ac:dyDescent="0.25">
      <c r="A39" s="71" t="s">
        <v>39</v>
      </c>
      <c r="B39" s="71"/>
      <c r="C39" s="71"/>
      <c r="D39" s="71"/>
      <c r="E39" s="70">
        <v>1.1000000000000001</v>
      </c>
      <c r="F39" s="70"/>
      <c r="G39" s="70"/>
      <c r="H39" s="70"/>
    </row>
    <row r="40" spans="1:8" x14ac:dyDescent="0.25">
      <c r="A40" s="71" t="s">
        <v>40</v>
      </c>
      <c r="B40" s="71"/>
      <c r="C40" s="71"/>
      <c r="D40" s="71"/>
      <c r="E40" s="70">
        <f>E42/E38-E39</f>
        <v>3.3822925958965206</v>
      </c>
      <c r="F40" s="70"/>
      <c r="G40" s="70"/>
      <c r="H40" s="70"/>
    </row>
    <row r="41" spans="1:8" x14ac:dyDescent="0.25">
      <c r="A41" s="71" t="s">
        <v>41</v>
      </c>
      <c r="B41" s="71"/>
      <c r="C41" s="71"/>
      <c r="D41" s="71"/>
      <c r="E41" s="70">
        <f>E39+E40</f>
        <v>4.4822925958965207</v>
      </c>
      <c r="F41" s="70"/>
      <c r="G41" s="70"/>
      <c r="H41" s="70"/>
    </row>
    <row r="42" spans="1:8" x14ac:dyDescent="0.25">
      <c r="A42" s="101" t="s">
        <v>99</v>
      </c>
      <c r="B42" s="101"/>
      <c r="C42" s="101"/>
      <c r="D42" s="101"/>
      <c r="E42" s="155">
        <v>50246.5</v>
      </c>
      <c r="F42" s="155"/>
      <c r="G42" s="155"/>
      <c r="H42" s="155"/>
    </row>
    <row r="43" spans="1:8" x14ac:dyDescent="0.25">
      <c r="A43" s="101" t="s">
        <v>42</v>
      </c>
      <c r="B43" s="101"/>
      <c r="C43" s="101"/>
      <c r="D43" s="101"/>
      <c r="E43" s="101" t="s">
        <v>227</v>
      </c>
      <c r="F43" s="101"/>
      <c r="G43" s="101"/>
      <c r="H43" s="101"/>
    </row>
    <row r="44" spans="1:8" x14ac:dyDescent="0.25">
      <c r="A44" s="156" t="s">
        <v>43</v>
      </c>
      <c r="B44" s="156"/>
      <c r="C44" s="156"/>
      <c r="D44" s="156"/>
      <c r="E44" s="156"/>
      <c r="F44" s="156"/>
      <c r="G44" s="156"/>
      <c r="H44" s="156"/>
    </row>
    <row r="45" spans="1:8" ht="33.75" customHeight="1" x14ac:dyDescent="0.25">
      <c r="A45" s="178" t="s">
        <v>157</v>
      </c>
      <c r="B45" s="179"/>
      <c r="C45" s="180" t="s">
        <v>167</v>
      </c>
      <c r="D45" s="181"/>
      <c r="E45" s="181"/>
      <c r="F45" s="181"/>
      <c r="G45" s="181"/>
      <c r="H45" s="182"/>
    </row>
    <row r="46" spans="1:8" x14ac:dyDescent="0.25">
      <c r="A46" s="88" t="s">
        <v>44</v>
      </c>
      <c r="B46" s="88"/>
      <c r="C46" s="89" t="s">
        <v>179</v>
      </c>
      <c r="D46" s="89"/>
      <c r="E46" s="89"/>
      <c r="F46" s="55" t="s">
        <v>45</v>
      </c>
      <c r="G46" s="100">
        <v>44540</v>
      </c>
      <c r="H46" s="100"/>
    </row>
    <row r="47" spans="1:8" x14ac:dyDescent="0.25">
      <c r="A47" s="101" t="s">
        <v>46</v>
      </c>
      <c r="B47" s="101"/>
      <c r="C47" s="89" t="str">
        <f>C46</f>
        <v>V.P.SO5/0177/19/TMC/TDD/3803/21</v>
      </c>
      <c r="D47" s="89"/>
      <c r="E47" s="89"/>
      <c r="F47" s="55" t="s">
        <v>45</v>
      </c>
      <c r="G47" s="100">
        <f>G46</f>
        <v>44540</v>
      </c>
      <c r="H47" s="100"/>
    </row>
    <row r="48" spans="1:8" s="5" customFormat="1" x14ac:dyDescent="0.25">
      <c r="A48" s="160" t="s">
        <v>161</v>
      </c>
      <c r="B48" s="88"/>
      <c r="C48" s="89" t="s">
        <v>241</v>
      </c>
      <c r="D48" s="102"/>
      <c r="E48" s="102"/>
      <c r="F48" s="56" t="s">
        <v>45</v>
      </c>
      <c r="G48" s="100">
        <v>45104</v>
      </c>
      <c r="H48" s="100"/>
    </row>
    <row r="49" spans="1:14" s="5" customFormat="1" ht="48.75" customHeight="1" x14ac:dyDescent="0.25">
      <c r="A49" s="88"/>
      <c r="B49" s="88"/>
      <c r="C49" s="112" t="s">
        <v>242</v>
      </c>
      <c r="D49" s="113"/>
      <c r="E49" s="113"/>
      <c r="F49" s="113"/>
      <c r="G49" s="113"/>
      <c r="H49" s="114"/>
    </row>
    <row r="50" spans="1:14" s="5" customFormat="1" x14ac:dyDescent="0.25">
      <c r="A50" s="107" t="s">
        <v>47</v>
      </c>
      <c r="B50" s="107"/>
      <c r="C50" s="108" t="s">
        <v>110</v>
      </c>
      <c r="D50" s="109"/>
      <c r="E50" s="109" t="s">
        <v>48</v>
      </c>
      <c r="F50" s="57" t="s">
        <v>45</v>
      </c>
      <c r="G50" s="111" t="s">
        <v>30</v>
      </c>
      <c r="H50" s="111"/>
    </row>
    <row r="51" spans="1:14" x14ac:dyDescent="0.25">
      <c r="A51" s="110" t="s">
        <v>50</v>
      </c>
      <c r="B51" s="110"/>
      <c r="C51" s="110"/>
      <c r="D51" s="110"/>
      <c r="E51" s="110"/>
      <c r="F51" s="110"/>
      <c r="G51" s="110"/>
      <c r="H51" s="110"/>
    </row>
    <row r="52" spans="1:14" x14ac:dyDescent="0.25">
      <c r="A52" s="88" t="s">
        <v>98</v>
      </c>
      <c r="B52" s="88"/>
      <c r="C52" s="88"/>
      <c r="D52" s="101">
        <f>E42</f>
        <v>50246.5</v>
      </c>
      <c r="E52" s="101"/>
      <c r="F52" s="101"/>
      <c r="G52" s="101"/>
      <c r="H52" s="101"/>
      <c r="I52" s="3" t="s">
        <v>220</v>
      </c>
    </row>
    <row r="53" spans="1:14" x14ac:dyDescent="0.25">
      <c r="A53" s="88" t="s">
        <v>51</v>
      </c>
      <c r="B53" s="101"/>
      <c r="C53" s="101"/>
      <c r="D53" s="101" t="s">
        <v>209</v>
      </c>
      <c r="E53" s="101"/>
      <c r="F53" s="101"/>
      <c r="G53" s="101"/>
      <c r="H53" s="101"/>
      <c r="I53" s="30"/>
    </row>
    <row r="54" spans="1:14" ht="96" customHeight="1" x14ac:dyDescent="0.25">
      <c r="A54" s="103" t="s">
        <v>52</v>
      </c>
      <c r="B54" s="104"/>
      <c r="C54" s="159"/>
      <c r="D54" s="157" t="s">
        <v>221</v>
      </c>
      <c r="E54" s="158"/>
      <c r="F54" s="158"/>
      <c r="G54" s="158"/>
      <c r="H54" s="158"/>
    </row>
    <row r="55" spans="1:14" ht="32.25" customHeight="1" x14ac:dyDescent="0.25">
      <c r="A55" s="103" t="s">
        <v>96</v>
      </c>
      <c r="B55" s="104"/>
      <c r="C55" s="104"/>
      <c r="D55" s="103" t="s">
        <v>240</v>
      </c>
      <c r="E55" s="105"/>
      <c r="F55" s="105"/>
      <c r="G55" s="105"/>
      <c r="H55" s="106"/>
    </row>
    <row r="56" spans="1:14" ht="15.75" customHeight="1" x14ac:dyDescent="0.25">
      <c r="A56" s="101" t="s">
        <v>49</v>
      </c>
      <c r="B56" s="101"/>
      <c r="C56" s="101"/>
      <c r="D56" s="88" t="s">
        <v>178</v>
      </c>
      <c r="E56" s="88"/>
      <c r="F56" s="88"/>
      <c r="G56" s="88"/>
      <c r="H56" s="88"/>
      <c r="J56" s="29"/>
      <c r="K56" s="30"/>
      <c r="N56" s="30"/>
    </row>
    <row r="57" spans="1:14" ht="15.75" customHeight="1" x14ac:dyDescent="0.25">
      <c r="A57" s="101" t="s">
        <v>94</v>
      </c>
      <c r="B57" s="101"/>
      <c r="C57" s="101"/>
      <c r="D57" s="154" t="str">
        <f>(IF(G50="NA","60 Years After Completion",IF(G50&lt;&gt;"NA",""&amp;60-ROUNDDOWN((E3-G50)/360,0)&amp;" Years"," ")))</f>
        <v>60 Years After Completion</v>
      </c>
      <c r="E57" s="154"/>
      <c r="F57" s="154"/>
      <c r="G57" s="154"/>
      <c r="H57" s="154"/>
      <c r="N57" s="30"/>
    </row>
    <row r="58" spans="1:14" ht="15.75" customHeight="1" x14ac:dyDescent="0.25">
      <c r="A58" s="71" t="s">
        <v>95</v>
      </c>
      <c r="B58" s="71"/>
      <c r="C58" s="71"/>
      <c r="D58" s="127" t="s">
        <v>24</v>
      </c>
      <c r="E58" s="127"/>
      <c r="F58" s="127"/>
      <c r="G58" s="127"/>
      <c r="H58" s="127"/>
      <c r="J58" s="12"/>
      <c r="K58" s="12"/>
    </row>
    <row r="59" spans="1:14" ht="15" hidden="1" customHeight="1" x14ac:dyDescent="0.25">
      <c r="A59" s="71" t="s">
        <v>81</v>
      </c>
      <c r="B59" s="71"/>
      <c r="C59" s="71"/>
      <c r="D59" s="132" t="s">
        <v>153</v>
      </c>
      <c r="E59" s="127"/>
      <c r="F59" s="127"/>
      <c r="G59" s="127"/>
      <c r="H59" s="127"/>
    </row>
    <row r="60" spans="1:14" x14ac:dyDescent="0.25">
      <c r="A60" s="127" t="s">
        <v>154</v>
      </c>
      <c r="B60" s="127"/>
      <c r="C60" s="127"/>
      <c r="D60" s="127" t="s">
        <v>30</v>
      </c>
      <c r="E60" s="127"/>
      <c r="F60" s="127"/>
      <c r="G60" s="127"/>
      <c r="H60" s="127"/>
      <c r="I60" s="33"/>
      <c r="J60" s="33"/>
      <c r="K60" s="33"/>
      <c r="L60" s="33"/>
      <c r="M60" s="33"/>
      <c r="N60" s="33"/>
    </row>
    <row r="61" spans="1:14" ht="15.75" customHeight="1" x14ac:dyDescent="0.25">
      <c r="A61" s="138" t="s">
        <v>93</v>
      </c>
      <c r="B61" s="138"/>
      <c r="C61" s="138"/>
      <c r="D61" s="139" t="str">
        <f ca="1">(IF(G67&gt;95%,"Nothing",IF(G67&gt;0%,"Cement, Aggregate, Steel, etc",IF(G67=0%,"Work not yet Started"))))</f>
        <v>Cement, Aggregate, Steel, etc</v>
      </c>
      <c r="E61" s="139"/>
      <c r="F61" s="139"/>
      <c r="G61" s="139"/>
      <c r="H61" s="139"/>
      <c r="J61" s="12"/>
    </row>
    <row r="62" spans="1:14" ht="33.75" customHeight="1" thickBot="1" x14ac:dyDescent="0.3">
      <c r="A62" s="133" t="s">
        <v>123</v>
      </c>
      <c r="B62" s="134"/>
      <c r="C62" s="135"/>
      <c r="D62" s="136" t="str">
        <f ca="1">(IF(D61="Nothing","Yes",IF(D61="Cement, Aggregate, Steel, etc","Under Construction",IF(D61="Work not yet Started","Work not yet Started"))))</f>
        <v>Under Construction</v>
      </c>
      <c r="E62" s="137"/>
      <c r="F62" s="137" t="str">
        <f ca="1">(IF(D61="Nothing","Yes",IF(D61="Cement, Aggregate, Steel, etc","Under Construction",IF(D61="Work not yet Started","Work not yet Started"))))</f>
        <v>Under Construction</v>
      </c>
      <c r="G62" s="137"/>
      <c r="H62" s="137"/>
    </row>
    <row r="63" spans="1:14" s="5" customFormat="1" ht="36.75" customHeight="1" x14ac:dyDescent="0.25">
      <c r="A63" s="143" t="s">
        <v>145</v>
      </c>
      <c r="B63" s="144"/>
      <c r="C63" s="145" t="s">
        <v>237</v>
      </c>
      <c r="D63" s="146"/>
      <c r="E63" s="146"/>
      <c r="F63" s="146"/>
      <c r="G63" s="146"/>
      <c r="H63" s="147"/>
      <c r="I63" s="37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Completed, External Plaster Completed, Flooring upto 26 Floor Completed, Painting upto 23 Floor Completed, Finishing upto 4 Floor Completed.</v>
      </c>
      <c r="J63" s="38"/>
    </row>
    <row r="64" spans="1:14" s="5" customFormat="1" x14ac:dyDescent="0.25">
      <c r="A64" s="31" t="s">
        <v>147</v>
      </c>
      <c r="B64" s="36">
        <v>0</v>
      </c>
      <c r="C64" s="36" t="s">
        <v>78</v>
      </c>
      <c r="D64" s="36">
        <v>1</v>
      </c>
      <c r="E64" s="36" t="s">
        <v>77</v>
      </c>
      <c r="F64" s="36">
        <v>4</v>
      </c>
      <c r="G64" s="36" t="s">
        <v>87</v>
      </c>
      <c r="H64" s="32">
        <f ca="1">--TRIM(RIGHT(SUBSTITUTE(LEFT(C63,_xlfn.AGGREGATE(16,6,FIND({0,1,2,3,4,5,6,7,8,9},C63,ROW(INDIRECT("1:"&amp;LEN(C63)))),1))," ",REPT(" ",LEN(C63))),LEN(C63)))</f>
        <v>30</v>
      </c>
      <c r="I64" s="39"/>
      <c r="J64" s="40"/>
    </row>
    <row r="65" spans="1:10" s="5" customFormat="1" ht="68.25" customHeight="1" x14ac:dyDescent="0.25">
      <c r="A65" s="141" t="s">
        <v>97</v>
      </c>
      <c r="B65" s="142"/>
      <c r="C65" s="130" t="str">
        <f ca="1">(IF($G$50="NA",I63,"All work Completed. OC Received."))</f>
        <v>Excavation work Completed. Plinth work completed, RCC Slab Completed, Brickwork Completed, Internal Plaster Completed, External Plaster Completed, Flooring upto 26 Floor Completed, Painting upto 23 Floor Completed, Finishing upto 4 Floor Completed.</v>
      </c>
      <c r="D65" s="130"/>
      <c r="E65" s="130"/>
      <c r="F65" s="130"/>
      <c r="G65" s="130"/>
      <c r="H65" s="131"/>
      <c r="I65" s="39" t="s">
        <v>109</v>
      </c>
      <c r="J65" s="40"/>
    </row>
    <row r="66" spans="1:10" s="5" customFormat="1" ht="15.75" customHeight="1" x14ac:dyDescent="0.25">
      <c r="A66" s="82" t="s">
        <v>53</v>
      </c>
      <c r="B66" s="83"/>
      <c r="C66" s="41" t="s">
        <v>144</v>
      </c>
      <c r="D66" s="41" t="s">
        <v>90</v>
      </c>
      <c r="E66" s="83" t="s">
        <v>92</v>
      </c>
      <c r="F66" s="83"/>
      <c r="G66" s="83" t="s">
        <v>91</v>
      </c>
      <c r="H66" s="140"/>
      <c r="I66" s="42" t="s">
        <v>146</v>
      </c>
      <c r="J66" s="43">
        <f ca="1">H64*25%</f>
        <v>7.5</v>
      </c>
    </row>
    <row r="67" spans="1:10" s="5" customFormat="1" x14ac:dyDescent="0.25">
      <c r="A67" s="82" t="s">
        <v>133</v>
      </c>
      <c r="B67" s="83"/>
      <c r="C67" s="44">
        <f ca="1">J68</f>
        <v>30</v>
      </c>
      <c r="D67" s="45">
        <f ca="1">((100/H64)*C67)/100</f>
        <v>1</v>
      </c>
      <c r="E67" s="148">
        <f ca="1">(((C68/H64*10)+(40/(D64+F64+H64)*C69)+(7.5/(H64)*C70)+(7.5/(H64)*C71)+(10/H64*C72)+(10/H64*C73)+(5/H64*C74)+(5/H64*C75)+(5/H64*C76))/100)</f>
        <v>0.88166666666666671</v>
      </c>
      <c r="F67" s="148"/>
      <c r="G67" s="148">
        <f ca="1">((((C67/H64)*20)+((C68/H64)*25)+(30/(H64+F64+D64)*C69)+(5/H64*C70)+(5/H64*C71)+(5/H64*C72)+(5/H64*C73)+(0/H64*C74)+(0/H64*C75)+(5/H64*C76))/100)</f>
        <v>0.94333333333333325</v>
      </c>
      <c r="H67" s="150"/>
      <c r="I67" s="42" t="s">
        <v>104</v>
      </c>
      <c r="J67" s="46">
        <f ca="1">H64*50%</f>
        <v>15</v>
      </c>
    </row>
    <row r="68" spans="1:10" s="5" customFormat="1" x14ac:dyDescent="0.25">
      <c r="A68" s="82" t="s">
        <v>54</v>
      </c>
      <c r="B68" s="83"/>
      <c r="C68" s="47">
        <f ca="1">J76</f>
        <v>30</v>
      </c>
      <c r="D68" s="45">
        <f ca="1">((100/H64)*C68)/100</f>
        <v>1</v>
      </c>
      <c r="E68" s="148"/>
      <c r="F68" s="148"/>
      <c r="G68" s="148"/>
      <c r="H68" s="150"/>
      <c r="I68" s="42" t="s">
        <v>105</v>
      </c>
      <c r="J68" s="46">
        <f ca="1">H64</f>
        <v>30</v>
      </c>
    </row>
    <row r="69" spans="1:10" s="5" customFormat="1" ht="15.75" customHeight="1" x14ac:dyDescent="0.25">
      <c r="A69" s="82" t="s">
        <v>134</v>
      </c>
      <c r="B69" s="83"/>
      <c r="C69" s="47">
        <v>35</v>
      </c>
      <c r="D69" s="45">
        <f ca="1">((100/(D64+F64+H64))*C69)/100</f>
        <v>1</v>
      </c>
      <c r="E69" s="148"/>
      <c r="F69" s="148"/>
      <c r="G69" s="148"/>
      <c r="H69" s="150"/>
      <c r="I69" s="42" t="s">
        <v>106</v>
      </c>
      <c r="J69" s="48">
        <f ca="1">(IF(B64&gt;1,(H64/(B64+2)),H64/4))</f>
        <v>7.5</v>
      </c>
    </row>
    <row r="70" spans="1:10" s="5" customFormat="1" ht="15.75" customHeight="1" x14ac:dyDescent="0.25">
      <c r="A70" s="82" t="s">
        <v>141</v>
      </c>
      <c r="B70" s="83" t="s">
        <v>135</v>
      </c>
      <c r="C70" s="47">
        <f>C69-D64-F64</f>
        <v>30</v>
      </c>
      <c r="D70" s="45">
        <f ca="1">((100/H64)*C70)/100</f>
        <v>1</v>
      </c>
      <c r="E70" s="148"/>
      <c r="F70" s="148"/>
      <c r="G70" s="148"/>
      <c r="H70" s="150"/>
      <c r="I70" s="42" t="s">
        <v>107</v>
      </c>
      <c r="J70" s="48">
        <f ca="1">(IF(B64&gt;1,(H64/(B64+2)+J69),H64/4+J69))</f>
        <v>15</v>
      </c>
    </row>
    <row r="71" spans="1:10" s="5" customFormat="1" ht="15.75" customHeight="1" x14ac:dyDescent="0.25">
      <c r="A71" s="82" t="s">
        <v>142</v>
      </c>
      <c r="B71" s="83" t="s">
        <v>135</v>
      </c>
      <c r="C71" s="47">
        <v>30</v>
      </c>
      <c r="D71" s="45">
        <f ca="1">((100/H64)*C71)/100</f>
        <v>1</v>
      </c>
      <c r="E71" s="148"/>
      <c r="F71" s="148"/>
      <c r="G71" s="148"/>
      <c r="H71" s="150"/>
      <c r="I71" s="42" t="s">
        <v>151</v>
      </c>
      <c r="J71" s="48">
        <f>(IF(B64&gt;1,(H64/(B64+2)+J70),0))</f>
        <v>0</v>
      </c>
    </row>
    <row r="72" spans="1:10" s="5" customFormat="1" ht="15" customHeight="1" x14ac:dyDescent="0.25">
      <c r="A72" s="82" t="s">
        <v>140</v>
      </c>
      <c r="B72" s="83" t="s">
        <v>137</v>
      </c>
      <c r="C72" s="47">
        <v>30</v>
      </c>
      <c r="D72" s="45">
        <f ca="1">((100/(H64))*C72)/100</f>
        <v>1</v>
      </c>
      <c r="E72" s="148"/>
      <c r="F72" s="148"/>
      <c r="G72" s="148"/>
      <c r="H72" s="150"/>
      <c r="I72" s="42" t="s">
        <v>148</v>
      </c>
      <c r="J72" s="48">
        <f>(IF(B64&gt;2,(H64/(B64+2)+J71),0))</f>
        <v>0</v>
      </c>
    </row>
    <row r="73" spans="1:10" s="5" customFormat="1" ht="15.75" customHeight="1" x14ac:dyDescent="0.25">
      <c r="A73" s="82" t="s">
        <v>136</v>
      </c>
      <c r="B73" s="83" t="s">
        <v>136</v>
      </c>
      <c r="C73" s="44">
        <v>26</v>
      </c>
      <c r="D73" s="45">
        <f ca="1">((100/H64)*C73)/100</f>
        <v>0.8666666666666667</v>
      </c>
      <c r="E73" s="148"/>
      <c r="F73" s="148"/>
      <c r="G73" s="148"/>
      <c r="H73" s="150"/>
      <c r="I73" s="42" t="s">
        <v>149</v>
      </c>
      <c r="J73" s="49">
        <f>(IF(B64&gt;3,(H64/(B64+2)+J72),0))</f>
        <v>0</v>
      </c>
    </row>
    <row r="74" spans="1:10" s="5" customFormat="1" ht="15.75" customHeight="1" x14ac:dyDescent="0.25">
      <c r="A74" s="82" t="s">
        <v>143</v>
      </c>
      <c r="B74" s="83"/>
      <c r="C74" s="44">
        <v>23</v>
      </c>
      <c r="D74" s="45">
        <f ca="1">((100/H64)*C74)/100</f>
        <v>0.76666666666666672</v>
      </c>
      <c r="E74" s="148"/>
      <c r="F74" s="148"/>
      <c r="G74" s="148"/>
      <c r="H74" s="150"/>
      <c r="I74" s="42" t="s">
        <v>150</v>
      </c>
      <c r="J74" s="48">
        <f>(IF(B64&gt;4,(H64/(B64+2)+J73),0))</f>
        <v>0</v>
      </c>
    </row>
    <row r="75" spans="1:10" s="5" customFormat="1" ht="15.75" customHeight="1" x14ac:dyDescent="0.25">
      <c r="A75" s="82" t="s">
        <v>138</v>
      </c>
      <c r="B75" s="83" t="s">
        <v>138</v>
      </c>
      <c r="C75" s="44">
        <v>4</v>
      </c>
      <c r="D75" s="45">
        <f ca="1">((100/(H64))*C75)/100</f>
        <v>0.13333333333333333</v>
      </c>
      <c r="E75" s="148"/>
      <c r="F75" s="148"/>
      <c r="G75" s="148"/>
      <c r="H75" s="150"/>
      <c r="I75" s="42" t="s">
        <v>152</v>
      </c>
      <c r="J75" s="48">
        <f ca="1">(IF(B64=1,(H64/(B64+3)+J70),IF(B64=0,(H64/4+J70),IF(B64&gt;1,0))))</f>
        <v>22.5</v>
      </c>
    </row>
    <row r="76" spans="1:10" s="5" customFormat="1" ht="16.5" thickBot="1" x14ac:dyDescent="0.3">
      <c r="A76" s="152" t="s">
        <v>139</v>
      </c>
      <c r="B76" s="153"/>
      <c r="C76" s="50">
        <v>0</v>
      </c>
      <c r="D76" s="51">
        <f ca="1">((100/(H64))*C76)/100</f>
        <v>0</v>
      </c>
      <c r="E76" s="149"/>
      <c r="F76" s="149"/>
      <c r="G76" s="149"/>
      <c r="H76" s="151"/>
      <c r="I76" s="52" t="s">
        <v>108</v>
      </c>
      <c r="J76" s="53">
        <f ca="1">(IF(B64&gt;1.5,(H64/(B64+2)+J70+MAX(0,J71-J70)+MAX(0,J72-J71)+MAX(0,J73-J72)+MAX(0,J74-J73)+MAX(0,J75-J74)),IF(B64=1,(H64/(B64+3)+J75),IF(B64=0,H64/4+J75))))</f>
        <v>30</v>
      </c>
    </row>
    <row r="77" spans="1:10" s="5" customFormat="1" ht="33.75" customHeight="1" x14ac:dyDescent="0.25">
      <c r="A77" s="143" t="s">
        <v>145</v>
      </c>
      <c r="B77" s="144"/>
      <c r="C77" s="145" t="s">
        <v>238</v>
      </c>
      <c r="D77" s="146"/>
      <c r="E77" s="146"/>
      <c r="F77" s="146"/>
      <c r="G77" s="146"/>
      <c r="H77" s="147"/>
      <c r="I77" s="37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 Completed",IF(C83&gt;0,", RCC upto "&amp;C83&amp;" Slab Completed",""))&amp;(IF(C84=H78,", Brickwork Completed",IF(C84&gt;0,", Brickwork upto "&amp;C84&amp;" Floor Completed",""))&amp;(IF(C85=H78,", Internal Plaster Completed",IF(C85&gt;0,", Internal Plaster upto "&amp;C85&amp;" Floor Completed",""))&amp;(IF(C86=H78,", External Plaster Completed",IF(C86&gt;0,", External Plaster upto "&amp;C86&amp;" Floor Completed",""))&amp;(IF(C87=H78,", Flooring Completed",IF(C87&gt;0,", Flooring upto "&amp;C87&amp;" Floor Completed",""))&amp;(IF(C88=H78,", Painting Completed",IF(C88&gt;0,", Painting upto "&amp;C88&amp;" Floor Completed",""))&amp;(IF(C89&gt;0,", Finishing upto "&amp;C89&amp;" Floor Completed","")&amp;(IF(C83&gt;0.5,".",""))))))))))))))</f>
        <v>Excavation work Completed. Plinth work completed, RCC Slab Completed, Brickwork Completed, Internal Plaster Completed, External Plaster Completed, Flooring upto 26 Floor Completed, Painting upto 22 Floor Completed, Finishing upto 3 Floor Completed.</v>
      </c>
      <c r="J77" s="38"/>
    </row>
    <row r="78" spans="1:10" s="5" customFormat="1" x14ac:dyDescent="0.25">
      <c r="A78" s="31" t="s">
        <v>147</v>
      </c>
      <c r="B78" s="36">
        <v>0</v>
      </c>
      <c r="C78" s="36" t="s">
        <v>78</v>
      </c>
      <c r="D78" s="36">
        <v>1</v>
      </c>
      <c r="E78" s="36" t="s">
        <v>77</v>
      </c>
      <c r="F78" s="36">
        <v>4</v>
      </c>
      <c r="G78" s="36" t="s">
        <v>87</v>
      </c>
      <c r="H78" s="32">
        <f ca="1">--TRIM(RIGHT(SUBSTITUTE(LEFT(C77,_xlfn.AGGREGATE(16,6,FIND({0,1,2,3,4,5,6,7,8,9},C77,ROW(INDIRECT("1:"&amp;LEN(C77)))),1))," ",REPT(" ",LEN(C77))),LEN(C77)))</f>
        <v>30</v>
      </c>
      <c r="I78" s="39"/>
      <c r="J78" s="40"/>
    </row>
    <row r="79" spans="1:10" s="5" customFormat="1" ht="64.900000000000006" customHeight="1" x14ac:dyDescent="0.25">
      <c r="A79" s="141" t="s">
        <v>97</v>
      </c>
      <c r="B79" s="142"/>
      <c r="C79" s="130" t="str">
        <f ca="1">(IF($G$50="NA",I77,"All work Completed. OC Received."))</f>
        <v>Excavation work Completed. Plinth work completed, RCC Slab Completed, Brickwork Completed, Internal Plaster Completed, External Plaster Completed, Flooring upto 26 Floor Completed, Painting upto 22 Floor Completed, Finishing upto 3 Floor Completed.</v>
      </c>
      <c r="D79" s="130"/>
      <c r="E79" s="130"/>
      <c r="F79" s="130"/>
      <c r="G79" s="130"/>
      <c r="H79" s="131"/>
      <c r="I79" s="39" t="s">
        <v>109</v>
      </c>
      <c r="J79" s="40"/>
    </row>
    <row r="80" spans="1:10" s="5" customFormat="1" ht="15.75" customHeight="1" x14ac:dyDescent="0.25">
      <c r="A80" s="82" t="s">
        <v>53</v>
      </c>
      <c r="B80" s="83"/>
      <c r="C80" s="41" t="s">
        <v>144</v>
      </c>
      <c r="D80" s="41" t="s">
        <v>90</v>
      </c>
      <c r="E80" s="83" t="s">
        <v>92</v>
      </c>
      <c r="F80" s="83"/>
      <c r="G80" s="83" t="s">
        <v>91</v>
      </c>
      <c r="H80" s="140"/>
      <c r="I80" s="42" t="s">
        <v>146</v>
      </c>
      <c r="J80" s="43">
        <f ca="1">H78*25%</f>
        <v>7.5</v>
      </c>
    </row>
    <row r="81" spans="1:10" s="5" customFormat="1" x14ac:dyDescent="0.25">
      <c r="A81" s="82" t="s">
        <v>133</v>
      </c>
      <c r="B81" s="83"/>
      <c r="C81" s="44">
        <f ca="1">J82</f>
        <v>30</v>
      </c>
      <c r="D81" s="45">
        <f ca="1">((100/H78)*C81)/100</f>
        <v>1</v>
      </c>
      <c r="E81" s="148">
        <f ca="1">(((C82/H78*10)+(40/(D78+F78+H78)*C83)+(7.5/(H78)*C84)+(7.5/(H78)*C85)+(10/H78*C86)+(10/H78*C87)+(5/H78*C88)+(5/H78*C89)+(5/H78*C90))/100)</f>
        <v>0.87833333333333341</v>
      </c>
      <c r="F81" s="148"/>
      <c r="G81" s="148">
        <f ca="1">((((C81/H78)*20)+((C82/H78)*25)+(30/(H78+F78+D78)*C83)+(5/H78*C84)+(5/H78*C85)+(5/H78*C86)+(5/H78*C87)+(0/H78*C88)+(0/H78*C89)+(5/H78*C90))/100)</f>
        <v>0.94333333333333325</v>
      </c>
      <c r="H81" s="150"/>
      <c r="I81" s="42" t="s">
        <v>104</v>
      </c>
      <c r="J81" s="46">
        <f ca="1">H78*50%</f>
        <v>15</v>
      </c>
    </row>
    <row r="82" spans="1:10" s="5" customFormat="1" x14ac:dyDescent="0.25">
      <c r="A82" s="82" t="s">
        <v>54</v>
      </c>
      <c r="B82" s="83"/>
      <c r="C82" s="47">
        <f ca="1">J90</f>
        <v>30</v>
      </c>
      <c r="D82" s="45">
        <f ca="1">((100/H78)*C82)/100</f>
        <v>1</v>
      </c>
      <c r="E82" s="148"/>
      <c r="F82" s="148"/>
      <c r="G82" s="148"/>
      <c r="H82" s="150"/>
      <c r="I82" s="42" t="s">
        <v>105</v>
      </c>
      <c r="J82" s="46">
        <f ca="1">H78</f>
        <v>30</v>
      </c>
    </row>
    <row r="83" spans="1:10" s="5" customFormat="1" ht="15.75" customHeight="1" x14ac:dyDescent="0.25">
      <c r="A83" s="82" t="s">
        <v>134</v>
      </c>
      <c r="B83" s="83"/>
      <c r="C83" s="47">
        <v>35</v>
      </c>
      <c r="D83" s="45">
        <f ca="1">((100/(D78+F78+H78))*C83)/100</f>
        <v>1</v>
      </c>
      <c r="E83" s="148"/>
      <c r="F83" s="148"/>
      <c r="G83" s="148"/>
      <c r="H83" s="150"/>
      <c r="I83" s="42" t="s">
        <v>106</v>
      </c>
      <c r="J83" s="48">
        <f ca="1">(IF(B78&gt;1,(H78/(B78+2)),H78/4))</f>
        <v>7.5</v>
      </c>
    </row>
    <row r="84" spans="1:10" s="5" customFormat="1" ht="15.75" customHeight="1" x14ac:dyDescent="0.25">
      <c r="A84" s="82" t="s">
        <v>141</v>
      </c>
      <c r="B84" s="83" t="s">
        <v>135</v>
      </c>
      <c r="C84" s="47">
        <f>C83-D78-F78</f>
        <v>30</v>
      </c>
      <c r="D84" s="45">
        <f ca="1">((100/H78)*C84)/100</f>
        <v>1</v>
      </c>
      <c r="E84" s="148"/>
      <c r="F84" s="148"/>
      <c r="G84" s="148"/>
      <c r="H84" s="150"/>
      <c r="I84" s="42" t="s">
        <v>107</v>
      </c>
      <c r="J84" s="48">
        <f ca="1">(IF(B78&gt;1,(H78/(B78+2)+J83),H78/4+J83))</f>
        <v>15</v>
      </c>
    </row>
    <row r="85" spans="1:10" s="5" customFormat="1" ht="15.75" customHeight="1" x14ac:dyDescent="0.25">
      <c r="A85" s="82" t="s">
        <v>142</v>
      </c>
      <c r="B85" s="83" t="s">
        <v>135</v>
      </c>
      <c r="C85" s="47">
        <v>30</v>
      </c>
      <c r="D85" s="45">
        <f ca="1">((100/H78)*C85)/100</f>
        <v>1</v>
      </c>
      <c r="E85" s="148"/>
      <c r="F85" s="148"/>
      <c r="G85" s="148"/>
      <c r="H85" s="150"/>
      <c r="I85" s="42" t="s">
        <v>151</v>
      </c>
      <c r="J85" s="48">
        <f>(IF(B78&gt;1,(H78/(B78+2)+J84),0))</f>
        <v>0</v>
      </c>
    </row>
    <row r="86" spans="1:10" s="5" customFormat="1" ht="15" customHeight="1" x14ac:dyDescent="0.25">
      <c r="A86" s="82" t="s">
        <v>140</v>
      </c>
      <c r="B86" s="83" t="s">
        <v>137</v>
      </c>
      <c r="C86" s="47">
        <v>30</v>
      </c>
      <c r="D86" s="45">
        <f ca="1">((100/(H78))*C86)/100</f>
        <v>1</v>
      </c>
      <c r="E86" s="148"/>
      <c r="F86" s="148"/>
      <c r="G86" s="148"/>
      <c r="H86" s="150"/>
      <c r="I86" s="42" t="s">
        <v>148</v>
      </c>
      <c r="J86" s="48">
        <f>(IF(B78&gt;2,(H78/(B78+2)+J85),0))</f>
        <v>0</v>
      </c>
    </row>
    <row r="87" spans="1:10" s="5" customFormat="1" ht="15.75" customHeight="1" x14ac:dyDescent="0.25">
      <c r="A87" s="82" t="s">
        <v>136</v>
      </c>
      <c r="B87" s="83" t="s">
        <v>136</v>
      </c>
      <c r="C87" s="44">
        <v>26</v>
      </c>
      <c r="D87" s="45">
        <f ca="1">((100/H78)*C87)/100</f>
        <v>0.8666666666666667</v>
      </c>
      <c r="E87" s="148"/>
      <c r="F87" s="148"/>
      <c r="G87" s="148"/>
      <c r="H87" s="150"/>
      <c r="I87" s="42" t="s">
        <v>149</v>
      </c>
      <c r="J87" s="49">
        <f>(IF(B78&gt;3,(H78/(B78+2)+J86),0))</f>
        <v>0</v>
      </c>
    </row>
    <row r="88" spans="1:10" s="5" customFormat="1" ht="15.75" customHeight="1" x14ac:dyDescent="0.25">
      <c r="A88" s="82" t="s">
        <v>143</v>
      </c>
      <c r="B88" s="83"/>
      <c r="C88" s="44">
        <v>22</v>
      </c>
      <c r="D88" s="45">
        <f ca="1">((100/H78)*C88)/100</f>
        <v>0.73333333333333339</v>
      </c>
      <c r="E88" s="148"/>
      <c r="F88" s="148"/>
      <c r="G88" s="148"/>
      <c r="H88" s="150"/>
      <c r="I88" s="42" t="s">
        <v>150</v>
      </c>
      <c r="J88" s="48">
        <f>(IF(B78&gt;4,(H78/(B78+2)+J87),0))</f>
        <v>0</v>
      </c>
    </row>
    <row r="89" spans="1:10" s="5" customFormat="1" ht="15.75" customHeight="1" x14ac:dyDescent="0.25">
      <c r="A89" s="82" t="s">
        <v>138</v>
      </c>
      <c r="B89" s="83" t="s">
        <v>138</v>
      </c>
      <c r="C89" s="44">
        <v>3</v>
      </c>
      <c r="D89" s="45">
        <f ca="1">((100/(H78))*C89)/100</f>
        <v>0.1</v>
      </c>
      <c r="E89" s="148"/>
      <c r="F89" s="148"/>
      <c r="G89" s="148"/>
      <c r="H89" s="150"/>
      <c r="I89" s="42" t="s">
        <v>152</v>
      </c>
      <c r="J89" s="48">
        <f ca="1">(IF(B78=1,(H78/(B78+3)+J84),IF(B78=0,(H78/4+J84),IF(B78&gt;1,0))))</f>
        <v>22.5</v>
      </c>
    </row>
    <row r="90" spans="1:10" s="5" customFormat="1" ht="16.5" thickBot="1" x14ac:dyDescent="0.3">
      <c r="A90" s="152" t="s">
        <v>139</v>
      </c>
      <c r="B90" s="153"/>
      <c r="C90" s="50">
        <v>0</v>
      </c>
      <c r="D90" s="51">
        <f ca="1">((100/(H78))*C90)/100</f>
        <v>0</v>
      </c>
      <c r="E90" s="149"/>
      <c r="F90" s="149"/>
      <c r="G90" s="149"/>
      <c r="H90" s="151"/>
      <c r="I90" s="52" t="s">
        <v>108</v>
      </c>
      <c r="J90" s="53">
        <f ca="1">(IF(B78&gt;1.5,(H78/(B78+2)+J84+MAX(0,J85-J84)+MAX(0,J86-J85)+MAX(0,J87-J86)+MAX(0,J88-J87)+MAX(0,J89-J88)),IF(B78=1,(H78/(B78+3)+J89),IF(B78=0,H78/4+J89))))</f>
        <v>30</v>
      </c>
    </row>
    <row r="91" spans="1:10" s="5" customFormat="1" ht="33" customHeight="1" x14ac:dyDescent="0.25">
      <c r="A91" s="143" t="s">
        <v>145</v>
      </c>
      <c r="B91" s="144"/>
      <c r="C91" s="145" t="s">
        <v>239</v>
      </c>
      <c r="D91" s="146"/>
      <c r="E91" s="146"/>
      <c r="F91" s="146"/>
      <c r="G91" s="146"/>
      <c r="H91" s="147"/>
      <c r="I91" s="37" t="str">
        <f ca="1">(IF(E95&gt;99%,"All work completed. Please provide OC.",IF(E95&gt;89.8%,"Plinth, RCC, Brick, Plaster, Flooring, Painting work Completed. Finishing work is in process.",IF(E95&lt;94%,(IF(C95=0,"Work not yet Started.",IF(D95=25%,"Piling work in process",IF(D95=50%,"Excavation work in process",IF(D95=100%,"Excavation work Completed. ","0")))&amp;(IF(C96=0%,"",IF(C96=J97,"Footing work is process",IF(C96=J98,"Footing work Completed",IF(C96=J99,"1st Basement Completed",IF(C96=J100,"1st &amp; 2nd Basement Completed",IF(C96=J101,"1st to 3rd Basement Completed",IF(C96=J102,"1st to 4th Basement Completed",IF(C96=J103,"Plinth work is process",IF(C96=J104,"Plinth work completed","0")))))))))))&amp;(IF(C97=(D92+F92+H92),", RCC Slab Completed",IF(C97&gt;0,", RCC upto "&amp;C97&amp;" Slab Completed",""))&amp;(IF(C98=H92,", Brickwork Completed",IF(C98&gt;0,", Brickwork upto "&amp;C98&amp;" Floor Completed",""))&amp;(IF(C99=H92,", Internal Plaster Completed",IF(C99&gt;0,", Internal Plaster upto "&amp;C99&amp;" Floor Completed",""))&amp;(IF(C100=H92,", External Plaster Completed",IF(C100&gt;0,", External Plaster upto "&amp;C100&amp;" Floor Completed",""))&amp;(IF(C101=H92,", Flooring Completed",IF(C101&gt;0,", Flooring upto "&amp;C101&amp;" Floor Completed",""))&amp;(IF(C102=H92,", Painting Completed",IF(C102&gt;0,", Painting upto "&amp;C102&amp;" Floor Completed",""))&amp;(IF(C103&gt;0,", Finishing upto "&amp;C103&amp;" Floor Completed","")&amp;(IF(C97&gt;0.5,".",""))))))))))))))</f>
        <v>Excavation work Completed. Plinth work completed, RCC upto 28 Slab Completed, Brickwork upto 23 Floor Completed, Internal Plaster upto 17.25 Floor Completed, External Plaster upto 16.1 Floor Completed.</v>
      </c>
      <c r="J91" s="38"/>
    </row>
    <row r="92" spans="1:10" s="5" customFormat="1" x14ac:dyDescent="0.25">
      <c r="A92" s="31" t="s">
        <v>147</v>
      </c>
      <c r="B92" s="36">
        <v>0</v>
      </c>
      <c r="C92" s="36" t="s">
        <v>78</v>
      </c>
      <c r="D92" s="36">
        <v>1</v>
      </c>
      <c r="E92" s="36" t="s">
        <v>77</v>
      </c>
      <c r="F92" s="36">
        <v>4</v>
      </c>
      <c r="G92" s="36" t="s">
        <v>87</v>
      </c>
      <c r="H92" s="32">
        <f ca="1">--TRIM(RIGHT(SUBSTITUTE(LEFT(C91,_xlfn.AGGREGATE(16,6,FIND({0,1,2,3,4,5,6,7,8,9},C91,ROW(INDIRECT("1:"&amp;LEN(C91)))),1))," ",REPT(" ",LEN(C91))),LEN(C91)))</f>
        <v>30</v>
      </c>
      <c r="I92" s="39"/>
      <c r="J92" s="40"/>
    </row>
    <row r="93" spans="1:10" s="5" customFormat="1" ht="52.5" customHeight="1" x14ac:dyDescent="0.25">
      <c r="A93" s="141" t="s">
        <v>97</v>
      </c>
      <c r="B93" s="142"/>
      <c r="C93" s="130" t="str">
        <f ca="1">(IF($G$50="NA",I91,"All work Completed. OC Received."))</f>
        <v>Excavation work Completed. Plinth work completed, RCC upto 28 Slab Completed, Brickwork upto 23 Floor Completed, Internal Plaster upto 17.25 Floor Completed, External Plaster upto 16.1 Floor Completed.</v>
      </c>
      <c r="D93" s="130"/>
      <c r="E93" s="130"/>
      <c r="F93" s="130"/>
      <c r="G93" s="130"/>
      <c r="H93" s="131"/>
      <c r="I93" s="39" t="s">
        <v>109</v>
      </c>
      <c r="J93" s="40"/>
    </row>
    <row r="94" spans="1:10" s="5" customFormat="1" ht="15.75" customHeight="1" x14ac:dyDescent="0.25">
      <c r="A94" s="82" t="s">
        <v>53</v>
      </c>
      <c r="B94" s="83"/>
      <c r="C94" s="41" t="s">
        <v>144</v>
      </c>
      <c r="D94" s="41" t="s">
        <v>90</v>
      </c>
      <c r="E94" s="83" t="s">
        <v>92</v>
      </c>
      <c r="F94" s="83"/>
      <c r="G94" s="83" t="s">
        <v>91</v>
      </c>
      <c r="H94" s="140"/>
      <c r="I94" s="42" t="s">
        <v>146</v>
      </c>
      <c r="J94" s="43">
        <f ca="1">H92*25%</f>
        <v>7.5</v>
      </c>
    </row>
    <row r="95" spans="1:10" s="5" customFormat="1" x14ac:dyDescent="0.25">
      <c r="A95" s="82" t="s">
        <v>133</v>
      </c>
      <c r="B95" s="83"/>
      <c r="C95" s="44">
        <f ca="1">J96</f>
        <v>30</v>
      </c>
      <c r="D95" s="45">
        <f ca="1">((100/H92)*C95)/100</f>
        <v>1</v>
      </c>
      <c r="E95" s="148">
        <f ca="1">(((C96/H92*10)+(40/(D92+F92+H92)*C97)+(7.5/(H92)*C98)+(7.5/(H92)*C99)+(10/H92*C100)+(10/H92*C101)+(5/H92*C102)+(5/H92*C103)+(5/H92*C104))/100)</f>
        <v>0.57429166666666664</v>
      </c>
      <c r="F95" s="148"/>
      <c r="G95" s="148">
        <f ca="1">((((C95/H92)*20)+((C96/H92)*25)+(30/(H92+F92+D92)*C97)+(5/H92*C98)+(5/H92*C99)+(5/H92*C100)+(5/H92*C101)+(0/H92*C102)+(0/H92*C103)+(5/H92*C104))/100)</f>
        <v>0.78391666666666671</v>
      </c>
      <c r="H95" s="150"/>
      <c r="I95" s="42" t="s">
        <v>104</v>
      </c>
      <c r="J95" s="46">
        <f ca="1">H92*50%</f>
        <v>15</v>
      </c>
    </row>
    <row r="96" spans="1:10" s="5" customFormat="1" x14ac:dyDescent="0.25">
      <c r="A96" s="82" t="s">
        <v>54</v>
      </c>
      <c r="B96" s="83"/>
      <c r="C96" s="47">
        <f ca="1">J104</f>
        <v>30</v>
      </c>
      <c r="D96" s="45">
        <f ca="1">((100/H92)*C96)/100</f>
        <v>1</v>
      </c>
      <c r="E96" s="148"/>
      <c r="F96" s="148"/>
      <c r="G96" s="148"/>
      <c r="H96" s="150"/>
      <c r="I96" s="42" t="s">
        <v>105</v>
      </c>
      <c r="J96" s="46">
        <f ca="1">H92</f>
        <v>30</v>
      </c>
    </row>
    <row r="97" spans="1:14" s="5" customFormat="1" ht="15.75" customHeight="1" x14ac:dyDescent="0.25">
      <c r="A97" s="82" t="s">
        <v>134</v>
      </c>
      <c r="B97" s="83"/>
      <c r="C97" s="47">
        <v>28</v>
      </c>
      <c r="D97" s="45">
        <f ca="1">((100/(D92+F92+H92))*C97)/100</f>
        <v>0.8</v>
      </c>
      <c r="E97" s="148"/>
      <c r="F97" s="148"/>
      <c r="G97" s="148"/>
      <c r="H97" s="150"/>
      <c r="I97" s="42" t="s">
        <v>106</v>
      </c>
      <c r="J97" s="48">
        <f ca="1">(IF(B92&gt;1,(H92/(B92+2)),H92/4))</f>
        <v>7.5</v>
      </c>
    </row>
    <row r="98" spans="1:14" s="5" customFormat="1" ht="15.75" customHeight="1" x14ac:dyDescent="0.25">
      <c r="A98" s="82" t="s">
        <v>141</v>
      </c>
      <c r="B98" s="83" t="s">
        <v>135</v>
      </c>
      <c r="C98" s="47">
        <f>C97-D92-F92</f>
        <v>23</v>
      </c>
      <c r="D98" s="45">
        <f ca="1">((100/H92)*C98)/100</f>
        <v>0.76666666666666672</v>
      </c>
      <c r="E98" s="148"/>
      <c r="F98" s="148"/>
      <c r="G98" s="148"/>
      <c r="H98" s="150"/>
      <c r="I98" s="42" t="s">
        <v>107</v>
      </c>
      <c r="J98" s="48">
        <f ca="1">(IF(B92&gt;1,(H92/(B92+2)+J97),H92/4+J97))</f>
        <v>15</v>
      </c>
    </row>
    <row r="99" spans="1:14" s="5" customFormat="1" ht="15.75" customHeight="1" x14ac:dyDescent="0.25">
      <c r="A99" s="82" t="s">
        <v>142</v>
      </c>
      <c r="B99" s="83" t="s">
        <v>135</v>
      </c>
      <c r="C99" s="47">
        <f>C98*0.75</f>
        <v>17.25</v>
      </c>
      <c r="D99" s="45">
        <f ca="1">((100/H92)*C99)/100</f>
        <v>0.57499999999999996</v>
      </c>
      <c r="E99" s="148"/>
      <c r="F99" s="148"/>
      <c r="G99" s="148"/>
      <c r="H99" s="150"/>
      <c r="I99" s="42" t="s">
        <v>151</v>
      </c>
      <c r="J99" s="48">
        <f>(IF(B92&gt;1,(H92/(B92+2)+J98),0))</f>
        <v>0</v>
      </c>
    </row>
    <row r="100" spans="1:14" s="5" customFormat="1" ht="15" customHeight="1" x14ac:dyDescent="0.25">
      <c r="A100" s="82" t="s">
        <v>140</v>
      </c>
      <c r="B100" s="83" t="s">
        <v>137</v>
      </c>
      <c r="C100" s="47">
        <f>C98*0.7</f>
        <v>16.099999999999998</v>
      </c>
      <c r="D100" s="45">
        <f ca="1">((100/(H92))*C100)/100</f>
        <v>0.53666666666666663</v>
      </c>
      <c r="E100" s="148"/>
      <c r="F100" s="148"/>
      <c r="G100" s="148"/>
      <c r="H100" s="150"/>
      <c r="I100" s="42" t="s">
        <v>148</v>
      </c>
      <c r="J100" s="48">
        <f>(IF(B92&gt;2,(H92/(B92+2)+J99),0))</f>
        <v>0</v>
      </c>
    </row>
    <row r="101" spans="1:14" s="5" customFormat="1" ht="15.75" customHeight="1" x14ac:dyDescent="0.25">
      <c r="A101" s="82" t="s">
        <v>136</v>
      </c>
      <c r="B101" s="83" t="s">
        <v>136</v>
      </c>
      <c r="C101" s="44">
        <v>0</v>
      </c>
      <c r="D101" s="45">
        <f ca="1">((100/H92)*C101)/100</f>
        <v>0</v>
      </c>
      <c r="E101" s="148"/>
      <c r="F101" s="148"/>
      <c r="G101" s="148"/>
      <c r="H101" s="150"/>
      <c r="I101" s="42" t="s">
        <v>149</v>
      </c>
      <c r="J101" s="49">
        <f>(IF(B92&gt;3,(H92/(B92+2)+J100),0))</f>
        <v>0</v>
      </c>
    </row>
    <row r="102" spans="1:14" s="5" customFormat="1" ht="15.75" customHeight="1" x14ac:dyDescent="0.25">
      <c r="A102" s="82" t="s">
        <v>143</v>
      </c>
      <c r="B102" s="83"/>
      <c r="C102" s="44">
        <v>0</v>
      </c>
      <c r="D102" s="45">
        <f ca="1">((100/H92)*C102)/100</f>
        <v>0</v>
      </c>
      <c r="E102" s="148"/>
      <c r="F102" s="148"/>
      <c r="G102" s="148"/>
      <c r="H102" s="150"/>
      <c r="I102" s="42" t="s">
        <v>150</v>
      </c>
      <c r="J102" s="48">
        <f>(IF(B92&gt;4,(H92/(B92+2)+J101),0))</f>
        <v>0</v>
      </c>
    </row>
    <row r="103" spans="1:14" s="5" customFormat="1" ht="15.75" customHeight="1" x14ac:dyDescent="0.25">
      <c r="A103" s="82" t="s">
        <v>138</v>
      </c>
      <c r="B103" s="83" t="s">
        <v>138</v>
      </c>
      <c r="C103" s="44">
        <v>0</v>
      </c>
      <c r="D103" s="45">
        <f ca="1">((100/(H92))*C103)/100</f>
        <v>0</v>
      </c>
      <c r="E103" s="148"/>
      <c r="F103" s="148"/>
      <c r="G103" s="148"/>
      <c r="H103" s="150"/>
      <c r="I103" s="42" t="s">
        <v>152</v>
      </c>
      <c r="J103" s="48">
        <f ca="1">(IF(B92=1,(H92/(B92+3)+J98),IF(B92=0,(H92/4+J98),IF(B92&gt;1,0))))</f>
        <v>22.5</v>
      </c>
    </row>
    <row r="104" spans="1:14" s="5" customFormat="1" ht="16.5" thickBot="1" x14ac:dyDescent="0.3">
      <c r="A104" s="152" t="s">
        <v>139</v>
      </c>
      <c r="B104" s="153"/>
      <c r="C104" s="50">
        <v>0</v>
      </c>
      <c r="D104" s="51">
        <f ca="1">((100/(H92))*C104)/100</f>
        <v>0</v>
      </c>
      <c r="E104" s="149"/>
      <c r="F104" s="149"/>
      <c r="G104" s="149"/>
      <c r="H104" s="151"/>
      <c r="I104" s="52" t="s">
        <v>108</v>
      </c>
      <c r="J104" s="53">
        <f ca="1">(IF(B92&gt;1.5,(H92/(B92+2)+J98+MAX(0,J99-J98)+MAX(0,J100-J99)+MAX(0,J101-J100)+MAX(0,J102-J101)+MAX(0,J103-J102)),IF(B92=1,(H92/(B92+3)+J103),IF(B92=0,H92/4+J103))))</f>
        <v>30</v>
      </c>
    </row>
    <row r="105" spans="1:14" x14ac:dyDescent="0.25">
      <c r="A105" s="85" t="s">
        <v>55</v>
      </c>
      <c r="B105" s="85"/>
      <c r="C105" s="85"/>
      <c r="D105" s="85"/>
      <c r="E105" s="85"/>
      <c r="F105" s="85"/>
      <c r="G105" s="85"/>
      <c r="H105" s="85"/>
    </row>
    <row r="106" spans="1:14" x14ac:dyDescent="0.25">
      <c r="A106" s="71" t="s">
        <v>163</v>
      </c>
      <c r="B106" s="71"/>
      <c r="C106" s="71"/>
      <c r="D106" s="71"/>
      <c r="E106" s="71"/>
      <c r="F106" s="84">
        <v>12600</v>
      </c>
      <c r="G106" s="84"/>
      <c r="H106" s="84"/>
      <c r="I106" s="68" t="s">
        <v>218</v>
      </c>
      <c r="J106" s="69"/>
      <c r="K106" s="69"/>
      <c r="L106" s="69"/>
      <c r="M106" s="69"/>
      <c r="N106" s="69"/>
    </row>
    <row r="107" spans="1:14" x14ac:dyDescent="0.25">
      <c r="A107" s="71" t="s">
        <v>162</v>
      </c>
      <c r="B107" s="71"/>
      <c r="C107" s="71"/>
      <c r="D107" s="71"/>
      <c r="E107" s="71"/>
      <c r="F107" s="122">
        <v>19000</v>
      </c>
      <c r="G107" s="122"/>
      <c r="H107" s="122"/>
    </row>
    <row r="108" spans="1:14" s="7" customFormat="1" x14ac:dyDescent="0.25">
      <c r="A108" s="71" t="s">
        <v>102</v>
      </c>
      <c r="B108" s="71"/>
      <c r="C108" s="71"/>
      <c r="D108" s="71"/>
      <c r="E108" s="71"/>
      <c r="F108" s="183" t="s">
        <v>228</v>
      </c>
      <c r="G108" s="183"/>
      <c r="H108" s="183"/>
      <c r="J108" s="7" t="s">
        <v>230</v>
      </c>
      <c r="K108" s="7" t="s">
        <v>231</v>
      </c>
      <c r="M108" s="7" t="s">
        <v>232</v>
      </c>
    </row>
    <row r="109" spans="1:14" s="7" customFormat="1" x14ac:dyDescent="0.25">
      <c r="A109" s="71" t="s">
        <v>229</v>
      </c>
      <c r="B109" s="71"/>
      <c r="C109" s="71"/>
      <c r="D109" s="71"/>
      <c r="E109" s="71"/>
      <c r="F109" s="122">
        <v>215000</v>
      </c>
      <c r="G109" s="122"/>
      <c r="H109" s="122"/>
    </row>
    <row r="110" spans="1:14" s="7" customFormat="1" hidden="1" x14ac:dyDescent="0.25">
      <c r="A110" s="71" t="s">
        <v>213</v>
      </c>
      <c r="B110" s="71"/>
      <c r="C110" s="71"/>
      <c r="D110" s="71"/>
      <c r="E110" s="71"/>
      <c r="F110" s="122">
        <v>60000</v>
      </c>
      <c r="G110" s="122"/>
      <c r="H110" s="122"/>
    </row>
    <row r="111" spans="1:14" s="7" customFormat="1" hidden="1" x14ac:dyDescent="0.25">
      <c r="A111" s="71" t="s">
        <v>212</v>
      </c>
      <c r="B111" s="71"/>
      <c r="C111" s="71"/>
      <c r="D111" s="71"/>
      <c r="E111" s="71"/>
      <c r="F111" s="122">
        <v>30000</v>
      </c>
      <c r="G111" s="122"/>
      <c r="H111" s="122"/>
    </row>
    <row r="112" spans="1:14" s="7" customFormat="1" hidden="1" x14ac:dyDescent="0.25">
      <c r="A112" s="71" t="s">
        <v>103</v>
      </c>
      <c r="B112" s="71"/>
      <c r="C112" s="71"/>
      <c r="D112" s="71"/>
      <c r="E112" s="71"/>
      <c r="F112" s="122">
        <v>5000</v>
      </c>
      <c r="G112" s="122"/>
      <c r="H112" s="122"/>
    </row>
    <row r="113" spans="1:8" s="7" customFormat="1" hidden="1" x14ac:dyDescent="0.25">
      <c r="A113" s="71" t="s">
        <v>214</v>
      </c>
      <c r="B113" s="71"/>
      <c r="C113" s="71"/>
      <c r="D113" s="71"/>
      <c r="E113" s="71"/>
      <c r="F113" s="122">
        <v>25000</v>
      </c>
      <c r="G113" s="122"/>
      <c r="H113" s="122"/>
    </row>
    <row r="114" spans="1:8" s="7" customFormat="1" hidden="1" x14ac:dyDescent="0.25">
      <c r="A114" s="71" t="s">
        <v>211</v>
      </c>
      <c r="B114" s="71"/>
      <c r="C114" s="71"/>
      <c r="D114" s="71"/>
      <c r="E114" s="71"/>
      <c r="F114" s="122">
        <v>225000</v>
      </c>
      <c r="G114" s="122"/>
      <c r="H114" s="122"/>
    </row>
    <row r="115" spans="1:8" x14ac:dyDescent="0.25">
      <c r="A115" s="71" t="s">
        <v>56</v>
      </c>
      <c r="B115" s="71"/>
      <c r="C115" s="71"/>
      <c r="D115" s="71"/>
      <c r="E115" s="71"/>
      <c r="F115" s="122">
        <v>700000</v>
      </c>
      <c r="G115" s="122"/>
      <c r="H115" s="122"/>
    </row>
    <row r="116" spans="1:8" s="4" customFormat="1" x14ac:dyDescent="0.25">
      <c r="A116" s="85" t="s">
        <v>57</v>
      </c>
      <c r="B116" s="85"/>
      <c r="C116" s="85"/>
      <c r="D116" s="85"/>
      <c r="E116" s="85"/>
      <c r="F116" s="122">
        <f>F106*0.8</f>
        <v>10080</v>
      </c>
      <c r="G116" s="122"/>
      <c r="H116" s="122"/>
    </row>
    <row r="117" spans="1:8" s="1" customFormat="1" ht="15.75" customHeight="1" x14ac:dyDescent="0.25">
      <c r="A117" s="94" t="s">
        <v>82</v>
      </c>
      <c r="B117" s="94"/>
      <c r="C117" s="94"/>
      <c r="D117" s="94"/>
      <c r="E117" s="94"/>
      <c r="F117" s="94"/>
      <c r="G117" s="94"/>
      <c r="H117" s="94"/>
    </row>
    <row r="118" spans="1:8" s="1" customFormat="1" ht="15.75" customHeight="1" x14ac:dyDescent="0.25">
      <c r="A118" s="73" t="s">
        <v>58</v>
      </c>
      <c r="B118" s="73"/>
      <c r="C118" s="96" t="s">
        <v>85</v>
      </c>
      <c r="D118" s="96"/>
      <c r="E118" s="91" t="s">
        <v>59</v>
      </c>
      <c r="F118" s="91"/>
      <c r="G118" s="73" t="s">
        <v>60</v>
      </c>
      <c r="H118" s="73"/>
    </row>
    <row r="119" spans="1:8" s="1" customFormat="1" x14ac:dyDescent="0.25">
      <c r="A119" s="123" t="s">
        <v>180</v>
      </c>
      <c r="B119" s="123"/>
      <c r="C119" s="92">
        <f>COUNT(D135:D147)</f>
        <v>13</v>
      </c>
      <c r="D119" s="93"/>
      <c r="E119" s="86">
        <f>SUM(D135:D147)</f>
        <v>4107.1118399999996</v>
      </c>
      <c r="F119" s="87"/>
      <c r="G119" s="86">
        <f>SUM(F135:F147)</f>
        <v>6571.378944</v>
      </c>
      <c r="H119" s="87"/>
    </row>
    <row r="120" spans="1:8" s="1" customFormat="1" x14ac:dyDescent="0.25">
      <c r="A120" s="123" t="s">
        <v>185</v>
      </c>
      <c r="B120" s="123"/>
      <c r="C120" s="92">
        <f>COUNT(D150:D162)</f>
        <v>13</v>
      </c>
      <c r="D120" s="93"/>
      <c r="E120" s="86">
        <f>SUM(D150:D162)</f>
        <v>4065.4551599999995</v>
      </c>
      <c r="F120" s="87"/>
      <c r="G120" s="86">
        <f>SUM(F150:F162)</f>
        <v>6504.7282559999994</v>
      </c>
      <c r="H120" s="87"/>
    </row>
    <row r="121" spans="1:8" s="1" customFormat="1" x14ac:dyDescent="0.25">
      <c r="A121" s="94" t="s">
        <v>156</v>
      </c>
      <c r="B121" s="94"/>
      <c r="C121" s="95">
        <f>SUM(C119:D120)</f>
        <v>26</v>
      </c>
      <c r="D121" s="96"/>
      <c r="E121" s="90">
        <f>SUM(E119:F120)</f>
        <v>8172.5669999999991</v>
      </c>
      <c r="F121" s="91"/>
      <c r="G121" s="73">
        <f>SUM(G119:H120)</f>
        <v>13076.107199999999</v>
      </c>
      <c r="H121" s="73"/>
    </row>
    <row r="122" spans="1:8" s="1" customFormat="1" x14ac:dyDescent="0.25">
      <c r="A122" s="94" t="s">
        <v>76</v>
      </c>
      <c r="B122" s="94"/>
      <c r="C122" s="94"/>
      <c r="D122" s="94"/>
      <c r="E122" s="94"/>
      <c r="F122" s="94"/>
      <c r="G122" s="94"/>
      <c r="H122" s="94"/>
    </row>
    <row r="123" spans="1:8" s="1" customFormat="1" ht="15.75" customHeight="1" x14ac:dyDescent="0.25">
      <c r="A123" s="73" t="s">
        <v>58</v>
      </c>
      <c r="B123" s="73"/>
      <c r="C123" s="96" t="s">
        <v>85</v>
      </c>
      <c r="D123" s="96"/>
      <c r="E123" s="91" t="s">
        <v>59</v>
      </c>
      <c r="F123" s="91"/>
      <c r="G123" s="73" t="s">
        <v>60</v>
      </c>
      <c r="H123" s="73"/>
    </row>
    <row r="124" spans="1:8" s="1" customFormat="1" x14ac:dyDescent="0.25">
      <c r="A124" s="123" t="s">
        <v>206</v>
      </c>
      <c r="B124" s="123"/>
      <c r="C124" s="93">
        <f>COUNT(D173:D176)+COUNT(D178)+COUNT(D181:D185)+COUNT(D187)*6+COUNT(D190:D194)*6+COUNT(D196)*20+COUNT(D199:D203)*20+COUNT(D205)+COUNT(D207:D212)+COUNT(D214:D221)</f>
        <v>181</v>
      </c>
      <c r="D124" s="93"/>
      <c r="E124" s="86">
        <f>SUM(D173:D176)+SUM(D178)+SUM(D181:D185)+SUM(D187)*6+SUM(D190:D194)*6+SUM(D196)*20+SUM(D199:D203)*20+SUM(D205)+SUM(D207:D212)+SUM(D214:D221)</f>
        <v>135485.49924</v>
      </c>
      <c r="F124" s="86"/>
      <c r="G124" s="86">
        <f>SUM(F173:F176)+SUM(F178)+SUM(F181:F185)+SUM(F187)*6+SUM(F190:F194)*6+SUM(F196)*20+SUM(F199:F203)*20+SUM(F205)+SUM(F207:F212)+SUM(F214:F221)</f>
        <v>216776.79878399996</v>
      </c>
      <c r="H124" s="86"/>
    </row>
    <row r="125" spans="1:8" s="1" customFormat="1" x14ac:dyDescent="0.25">
      <c r="A125" s="123" t="s">
        <v>185</v>
      </c>
      <c r="B125" s="123"/>
      <c r="C125" s="93">
        <f>COUNT(D230:D233)+COUNT(D235:D242)+COUNT(D244)*6+COUNT(D246:D251)*6+COUNT(D253:D260)*22</f>
        <v>230</v>
      </c>
      <c r="D125" s="93"/>
      <c r="E125" s="86">
        <f>SUM(D230:D233)+SUM(D235:D242)+SUM(D244)*6+SUM(D246:D251)*6+SUM(D253:D260)*22</f>
        <v>163052.31851999997</v>
      </c>
      <c r="F125" s="86"/>
      <c r="G125" s="86">
        <f>SUM(F230:F233)+SUM(F235:F242)+SUM(F244)*6+SUM(F246:F251)*6+SUM(F253:F260)*22</f>
        <v>260883.70963199995</v>
      </c>
      <c r="H125" s="86"/>
    </row>
    <row r="126" spans="1:8" s="1" customFormat="1" x14ac:dyDescent="0.25">
      <c r="A126" s="123" t="s">
        <v>203</v>
      </c>
      <c r="B126" s="123"/>
      <c r="C126" s="93">
        <f>COUNT(D265:D269)+COUNT(D271:D278)*10+COUNT(D280:D284)*3+COUNT(D286:D287)*3</f>
        <v>106</v>
      </c>
      <c r="D126" s="93"/>
      <c r="E126" s="86">
        <f>SUM(D265:D269)+SUM(D271:D278)*10+SUM(D280:D284)*3+SUM(D286:D287)*3</f>
        <v>75612.256199999989</v>
      </c>
      <c r="F126" s="86"/>
      <c r="G126" s="86">
        <f>SUM(F265:F269)+SUM(F271:F278)*10+SUM(F280:F284)*3+SUM(F286:F287)*3</f>
        <v>120979.60991999999</v>
      </c>
      <c r="H126" s="86"/>
    </row>
    <row r="127" spans="1:8" s="1" customFormat="1" x14ac:dyDescent="0.25">
      <c r="A127" s="94" t="s">
        <v>207</v>
      </c>
      <c r="B127" s="94"/>
      <c r="C127" s="96">
        <f>SUM(C124:D126)</f>
        <v>517</v>
      </c>
      <c r="D127" s="96"/>
      <c r="E127" s="90">
        <f>SUM(E124:F126)</f>
        <v>374150.07396000001</v>
      </c>
      <c r="F127" s="91"/>
      <c r="G127" s="73">
        <f>SUM(G124:H126)</f>
        <v>598640.1183359999</v>
      </c>
      <c r="H127" s="73"/>
    </row>
    <row r="128" spans="1:8" s="1" customFormat="1" ht="33" customHeight="1" thickBot="1" x14ac:dyDescent="0.3">
      <c r="A128" s="121" t="s">
        <v>208</v>
      </c>
      <c r="B128" s="121"/>
      <c r="C128" s="185">
        <f>COUNT(D179:D180)+COUNT(D189)*6+COUNT(D197:D198)*20+COUNT(D206)</f>
        <v>49</v>
      </c>
      <c r="D128" s="185"/>
      <c r="E128" s="186">
        <f>SUM(D179:D180)+SUM(D189)*6+SUM(D197:D198)*20+SUM(D206)</f>
        <v>24135.471359999992</v>
      </c>
      <c r="F128" s="186"/>
      <c r="G128" s="186">
        <f>SUM(F179:F180)+SUM(F189)*6+SUM(F197:F198)*20+SUM(F206)</f>
        <v>38616.754175999995</v>
      </c>
      <c r="H128" s="186"/>
    </row>
    <row r="129" spans="1:14" s="4" customFormat="1" x14ac:dyDescent="0.25">
      <c r="A129" s="187" t="s">
        <v>61</v>
      </c>
      <c r="B129" s="187"/>
      <c r="C129" s="187"/>
      <c r="D129" s="187"/>
      <c r="E129" s="187"/>
      <c r="F129" s="187"/>
      <c r="G129" s="187"/>
      <c r="H129" s="187"/>
    </row>
    <row r="130" spans="1:14" x14ac:dyDescent="0.25">
      <c r="A130" s="162" t="s">
        <v>62</v>
      </c>
      <c r="B130" s="162"/>
      <c r="C130" s="162"/>
      <c r="D130" s="162"/>
      <c r="E130" s="162"/>
      <c r="F130" s="162"/>
      <c r="G130" s="162"/>
      <c r="H130" s="162"/>
    </row>
    <row r="131" spans="1:14" ht="47.25" customHeight="1" x14ac:dyDescent="0.25">
      <c r="A131" s="74" t="s">
        <v>124</v>
      </c>
      <c r="B131" s="74" t="s">
        <v>182</v>
      </c>
      <c r="C131" s="74" t="s">
        <v>63</v>
      </c>
      <c r="D131" s="74" t="s">
        <v>64</v>
      </c>
      <c r="E131" s="76" t="s">
        <v>65</v>
      </c>
      <c r="F131" s="25" t="s">
        <v>155</v>
      </c>
      <c r="G131" s="78" t="s">
        <v>66</v>
      </c>
      <c r="H131" s="79"/>
    </row>
    <row r="132" spans="1:14" s="2" customFormat="1" x14ac:dyDescent="0.25">
      <c r="A132" s="75"/>
      <c r="B132" s="75"/>
      <c r="C132" s="75"/>
      <c r="D132" s="75"/>
      <c r="E132" s="77"/>
      <c r="F132" s="26">
        <v>0.6</v>
      </c>
      <c r="G132" s="80"/>
      <c r="H132" s="81"/>
    </row>
    <row r="133" spans="1:14" s="2" customFormat="1" x14ac:dyDescent="0.25">
      <c r="A133" s="115" t="s">
        <v>222</v>
      </c>
      <c r="B133" s="116"/>
      <c r="C133" s="116"/>
      <c r="D133" s="116"/>
      <c r="E133" s="116"/>
      <c r="F133" s="116"/>
      <c r="G133" s="116"/>
      <c r="H133" s="117"/>
      <c r="J133" s="28"/>
    </row>
    <row r="134" spans="1:14" s="2" customFormat="1" x14ac:dyDescent="0.25">
      <c r="A134" s="115" t="s">
        <v>181</v>
      </c>
      <c r="B134" s="116"/>
      <c r="C134" s="116"/>
      <c r="D134" s="116"/>
      <c r="E134" s="116"/>
      <c r="F134" s="116"/>
      <c r="G134" s="116"/>
      <c r="H134" s="117"/>
      <c r="J134" s="28"/>
    </row>
    <row r="135" spans="1:14" s="2" customFormat="1" x14ac:dyDescent="0.25">
      <c r="A135" s="35">
        <v>1</v>
      </c>
      <c r="B135" s="27" t="s">
        <v>183</v>
      </c>
      <c r="C135" s="27" t="s">
        <v>184</v>
      </c>
      <c r="D135" s="54">
        <f>32.19*10.764</f>
        <v>346.49315999999993</v>
      </c>
      <c r="E135" s="27">
        <v>0</v>
      </c>
      <c r="F135" s="27">
        <f>D135*(($F$132)+1)+(IF(E135&lt;101,E135,IF(E135&lt;201,E135/2,IF(E135&lt;=301,E135/3,E135/4))))</f>
        <v>554.38905599999987</v>
      </c>
      <c r="G135" s="118" t="str">
        <f>A134</f>
        <v>Ground Floor for Commercial &amp; Parking</v>
      </c>
      <c r="H135" s="120"/>
      <c r="I135" s="28"/>
      <c r="L135" s="184"/>
      <c r="M135" s="184"/>
      <c r="N135" s="28"/>
    </row>
    <row r="136" spans="1:14" s="2" customFormat="1" x14ac:dyDescent="0.25">
      <c r="A136" s="35">
        <f t="shared" ref="A136:A147" si="0">A135+1</f>
        <v>2</v>
      </c>
      <c r="B136" s="27" t="s">
        <v>183</v>
      </c>
      <c r="C136" s="27" t="s">
        <v>184</v>
      </c>
      <c r="D136" s="54">
        <f>19.72*10.764</f>
        <v>212.26607999999999</v>
      </c>
      <c r="E136" s="27">
        <v>0</v>
      </c>
      <c r="F136" s="27">
        <f t="shared" ref="F136:F141" si="1">D136*(($F$132)+1)+(IF(E136&lt;101,E136,IF(E136&lt;201,E136/2,IF(E136&lt;=301,E136/3,E136/4))))</f>
        <v>339.62572799999998</v>
      </c>
      <c r="G136" s="118" t="str">
        <f t="shared" ref="G136:G147" si="2">G135</f>
        <v>Ground Floor for Commercial &amp; Parking</v>
      </c>
      <c r="H136" s="120"/>
      <c r="I136" s="28"/>
      <c r="L136" s="184"/>
      <c r="M136" s="184"/>
      <c r="N136" s="28"/>
    </row>
    <row r="137" spans="1:14" s="2" customFormat="1" x14ac:dyDescent="0.25">
      <c r="A137" s="35">
        <f t="shared" si="0"/>
        <v>3</v>
      </c>
      <c r="B137" s="27" t="s">
        <v>183</v>
      </c>
      <c r="C137" s="27" t="s">
        <v>184</v>
      </c>
      <c r="D137" s="54">
        <f>28.79*10.764</f>
        <v>309.89555999999999</v>
      </c>
      <c r="E137" s="27">
        <v>0</v>
      </c>
      <c r="F137" s="27">
        <f t="shared" si="1"/>
        <v>495.83289600000001</v>
      </c>
      <c r="G137" s="118" t="str">
        <f t="shared" si="2"/>
        <v>Ground Floor for Commercial &amp; Parking</v>
      </c>
      <c r="H137" s="120"/>
      <c r="I137" s="28"/>
      <c r="L137" s="184"/>
      <c r="M137" s="184"/>
      <c r="N137" s="28"/>
    </row>
    <row r="138" spans="1:14" s="2" customFormat="1" x14ac:dyDescent="0.25">
      <c r="A138" s="35">
        <f t="shared" si="0"/>
        <v>4</v>
      </c>
      <c r="B138" s="27" t="s">
        <v>183</v>
      </c>
      <c r="C138" s="27" t="s">
        <v>184</v>
      </c>
      <c r="D138" s="54">
        <f>29.91*10.764</f>
        <v>321.95123999999998</v>
      </c>
      <c r="E138" s="27">
        <v>0</v>
      </c>
      <c r="F138" s="27">
        <f t="shared" si="1"/>
        <v>515.121984</v>
      </c>
      <c r="G138" s="118" t="str">
        <f t="shared" si="2"/>
        <v>Ground Floor for Commercial &amp; Parking</v>
      </c>
      <c r="H138" s="120"/>
      <c r="I138" s="28"/>
      <c r="L138" s="184"/>
      <c r="M138" s="184"/>
      <c r="N138" s="28"/>
    </row>
    <row r="139" spans="1:14" s="2" customFormat="1" x14ac:dyDescent="0.25">
      <c r="A139" s="35">
        <f t="shared" si="0"/>
        <v>5</v>
      </c>
      <c r="B139" s="27" t="s">
        <v>183</v>
      </c>
      <c r="C139" s="27" t="s">
        <v>184</v>
      </c>
      <c r="D139" s="54">
        <f>39.29*10.764</f>
        <v>422.91755999999998</v>
      </c>
      <c r="E139" s="27">
        <v>0</v>
      </c>
      <c r="F139" s="27">
        <f t="shared" si="1"/>
        <v>676.66809599999999</v>
      </c>
      <c r="G139" s="118" t="str">
        <f t="shared" si="2"/>
        <v>Ground Floor for Commercial &amp; Parking</v>
      </c>
      <c r="H139" s="120"/>
      <c r="I139" s="28"/>
      <c r="L139" s="184"/>
      <c r="M139" s="184"/>
      <c r="N139" s="28"/>
    </row>
    <row r="140" spans="1:14" s="2" customFormat="1" x14ac:dyDescent="0.25">
      <c r="A140" s="35">
        <f t="shared" si="0"/>
        <v>6</v>
      </c>
      <c r="B140" s="27" t="s">
        <v>183</v>
      </c>
      <c r="C140" s="27" t="s">
        <v>184</v>
      </c>
      <c r="D140" s="54">
        <f>30.25*10.764</f>
        <v>325.61099999999999</v>
      </c>
      <c r="E140" s="27">
        <v>0</v>
      </c>
      <c r="F140" s="27">
        <f t="shared" si="1"/>
        <v>520.97760000000005</v>
      </c>
      <c r="G140" s="118" t="str">
        <f t="shared" si="2"/>
        <v>Ground Floor for Commercial &amp; Parking</v>
      </c>
      <c r="H140" s="120"/>
      <c r="I140" s="28"/>
      <c r="L140" s="184"/>
      <c r="M140" s="184"/>
      <c r="N140" s="28"/>
    </row>
    <row r="141" spans="1:14" s="2" customFormat="1" x14ac:dyDescent="0.25">
      <c r="A141" s="35">
        <f t="shared" si="0"/>
        <v>7</v>
      </c>
      <c r="B141" s="27" t="s">
        <v>183</v>
      </c>
      <c r="C141" s="27" t="s">
        <v>184</v>
      </c>
      <c r="D141" s="54">
        <f>34.03*10.764</f>
        <v>366.29892000000001</v>
      </c>
      <c r="E141" s="27">
        <v>0</v>
      </c>
      <c r="F141" s="27">
        <f t="shared" si="1"/>
        <v>586.07827200000008</v>
      </c>
      <c r="G141" s="118" t="str">
        <f t="shared" si="2"/>
        <v>Ground Floor for Commercial &amp; Parking</v>
      </c>
      <c r="H141" s="120"/>
      <c r="I141" s="28"/>
      <c r="L141" s="184"/>
      <c r="M141" s="184"/>
      <c r="N141" s="28"/>
    </row>
    <row r="142" spans="1:14" s="2" customFormat="1" x14ac:dyDescent="0.25">
      <c r="A142" s="35">
        <f t="shared" si="0"/>
        <v>8</v>
      </c>
      <c r="B142" s="27" t="s">
        <v>183</v>
      </c>
      <c r="C142" s="27" t="s">
        <v>184</v>
      </c>
      <c r="D142" s="54">
        <f>24.88*10.764</f>
        <v>267.80831999999998</v>
      </c>
      <c r="E142" s="27">
        <v>0</v>
      </c>
      <c r="F142" s="27">
        <f t="shared" ref="F142:F146" si="3">D142*(($F$132)+1)+(IF(E142&lt;101,E142,IF(E142&lt;201,E142/2,IF(E142&lt;=301,E142/3,E142/4))))</f>
        <v>428.493312</v>
      </c>
      <c r="G142" s="118" t="str">
        <f t="shared" si="2"/>
        <v>Ground Floor for Commercial &amp; Parking</v>
      </c>
      <c r="H142" s="120"/>
      <c r="I142" s="28"/>
      <c r="L142" s="184"/>
      <c r="M142" s="184"/>
      <c r="N142" s="28"/>
    </row>
    <row r="143" spans="1:14" s="2" customFormat="1" x14ac:dyDescent="0.25">
      <c r="A143" s="35">
        <f t="shared" si="0"/>
        <v>9</v>
      </c>
      <c r="B143" s="27" t="s">
        <v>183</v>
      </c>
      <c r="C143" s="27" t="s">
        <v>184</v>
      </c>
      <c r="D143" s="54">
        <f>28.79*10.764</f>
        <v>309.89555999999999</v>
      </c>
      <c r="E143" s="27">
        <v>0</v>
      </c>
      <c r="F143" s="27">
        <f t="shared" si="3"/>
        <v>495.83289600000001</v>
      </c>
      <c r="G143" s="118" t="str">
        <f t="shared" si="2"/>
        <v>Ground Floor for Commercial &amp; Parking</v>
      </c>
      <c r="H143" s="120"/>
      <c r="I143" s="28"/>
      <c r="L143" s="184"/>
      <c r="M143" s="184"/>
      <c r="N143" s="28"/>
    </row>
    <row r="144" spans="1:14" s="2" customFormat="1" x14ac:dyDescent="0.25">
      <c r="A144" s="35">
        <f t="shared" si="0"/>
        <v>10</v>
      </c>
      <c r="B144" s="27" t="s">
        <v>183</v>
      </c>
      <c r="C144" s="27" t="s">
        <v>184</v>
      </c>
      <c r="D144" s="54">
        <f>19.72*10.764</f>
        <v>212.26607999999999</v>
      </c>
      <c r="E144" s="27">
        <v>0</v>
      </c>
      <c r="F144" s="27">
        <f t="shared" si="3"/>
        <v>339.62572799999998</v>
      </c>
      <c r="G144" s="118" t="str">
        <f t="shared" si="2"/>
        <v>Ground Floor for Commercial &amp; Parking</v>
      </c>
      <c r="H144" s="120"/>
      <c r="I144" s="28"/>
      <c r="L144" s="184"/>
      <c r="M144" s="184"/>
      <c r="N144" s="28"/>
    </row>
    <row r="145" spans="1:14" s="2" customFormat="1" x14ac:dyDescent="0.25">
      <c r="A145" s="35">
        <f t="shared" si="0"/>
        <v>11</v>
      </c>
      <c r="B145" s="27" t="s">
        <v>183</v>
      </c>
      <c r="C145" s="27" t="s">
        <v>184</v>
      </c>
      <c r="D145" s="54">
        <f>32.19*10.764</f>
        <v>346.49315999999993</v>
      </c>
      <c r="E145" s="27">
        <v>0</v>
      </c>
      <c r="F145" s="27">
        <f t="shared" si="3"/>
        <v>554.38905599999987</v>
      </c>
      <c r="G145" s="118" t="str">
        <f t="shared" si="2"/>
        <v>Ground Floor for Commercial &amp; Parking</v>
      </c>
      <c r="H145" s="120"/>
      <c r="I145" s="28"/>
      <c r="L145" s="184"/>
      <c r="M145" s="184"/>
      <c r="N145" s="28"/>
    </row>
    <row r="146" spans="1:14" s="2" customFormat="1" x14ac:dyDescent="0.25">
      <c r="A146" s="35">
        <f t="shared" si="0"/>
        <v>12</v>
      </c>
      <c r="B146" s="27" t="s">
        <v>183</v>
      </c>
      <c r="C146" s="27" t="s">
        <v>184</v>
      </c>
      <c r="D146" s="54">
        <f>30.9*10.764</f>
        <v>332.60759999999999</v>
      </c>
      <c r="E146" s="27">
        <v>0</v>
      </c>
      <c r="F146" s="27">
        <f t="shared" si="3"/>
        <v>532.17215999999996</v>
      </c>
      <c r="G146" s="118" t="str">
        <f t="shared" si="2"/>
        <v>Ground Floor for Commercial &amp; Parking</v>
      </c>
      <c r="H146" s="120"/>
      <c r="I146" s="28"/>
      <c r="L146" s="184"/>
      <c r="M146" s="184"/>
      <c r="N146" s="28"/>
    </row>
    <row r="147" spans="1:14" s="2" customFormat="1" x14ac:dyDescent="0.25">
      <c r="A147" s="35">
        <f t="shared" si="0"/>
        <v>13</v>
      </c>
      <c r="B147" s="27" t="s">
        <v>183</v>
      </c>
      <c r="C147" s="27" t="s">
        <v>184</v>
      </c>
      <c r="D147" s="54">
        <f>30.9*10.764</f>
        <v>332.60759999999999</v>
      </c>
      <c r="E147" s="27">
        <v>0</v>
      </c>
      <c r="F147" s="27">
        <f t="shared" ref="F147" si="4">D147*(($F$132)+1)+(IF(E147&lt;101,E147,IF(E147&lt;201,E147/2,IF(E147&lt;=301,E147/3,E147/4))))</f>
        <v>532.17215999999996</v>
      </c>
      <c r="G147" s="118" t="str">
        <f t="shared" si="2"/>
        <v>Ground Floor for Commercial &amp; Parking</v>
      </c>
      <c r="H147" s="120"/>
      <c r="I147" s="28"/>
      <c r="L147" s="184"/>
      <c r="M147" s="184"/>
      <c r="N147" s="28"/>
    </row>
    <row r="148" spans="1:14" s="2" customFormat="1" x14ac:dyDescent="0.25">
      <c r="A148" s="115" t="s">
        <v>223</v>
      </c>
      <c r="B148" s="116"/>
      <c r="C148" s="116"/>
      <c r="D148" s="116"/>
      <c r="E148" s="116"/>
      <c r="F148" s="116"/>
      <c r="G148" s="116"/>
      <c r="H148" s="117"/>
      <c r="J148" s="28"/>
    </row>
    <row r="149" spans="1:14" s="2" customFormat="1" x14ac:dyDescent="0.25">
      <c r="A149" s="115" t="s">
        <v>181</v>
      </c>
      <c r="B149" s="116"/>
      <c r="C149" s="116"/>
      <c r="D149" s="116"/>
      <c r="E149" s="116"/>
      <c r="F149" s="116"/>
      <c r="G149" s="116"/>
      <c r="H149" s="117"/>
      <c r="J149" s="28"/>
    </row>
    <row r="150" spans="1:14" s="2" customFormat="1" x14ac:dyDescent="0.25">
      <c r="A150" s="35">
        <v>1</v>
      </c>
      <c r="B150" s="27" t="s">
        <v>183</v>
      </c>
      <c r="C150" s="27" t="s">
        <v>184</v>
      </c>
      <c r="D150" s="54">
        <f>30.9*10.764</f>
        <v>332.60759999999999</v>
      </c>
      <c r="E150" s="27">
        <v>0</v>
      </c>
      <c r="F150" s="27">
        <f>D150*(($F$132)+1)+(IF(E150&lt;101,E150,IF(E150&lt;201,E150/2,IF(E150&lt;=301,E150/3,E150/4))))</f>
        <v>532.17215999999996</v>
      </c>
      <c r="G150" s="118" t="str">
        <f>A149</f>
        <v>Ground Floor for Commercial &amp; Parking</v>
      </c>
      <c r="H150" s="120"/>
      <c r="I150" s="28"/>
      <c r="L150" s="184"/>
      <c r="M150" s="184"/>
      <c r="N150" s="28"/>
    </row>
    <row r="151" spans="1:14" s="2" customFormat="1" x14ac:dyDescent="0.25">
      <c r="A151" s="35">
        <f t="shared" ref="A151:A162" si="5">A150+1</f>
        <v>2</v>
      </c>
      <c r="B151" s="27" t="s">
        <v>183</v>
      </c>
      <c r="C151" s="27" t="s">
        <v>184</v>
      </c>
      <c r="D151" s="54">
        <f>30.9*10.764</f>
        <v>332.60759999999999</v>
      </c>
      <c r="E151" s="27">
        <v>0</v>
      </c>
      <c r="F151" s="27">
        <f t="shared" ref="F151:F162" si="6">D151*(($F$132)+1)+(IF(E151&lt;101,E151,IF(E151&lt;201,E151/2,IF(E151&lt;=301,E151/3,E151/4))))</f>
        <v>532.17215999999996</v>
      </c>
      <c r="G151" s="118" t="str">
        <f t="shared" ref="G151:G162" si="7">G150</f>
        <v>Ground Floor for Commercial &amp; Parking</v>
      </c>
      <c r="H151" s="120"/>
      <c r="I151" s="28"/>
      <c r="L151" s="184"/>
      <c r="M151" s="184"/>
      <c r="N151" s="28"/>
    </row>
    <row r="152" spans="1:14" s="2" customFormat="1" x14ac:dyDescent="0.25">
      <c r="A152" s="35">
        <f t="shared" si="5"/>
        <v>3</v>
      </c>
      <c r="B152" s="27" t="s">
        <v>183</v>
      </c>
      <c r="C152" s="27" t="s">
        <v>184</v>
      </c>
      <c r="D152" s="54">
        <f>32.19*10.764</f>
        <v>346.49315999999993</v>
      </c>
      <c r="E152" s="27">
        <v>0</v>
      </c>
      <c r="F152" s="27">
        <f t="shared" si="6"/>
        <v>554.38905599999987</v>
      </c>
      <c r="G152" s="118" t="str">
        <f t="shared" si="7"/>
        <v>Ground Floor for Commercial &amp; Parking</v>
      </c>
      <c r="H152" s="120"/>
      <c r="I152" s="28"/>
      <c r="L152" s="184"/>
      <c r="M152" s="184"/>
      <c r="N152" s="28"/>
    </row>
    <row r="153" spans="1:14" s="2" customFormat="1" x14ac:dyDescent="0.25">
      <c r="A153" s="35">
        <f t="shared" si="5"/>
        <v>4</v>
      </c>
      <c r="B153" s="27" t="s">
        <v>183</v>
      </c>
      <c r="C153" s="27" t="s">
        <v>184</v>
      </c>
      <c r="D153" s="54">
        <f>19.72*10.764</f>
        <v>212.26607999999999</v>
      </c>
      <c r="E153" s="27">
        <v>0</v>
      </c>
      <c r="F153" s="27">
        <f t="shared" si="6"/>
        <v>339.62572799999998</v>
      </c>
      <c r="G153" s="118" t="str">
        <f t="shared" si="7"/>
        <v>Ground Floor for Commercial &amp; Parking</v>
      </c>
      <c r="H153" s="120"/>
      <c r="I153" s="28"/>
      <c r="L153" s="184"/>
      <c r="M153" s="184"/>
      <c r="N153" s="28"/>
    </row>
    <row r="154" spans="1:14" s="2" customFormat="1" x14ac:dyDescent="0.25">
      <c r="A154" s="35">
        <f t="shared" si="5"/>
        <v>5</v>
      </c>
      <c r="B154" s="27" t="s">
        <v>183</v>
      </c>
      <c r="C154" s="27" t="s">
        <v>184</v>
      </c>
      <c r="D154" s="54">
        <f>28.79*10.764</f>
        <v>309.89555999999999</v>
      </c>
      <c r="E154" s="27">
        <v>0</v>
      </c>
      <c r="F154" s="27">
        <f t="shared" si="6"/>
        <v>495.83289600000001</v>
      </c>
      <c r="G154" s="118" t="str">
        <f t="shared" si="7"/>
        <v>Ground Floor for Commercial &amp; Parking</v>
      </c>
      <c r="H154" s="120"/>
      <c r="I154" s="28"/>
      <c r="L154" s="184"/>
      <c r="M154" s="184"/>
      <c r="N154" s="28"/>
    </row>
    <row r="155" spans="1:14" s="2" customFormat="1" x14ac:dyDescent="0.25">
      <c r="A155" s="35">
        <f t="shared" si="5"/>
        <v>6</v>
      </c>
      <c r="B155" s="27" t="s">
        <v>183</v>
      </c>
      <c r="C155" s="27" t="s">
        <v>184</v>
      </c>
      <c r="D155" s="54">
        <f>24.88*10.764</f>
        <v>267.80831999999998</v>
      </c>
      <c r="E155" s="27">
        <v>0</v>
      </c>
      <c r="F155" s="27">
        <f t="shared" si="6"/>
        <v>428.493312</v>
      </c>
      <c r="G155" s="118" t="str">
        <f t="shared" si="7"/>
        <v>Ground Floor for Commercial &amp; Parking</v>
      </c>
      <c r="H155" s="120"/>
      <c r="I155" s="28"/>
      <c r="L155" s="184"/>
      <c r="M155" s="184"/>
      <c r="N155" s="28"/>
    </row>
    <row r="156" spans="1:14" s="2" customFormat="1" x14ac:dyDescent="0.25">
      <c r="A156" s="35">
        <f t="shared" si="5"/>
        <v>7</v>
      </c>
      <c r="B156" s="27" t="s">
        <v>183</v>
      </c>
      <c r="C156" s="27" t="s">
        <v>184</v>
      </c>
      <c r="D156" s="54">
        <f>33.06*10.764</f>
        <v>355.85784000000001</v>
      </c>
      <c r="E156" s="27">
        <v>0</v>
      </c>
      <c r="F156" s="27">
        <f t="shared" si="6"/>
        <v>569.37254400000006</v>
      </c>
      <c r="G156" s="118" t="str">
        <f t="shared" si="7"/>
        <v>Ground Floor for Commercial &amp; Parking</v>
      </c>
      <c r="H156" s="120"/>
      <c r="I156" s="28"/>
      <c r="L156" s="184"/>
      <c r="M156" s="184"/>
      <c r="N156" s="28"/>
    </row>
    <row r="157" spans="1:14" s="2" customFormat="1" x14ac:dyDescent="0.25">
      <c r="A157" s="35">
        <f t="shared" si="5"/>
        <v>8</v>
      </c>
      <c r="B157" s="27" t="s">
        <v>183</v>
      </c>
      <c r="C157" s="27" t="s">
        <v>184</v>
      </c>
      <c r="D157" s="54">
        <f>28.49*10.764</f>
        <v>306.66635999999994</v>
      </c>
      <c r="E157" s="27">
        <v>0</v>
      </c>
      <c r="F157" s="27">
        <f t="shared" si="6"/>
        <v>490.66617599999995</v>
      </c>
      <c r="G157" s="118" t="str">
        <f t="shared" si="7"/>
        <v>Ground Floor for Commercial &amp; Parking</v>
      </c>
      <c r="H157" s="120"/>
      <c r="I157" s="28"/>
      <c r="L157" s="184"/>
      <c r="M157" s="184"/>
      <c r="N157" s="28"/>
    </row>
    <row r="158" spans="1:14" s="2" customFormat="1" x14ac:dyDescent="0.25">
      <c r="A158" s="35">
        <f t="shared" si="5"/>
        <v>9</v>
      </c>
      <c r="B158" s="27" t="s">
        <v>183</v>
      </c>
      <c r="C158" s="27" t="s">
        <v>184</v>
      </c>
      <c r="D158" s="54">
        <f>38.15*10.764</f>
        <v>410.64659999999998</v>
      </c>
      <c r="E158" s="27">
        <v>0</v>
      </c>
      <c r="F158" s="27">
        <f t="shared" si="6"/>
        <v>657.03456000000006</v>
      </c>
      <c r="G158" s="118" t="str">
        <f t="shared" si="7"/>
        <v>Ground Floor for Commercial &amp; Parking</v>
      </c>
      <c r="H158" s="120"/>
      <c r="I158" s="28"/>
      <c r="L158" s="184"/>
      <c r="M158" s="184"/>
      <c r="N158" s="28"/>
    </row>
    <row r="159" spans="1:14" s="2" customFormat="1" x14ac:dyDescent="0.25">
      <c r="A159" s="35">
        <f t="shared" si="5"/>
        <v>10</v>
      </c>
      <c r="B159" s="27" t="s">
        <v>183</v>
      </c>
      <c r="C159" s="27" t="s">
        <v>184</v>
      </c>
      <c r="D159" s="54">
        <f>29.91*10.764</f>
        <v>321.95123999999998</v>
      </c>
      <c r="E159" s="27">
        <v>0</v>
      </c>
      <c r="F159" s="27">
        <f t="shared" si="6"/>
        <v>515.121984</v>
      </c>
      <c r="G159" s="118" t="str">
        <f t="shared" si="7"/>
        <v>Ground Floor for Commercial &amp; Parking</v>
      </c>
      <c r="H159" s="120"/>
      <c r="I159" s="28"/>
      <c r="L159" s="184"/>
      <c r="M159" s="184"/>
      <c r="N159" s="28"/>
    </row>
    <row r="160" spans="1:14" s="2" customFormat="1" x14ac:dyDescent="0.25">
      <c r="A160" s="35">
        <f t="shared" si="5"/>
        <v>11</v>
      </c>
      <c r="B160" s="27" t="s">
        <v>183</v>
      </c>
      <c r="C160" s="27" t="s">
        <v>184</v>
      </c>
      <c r="D160" s="54">
        <f>28.79*10.764</f>
        <v>309.89555999999999</v>
      </c>
      <c r="E160" s="27">
        <v>0</v>
      </c>
      <c r="F160" s="27">
        <f t="shared" si="6"/>
        <v>495.83289600000001</v>
      </c>
      <c r="G160" s="118" t="str">
        <f t="shared" si="7"/>
        <v>Ground Floor for Commercial &amp; Parking</v>
      </c>
      <c r="H160" s="120"/>
      <c r="I160" s="28"/>
      <c r="L160" s="184"/>
      <c r="M160" s="184"/>
      <c r="N160" s="28"/>
    </row>
    <row r="161" spans="1:14" s="2" customFormat="1" x14ac:dyDescent="0.25">
      <c r="A161" s="35">
        <f t="shared" si="5"/>
        <v>12</v>
      </c>
      <c r="B161" s="27" t="s">
        <v>183</v>
      </c>
      <c r="C161" s="27" t="s">
        <v>184</v>
      </c>
      <c r="D161" s="54">
        <f>19.72*10.764</f>
        <v>212.26607999999999</v>
      </c>
      <c r="E161" s="27">
        <v>0</v>
      </c>
      <c r="F161" s="27">
        <f t="shared" si="6"/>
        <v>339.62572799999998</v>
      </c>
      <c r="G161" s="118" t="str">
        <f t="shared" si="7"/>
        <v>Ground Floor for Commercial &amp; Parking</v>
      </c>
      <c r="H161" s="120"/>
      <c r="I161" s="28"/>
      <c r="L161" s="184"/>
      <c r="M161" s="184"/>
      <c r="N161" s="28"/>
    </row>
    <row r="162" spans="1:14" s="2" customFormat="1" x14ac:dyDescent="0.25">
      <c r="A162" s="35">
        <f t="shared" si="5"/>
        <v>13</v>
      </c>
      <c r="B162" s="27" t="s">
        <v>183</v>
      </c>
      <c r="C162" s="27" t="s">
        <v>184</v>
      </c>
      <c r="D162" s="54">
        <f>32.19*10.764</f>
        <v>346.49315999999993</v>
      </c>
      <c r="E162" s="27">
        <v>0</v>
      </c>
      <c r="F162" s="27">
        <f t="shared" si="6"/>
        <v>554.38905599999987</v>
      </c>
      <c r="G162" s="118" t="str">
        <f t="shared" si="7"/>
        <v>Ground Floor for Commercial &amp; Parking</v>
      </c>
      <c r="H162" s="120"/>
      <c r="I162" s="28"/>
      <c r="L162" s="184"/>
      <c r="M162" s="184"/>
      <c r="N162" s="28"/>
    </row>
    <row r="163" spans="1:14" ht="47.25" customHeight="1" x14ac:dyDescent="0.25">
      <c r="A163" s="78" t="s">
        <v>125</v>
      </c>
      <c r="B163" s="78" t="s">
        <v>188</v>
      </c>
      <c r="C163" s="74" t="s">
        <v>63</v>
      </c>
      <c r="D163" s="74" t="s">
        <v>64</v>
      </c>
      <c r="E163" s="76" t="s">
        <v>65</v>
      </c>
      <c r="F163" s="25" t="s">
        <v>155</v>
      </c>
      <c r="G163" s="78" t="s">
        <v>66</v>
      </c>
      <c r="H163" s="79"/>
      <c r="I163" s="28"/>
    </row>
    <row r="164" spans="1:14" s="2" customFormat="1" x14ac:dyDescent="0.25">
      <c r="A164" s="80"/>
      <c r="B164" s="80"/>
      <c r="C164" s="75"/>
      <c r="D164" s="75"/>
      <c r="E164" s="77"/>
      <c r="F164" s="26">
        <v>0.6</v>
      </c>
      <c r="G164" s="80"/>
      <c r="H164" s="81"/>
      <c r="I164" s="28"/>
    </row>
    <row r="165" spans="1:14" s="2" customFormat="1" ht="15.75" customHeight="1" x14ac:dyDescent="0.25">
      <c r="A165" s="115" t="s">
        <v>222</v>
      </c>
      <c r="B165" s="116"/>
      <c r="C165" s="116"/>
      <c r="D165" s="116"/>
      <c r="E165" s="116"/>
      <c r="F165" s="116"/>
      <c r="G165" s="116"/>
      <c r="H165" s="117"/>
      <c r="I165" s="28"/>
      <c r="L165" s="184"/>
      <c r="M165" s="184"/>
    </row>
    <row r="166" spans="1:14" s="2" customFormat="1" x14ac:dyDescent="0.25">
      <c r="A166" s="126" t="s">
        <v>204</v>
      </c>
      <c r="B166" s="126"/>
      <c r="C166" s="126"/>
      <c r="D166" s="126"/>
      <c r="E166" s="126"/>
      <c r="F166" s="126"/>
      <c r="G166" s="126"/>
      <c r="H166" s="126"/>
      <c r="I166" s="28"/>
      <c r="L166" s="184"/>
      <c r="M166" s="184"/>
    </row>
    <row r="167" spans="1:14" s="2" customFormat="1" x14ac:dyDescent="0.25">
      <c r="A167" s="126" t="s">
        <v>186</v>
      </c>
      <c r="B167" s="126"/>
      <c r="C167" s="126"/>
      <c r="D167" s="126"/>
      <c r="E167" s="126"/>
      <c r="F167" s="126"/>
      <c r="G167" s="126"/>
      <c r="H167" s="126"/>
      <c r="I167" s="28"/>
      <c r="L167" s="184"/>
      <c r="M167" s="184"/>
    </row>
    <row r="168" spans="1:14" s="2" customFormat="1" x14ac:dyDescent="0.25">
      <c r="A168" s="126" t="s">
        <v>187</v>
      </c>
      <c r="B168" s="126"/>
      <c r="C168" s="126"/>
      <c r="D168" s="126"/>
      <c r="E168" s="126"/>
      <c r="F168" s="126"/>
      <c r="G168" s="126"/>
      <c r="H168" s="126"/>
      <c r="I168" s="28"/>
      <c r="L168" s="184"/>
      <c r="M168" s="184"/>
    </row>
    <row r="169" spans="1:14" s="2" customFormat="1" ht="15.6" customHeight="1" x14ac:dyDescent="0.25">
      <c r="A169" s="27">
        <v>1</v>
      </c>
      <c r="B169" s="27" t="s">
        <v>189</v>
      </c>
      <c r="C169" s="59" t="s">
        <v>192</v>
      </c>
      <c r="D169" s="188"/>
      <c r="E169" s="188"/>
      <c r="F169" s="60"/>
      <c r="G169" s="59" t="str">
        <f>A168</f>
        <v>4th Podium Floor For Parking &amp; Residential</v>
      </c>
      <c r="H169" s="60"/>
      <c r="I169" s="28"/>
      <c r="N169" s="28"/>
    </row>
    <row r="170" spans="1:14" s="2" customFormat="1" ht="15.6" customHeight="1" x14ac:dyDescent="0.25">
      <c r="A170" s="27">
        <f t="shared" ref="A170:A176" si="8">A169+1</f>
        <v>2</v>
      </c>
      <c r="B170" s="27" t="s">
        <v>189</v>
      </c>
      <c r="C170" s="61"/>
      <c r="D170" s="189"/>
      <c r="E170" s="189"/>
      <c r="F170" s="62"/>
      <c r="G170" s="61"/>
      <c r="H170" s="62"/>
      <c r="I170" s="28"/>
      <c r="N170" s="28"/>
    </row>
    <row r="171" spans="1:14" s="2" customFormat="1" ht="15.6" customHeight="1" x14ac:dyDescent="0.25">
      <c r="A171" s="27">
        <f t="shared" si="8"/>
        <v>3</v>
      </c>
      <c r="B171" s="27" t="s">
        <v>189</v>
      </c>
      <c r="C171" s="61"/>
      <c r="D171" s="189"/>
      <c r="E171" s="189"/>
      <c r="F171" s="62"/>
      <c r="G171" s="61"/>
      <c r="H171" s="62"/>
      <c r="I171" s="28"/>
      <c r="N171" s="28"/>
    </row>
    <row r="172" spans="1:14" s="2" customFormat="1" ht="15.6" customHeight="1" x14ac:dyDescent="0.25">
      <c r="A172" s="27">
        <f t="shared" si="8"/>
        <v>4</v>
      </c>
      <c r="B172" s="27" t="s">
        <v>189</v>
      </c>
      <c r="C172" s="63"/>
      <c r="D172" s="190"/>
      <c r="E172" s="190"/>
      <c r="F172" s="64"/>
      <c r="G172" s="61"/>
      <c r="H172" s="62"/>
      <c r="I172" s="28"/>
      <c r="N172" s="28"/>
    </row>
    <row r="173" spans="1:14" s="2" customFormat="1" ht="15.6" customHeight="1" x14ac:dyDescent="0.25">
      <c r="A173" s="27">
        <f t="shared" si="8"/>
        <v>5</v>
      </c>
      <c r="B173" s="27" t="s">
        <v>183</v>
      </c>
      <c r="C173" s="27" t="s">
        <v>190</v>
      </c>
      <c r="D173" s="27">
        <f>(65.24+4.69)*10.764</f>
        <v>752.72651999999982</v>
      </c>
      <c r="E173" s="27">
        <v>0</v>
      </c>
      <c r="F173" s="27">
        <f t="shared" ref="F173:F174" si="9">D173*(($F$164)+1)+(IF(E173&lt;101,E173,IF(E173&lt;201,E173/2,IF(E173&lt;=301,E173/3,E173/4))))</f>
        <v>1204.3624319999997</v>
      </c>
      <c r="G173" s="61"/>
      <c r="H173" s="62"/>
      <c r="I173" s="28"/>
      <c r="N173" s="28"/>
    </row>
    <row r="174" spans="1:14" s="2" customFormat="1" ht="15.6" customHeight="1" x14ac:dyDescent="0.25">
      <c r="A174" s="27">
        <f t="shared" si="8"/>
        <v>6</v>
      </c>
      <c r="B174" s="27" t="s">
        <v>183</v>
      </c>
      <c r="C174" s="27" t="s">
        <v>190</v>
      </c>
      <c r="D174" s="27">
        <f>(57.8+4.87)*10.764</f>
        <v>674.57987999999989</v>
      </c>
      <c r="E174" s="27">
        <v>0</v>
      </c>
      <c r="F174" s="27">
        <f t="shared" si="9"/>
        <v>1079.3278079999998</v>
      </c>
      <c r="G174" s="61"/>
      <c r="H174" s="62"/>
      <c r="I174" s="28"/>
      <c r="N174" s="28"/>
    </row>
    <row r="175" spans="1:14" s="2" customFormat="1" ht="15.6" customHeight="1" x14ac:dyDescent="0.25">
      <c r="A175" s="27">
        <f t="shared" si="8"/>
        <v>7</v>
      </c>
      <c r="B175" s="27" t="s">
        <v>183</v>
      </c>
      <c r="C175" s="27" t="s">
        <v>190</v>
      </c>
      <c r="D175" s="27">
        <f>(57.8+4.87)*10.764</f>
        <v>674.57987999999989</v>
      </c>
      <c r="E175" s="27">
        <v>0</v>
      </c>
      <c r="F175" s="27">
        <f t="shared" ref="F175" si="10">D175*(($F$164)+1)+(IF(E175&lt;101,E175,IF(E175&lt;201,E175/2,IF(E175&lt;=301,E175/3,E175/4))))</f>
        <v>1079.3278079999998</v>
      </c>
      <c r="G175" s="61"/>
      <c r="H175" s="62"/>
      <c r="I175" s="28"/>
      <c r="N175" s="28"/>
    </row>
    <row r="176" spans="1:14" s="2" customFormat="1" ht="15.6" customHeight="1" x14ac:dyDescent="0.25">
      <c r="A176" s="27">
        <f t="shared" si="8"/>
        <v>8</v>
      </c>
      <c r="B176" s="27" t="s">
        <v>183</v>
      </c>
      <c r="C176" s="27" t="s">
        <v>191</v>
      </c>
      <c r="D176" s="27">
        <f>(81.13+4.69)*10.764</f>
        <v>923.76647999999989</v>
      </c>
      <c r="E176" s="27">
        <v>0</v>
      </c>
      <c r="F176" s="27">
        <f>D176*(($F$164)+1)+(IF(E176&lt;101,E176,IF(E176&lt;201,E176/2,IF(E176&lt;=301,E176/3,E176/4))))</f>
        <v>1478.0263679999998</v>
      </c>
      <c r="G176" s="63"/>
      <c r="H176" s="64"/>
      <c r="I176" s="28"/>
      <c r="N176" s="28"/>
    </row>
    <row r="177" spans="1:14" s="2" customFormat="1" ht="15.75" customHeight="1" x14ac:dyDescent="0.25">
      <c r="A177" s="115" t="s">
        <v>193</v>
      </c>
      <c r="B177" s="116"/>
      <c r="C177" s="116"/>
      <c r="D177" s="116"/>
      <c r="E177" s="116"/>
      <c r="F177" s="116"/>
      <c r="G177" s="116"/>
      <c r="H177" s="117"/>
      <c r="I177" s="28"/>
    </row>
    <row r="178" spans="1:14" s="2" customFormat="1" x14ac:dyDescent="0.25">
      <c r="A178" s="27">
        <v>1</v>
      </c>
      <c r="B178" s="27" t="s">
        <v>183</v>
      </c>
      <c r="C178" s="27" t="s">
        <v>190</v>
      </c>
      <c r="D178" s="27">
        <f>(56.74+4.7)*10.764</f>
        <v>661.34015999999997</v>
      </c>
      <c r="E178" s="27">
        <v>0</v>
      </c>
      <c r="F178" s="27">
        <f t="shared" ref="F178:F183" si="11">D178*(($F$164)+1)+(IF(E178&lt;101,E178,IF(E178&lt;201,E178/2,IF(E178&lt;=301,E178/3,E178/4))))</f>
        <v>1058.144256</v>
      </c>
      <c r="G178" s="59" t="str">
        <f>A177</f>
        <v>1st Floor</v>
      </c>
      <c r="H178" s="60"/>
      <c r="I178" s="28"/>
      <c r="N178" s="28"/>
    </row>
    <row r="179" spans="1:14" s="2" customFormat="1" x14ac:dyDescent="0.25">
      <c r="A179" s="27">
        <v>2</v>
      </c>
      <c r="B179" s="27" t="s">
        <v>194</v>
      </c>
      <c r="C179" s="27" t="s">
        <v>195</v>
      </c>
      <c r="D179" s="27">
        <f>(45.76)*10.764</f>
        <v>492.56063999999992</v>
      </c>
      <c r="E179" s="27">
        <v>0</v>
      </c>
      <c r="F179" s="27">
        <f t="shared" si="11"/>
        <v>788.09702399999992</v>
      </c>
      <c r="G179" s="61"/>
      <c r="H179" s="62"/>
      <c r="I179" s="28"/>
      <c r="N179" s="28"/>
    </row>
    <row r="180" spans="1:14" s="2" customFormat="1" x14ac:dyDescent="0.25">
      <c r="A180" s="27">
        <v>3</v>
      </c>
      <c r="B180" s="27" t="s">
        <v>194</v>
      </c>
      <c r="C180" s="27" t="s">
        <v>195</v>
      </c>
      <c r="D180" s="27">
        <f>(45.76)*10.764</f>
        <v>492.56063999999992</v>
      </c>
      <c r="E180" s="27">
        <v>0</v>
      </c>
      <c r="F180" s="27">
        <f t="shared" si="11"/>
        <v>788.09702399999992</v>
      </c>
      <c r="G180" s="61"/>
      <c r="H180" s="62"/>
      <c r="I180" s="28"/>
      <c r="N180" s="28"/>
    </row>
    <row r="181" spans="1:14" s="2" customFormat="1" x14ac:dyDescent="0.25">
      <c r="A181" s="27">
        <v>4</v>
      </c>
      <c r="B181" s="27" t="s">
        <v>183</v>
      </c>
      <c r="C181" s="27" t="s">
        <v>190</v>
      </c>
      <c r="D181" s="27">
        <f>(56.74+4.7)*10.764</f>
        <v>661.34015999999997</v>
      </c>
      <c r="E181" s="27">
        <v>0</v>
      </c>
      <c r="F181" s="27">
        <f t="shared" si="11"/>
        <v>1058.144256</v>
      </c>
      <c r="G181" s="61"/>
      <c r="H181" s="62"/>
      <c r="I181" s="28"/>
      <c r="N181" s="28"/>
    </row>
    <row r="182" spans="1:14" s="2" customFormat="1" x14ac:dyDescent="0.25">
      <c r="A182" s="27">
        <v>5</v>
      </c>
      <c r="B182" s="27" t="s">
        <v>183</v>
      </c>
      <c r="C182" s="27" t="s">
        <v>190</v>
      </c>
      <c r="D182" s="27">
        <f>(65.24+4.69)*10.764</f>
        <v>752.72651999999982</v>
      </c>
      <c r="E182" s="27">
        <v>0</v>
      </c>
      <c r="F182" s="27">
        <f t="shared" si="11"/>
        <v>1204.3624319999997</v>
      </c>
      <c r="G182" s="61"/>
      <c r="H182" s="62"/>
      <c r="I182" s="28"/>
      <c r="N182" s="28"/>
    </row>
    <row r="183" spans="1:14" s="2" customFormat="1" x14ac:dyDescent="0.25">
      <c r="A183" s="27">
        <v>6</v>
      </c>
      <c r="B183" s="27" t="s">
        <v>183</v>
      </c>
      <c r="C183" s="27" t="s">
        <v>190</v>
      </c>
      <c r="D183" s="27">
        <f>(57.8+4.87)*10.764</f>
        <v>674.57987999999989</v>
      </c>
      <c r="E183" s="27">
        <v>0</v>
      </c>
      <c r="F183" s="27">
        <f t="shared" si="11"/>
        <v>1079.3278079999998</v>
      </c>
      <c r="G183" s="61"/>
      <c r="H183" s="62"/>
      <c r="I183" s="28"/>
      <c r="N183" s="28"/>
    </row>
    <row r="184" spans="1:14" s="2" customFormat="1" x14ac:dyDescent="0.25">
      <c r="A184" s="27">
        <v>7</v>
      </c>
      <c r="B184" s="27" t="s">
        <v>183</v>
      </c>
      <c r="C184" s="27" t="s">
        <v>190</v>
      </c>
      <c r="D184" s="27">
        <f>(57.8+4.87)*10.764</f>
        <v>674.57987999999989</v>
      </c>
      <c r="E184" s="27">
        <v>0</v>
      </c>
      <c r="F184" s="27">
        <f t="shared" ref="F184:F185" si="12">D184*(($F$164)+1)+(IF(E184&lt;101,E184,IF(E184&lt;201,E184/2,IF(E184&lt;=301,E184/3,E184/4))))</f>
        <v>1079.3278079999998</v>
      </c>
      <c r="G184" s="61"/>
      <c r="H184" s="62"/>
      <c r="I184" s="28"/>
      <c r="N184" s="28"/>
    </row>
    <row r="185" spans="1:14" s="2" customFormat="1" x14ac:dyDescent="0.25">
      <c r="A185" s="27">
        <v>8</v>
      </c>
      <c r="B185" s="27" t="s">
        <v>183</v>
      </c>
      <c r="C185" s="27" t="s">
        <v>191</v>
      </c>
      <c r="D185" s="27">
        <f>(81.13+4.69)*10.764</f>
        <v>923.76647999999989</v>
      </c>
      <c r="E185" s="27">
        <v>0</v>
      </c>
      <c r="F185" s="27">
        <f t="shared" si="12"/>
        <v>1478.0263679999998</v>
      </c>
      <c r="G185" s="63"/>
      <c r="H185" s="64"/>
      <c r="I185" s="28"/>
      <c r="N185" s="28"/>
    </row>
    <row r="186" spans="1:14" s="2" customFormat="1" ht="15.75" customHeight="1" x14ac:dyDescent="0.25">
      <c r="A186" s="115" t="s">
        <v>196</v>
      </c>
      <c r="B186" s="116"/>
      <c r="C186" s="116"/>
      <c r="D186" s="116"/>
      <c r="E186" s="116"/>
      <c r="F186" s="116"/>
      <c r="G186" s="116"/>
      <c r="H186" s="117"/>
      <c r="I186" s="28"/>
    </row>
    <row r="187" spans="1:14" s="2" customFormat="1" ht="15.75" customHeight="1" x14ac:dyDescent="0.25">
      <c r="A187" s="27">
        <v>1</v>
      </c>
      <c r="B187" s="27" t="s">
        <v>183</v>
      </c>
      <c r="C187" s="27" t="s">
        <v>190</v>
      </c>
      <c r="D187" s="27">
        <f>(56.74+4.7)*10.764</f>
        <v>661.34015999999997</v>
      </c>
      <c r="E187" s="27">
        <v>0</v>
      </c>
      <c r="F187" s="27">
        <f t="shared" ref="F187:F194" si="13">D187*(($F$164)+1)+(IF(E187&lt;101,E187,IF(E187&lt;201,E187/2,IF(E187&lt;=301,E187/3,E187/4))))</f>
        <v>1058.144256</v>
      </c>
      <c r="G187" s="59" t="str">
        <f>A186</f>
        <v>2nd, 7th, 12th, 17th, 22nd &amp; 27th Floor (Part Refuge Area)</v>
      </c>
      <c r="H187" s="60"/>
      <c r="I187" s="28"/>
      <c r="N187" s="28"/>
    </row>
    <row r="188" spans="1:14" s="2" customFormat="1" ht="15.75" customHeight="1" x14ac:dyDescent="0.25">
      <c r="A188" s="27">
        <v>2</v>
      </c>
      <c r="B188" s="27" t="s">
        <v>189</v>
      </c>
      <c r="C188" s="118" t="s">
        <v>197</v>
      </c>
      <c r="D188" s="119"/>
      <c r="E188" s="119"/>
      <c r="F188" s="120"/>
      <c r="G188" s="61"/>
      <c r="H188" s="62"/>
      <c r="I188" s="28"/>
      <c r="N188" s="28"/>
    </row>
    <row r="189" spans="1:14" s="2" customFormat="1" ht="15.75" customHeight="1" x14ac:dyDescent="0.25">
      <c r="A189" s="27">
        <v>3</v>
      </c>
      <c r="B189" s="27" t="s">
        <v>194</v>
      </c>
      <c r="C189" s="27" t="s">
        <v>195</v>
      </c>
      <c r="D189" s="27">
        <f>(45.76)*10.764</f>
        <v>492.56063999999992</v>
      </c>
      <c r="E189" s="27">
        <v>0</v>
      </c>
      <c r="F189" s="27">
        <f t="shared" si="13"/>
        <v>788.09702399999992</v>
      </c>
      <c r="G189" s="61"/>
      <c r="H189" s="62"/>
      <c r="I189" s="28"/>
      <c r="N189" s="28"/>
    </row>
    <row r="190" spans="1:14" s="2" customFormat="1" ht="15.75" customHeight="1" x14ac:dyDescent="0.25">
      <c r="A190" s="27">
        <v>4</v>
      </c>
      <c r="B190" s="27" t="s">
        <v>183</v>
      </c>
      <c r="C190" s="27" t="s">
        <v>190</v>
      </c>
      <c r="D190" s="27">
        <f>(56.74+4.7)*10.764</f>
        <v>661.34015999999997</v>
      </c>
      <c r="E190" s="27">
        <v>0</v>
      </c>
      <c r="F190" s="27">
        <f t="shared" si="13"/>
        <v>1058.144256</v>
      </c>
      <c r="G190" s="61"/>
      <c r="H190" s="62"/>
      <c r="I190" s="28"/>
      <c r="N190" s="28"/>
    </row>
    <row r="191" spans="1:14" s="2" customFormat="1" ht="15.75" customHeight="1" x14ac:dyDescent="0.25">
      <c r="A191" s="27">
        <v>5</v>
      </c>
      <c r="B191" s="27" t="s">
        <v>183</v>
      </c>
      <c r="C191" s="27" t="s">
        <v>191</v>
      </c>
      <c r="D191" s="27">
        <f>(81.13+4.69)*10.764</f>
        <v>923.76647999999989</v>
      </c>
      <c r="E191" s="27">
        <v>0</v>
      </c>
      <c r="F191" s="27">
        <f t="shared" si="13"/>
        <v>1478.0263679999998</v>
      </c>
      <c r="G191" s="61"/>
      <c r="H191" s="62"/>
      <c r="I191" s="28"/>
      <c r="N191" s="28"/>
    </row>
    <row r="192" spans="1:14" s="2" customFormat="1" ht="15.75" customHeight="1" x14ac:dyDescent="0.25">
      <c r="A192" s="27">
        <v>6</v>
      </c>
      <c r="B192" s="27" t="s">
        <v>183</v>
      </c>
      <c r="C192" s="27" t="s">
        <v>190</v>
      </c>
      <c r="D192" s="27">
        <f>(57.8+4.87)*10.764</f>
        <v>674.57987999999989</v>
      </c>
      <c r="E192" s="27">
        <v>0</v>
      </c>
      <c r="F192" s="27">
        <f t="shared" si="13"/>
        <v>1079.3278079999998</v>
      </c>
      <c r="G192" s="61"/>
      <c r="H192" s="62"/>
      <c r="I192" s="28"/>
      <c r="N192" s="28"/>
    </row>
    <row r="193" spans="1:14" s="2" customFormat="1" ht="15.75" customHeight="1" x14ac:dyDescent="0.25">
      <c r="A193" s="27">
        <v>7</v>
      </c>
      <c r="B193" s="27" t="s">
        <v>183</v>
      </c>
      <c r="C193" s="27" t="s">
        <v>190</v>
      </c>
      <c r="D193" s="27">
        <f>(57.8+4.87)*10.764</f>
        <v>674.57987999999989</v>
      </c>
      <c r="E193" s="27">
        <v>0</v>
      </c>
      <c r="F193" s="27">
        <f t="shared" si="13"/>
        <v>1079.3278079999998</v>
      </c>
      <c r="G193" s="61"/>
      <c r="H193" s="62"/>
      <c r="I193" s="28"/>
      <c r="N193" s="28"/>
    </row>
    <row r="194" spans="1:14" s="2" customFormat="1" ht="15.75" customHeight="1" x14ac:dyDescent="0.25">
      <c r="A194" s="27">
        <v>8</v>
      </c>
      <c r="B194" s="27" t="s">
        <v>183</v>
      </c>
      <c r="C194" s="27" t="s">
        <v>191</v>
      </c>
      <c r="D194" s="27">
        <f>(81.13+4.69)*10.764</f>
        <v>923.76647999999989</v>
      </c>
      <c r="E194" s="27">
        <v>0</v>
      </c>
      <c r="F194" s="27">
        <f t="shared" si="13"/>
        <v>1478.0263679999998</v>
      </c>
      <c r="G194" s="63"/>
      <c r="H194" s="64"/>
      <c r="I194" s="28"/>
      <c r="N194" s="28"/>
    </row>
    <row r="195" spans="1:14" s="2" customFormat="1" ht="15.75" customHeight="1" x14ac:dyDescent="0.25">
      <c r="A195" s="115" t="s">
        <v>198</v>
      </c>
      <c r="B195" s="116"/>
      <c r="C195" s="116"/>
      <c r="D195" s="116"/>
      <c r="E195" s="116"/>
      <c r="F195" s="116"/>
      <c r="G195" s="116"/>
      <c r="H195" s="117"/>
      <c r="I195" s="28"/>
    </row>
    <row r="196" spans="1:14" s="2" customFormat="1" ht="15.75" customHeight="1" x14ac:dyDescent="0.25">
      <c r="A196" s="27">
        <v>1</v>
      </c>
      <c r="B196" s="27" t="s">
        <v>183</v>
      </c>
      <c r="C196" s="27" t="s">
        <v>190</v>
      </c>
      <c r="D196" s="27">
        <f>(56.74+4.7)*10.764</f>
        <v>661.34015999999997</v>
      </c>
      <c r="E196" s="27">
        <v>0</v>
      </c>
      <c r="F196" s="27">
        <f t="shared" ref="F196:F203" si="14">D196*(($F$164)+1)+(IF(E196&lt;101,E196,IF(E196&lt;201,E196/2,IF(E196&lt;=301,E196/3,E196/4))))</f>
        <v>1058.144256</v>
      </c>
      <c r="G196" s="59" t="str">
        <f>A195</f>
        <v>3rd to 6th, 8th to 11th, 13th to 16th, 18th to 21st, 23rd to 26th Floor</v>
      </c>
      <c r="H196" s="60"/>
      <c r="I196" s="28"/>
      <c r="N196" s="28"/>
    </row>
    <row r="197" spans="1:14" s="2" customFormat="1" ht="15.75" customHeight="1" x14ac:dyDescent="0.25">
      <c r="A197" s="27">
        <v>2</v>
      </c>
      <c r="B197" s="27" t="s">
        <v>194</v>
      </c>
      <c r="C197" s="27" t="s">
        <v>195</v>
      </c>
      <c r="D197" s="27">
        <f>(45.76)*10.764</f>
        <v>492.56063999999992</v>
      </c>
      <c r="E197" s="27">
        <v>0</v>
      </c>
      <c r="F197" s="27">
        <f t="shared" si="14"/>
        <v>788.09702399999992</v>
      </c>
      <c r="G197" s="61"/>
      <c r="H197" s="62"/>
      <c r="I197" s="28"/>
      <c r="N197" s="28"/>
    </row>
    <row r="198" spans="1:14" s="2" customFormat="1" ht="15.75" customHeight="1" x14ac:dyDescent="0.25">
      <c r="A198" s="27">
        <v>3</v>
      </c>
      <c r="B198" s="27" t="s">
        <v>194</v>
      </c>
      <c r="C198" s="27" t="s">
        <v>195</v>
      </c>
      <c r="D198" s="27">
        <f>(45.76)*10.764</f>
        <v>492.56063999999992</v>
      </c>
      <c r="E198" s="27">
        <v>0</v>
      </c>
      <c r="F198" s="27">
        <f t="shared" si="14"/>
        <v>788.09702399999992</v>
      </c>
      <c r="G198" s="61"/>
      <c r="H198" s="62"/>
      <c r="I198" s="28"/>
      <c r="N198" s="28"/>
    </row>
    <row r="199" spans="1:14" s="2" customFormat="1" ht="15.75" customHeight="1" x14ac:dyDescent="0.25">
      <c r="A199" s="27">
        <v>4</v>
      </c>
      <c r="B199" s="27" t="s">
        <v>183</v>
      </c>
      <c r="C199" s="27" t="s">
        <v>190</v>
      </c>
      <c r="D199" s="27">
        <f>(56.74+4.7)*10.764</f>
        <v>661.34015999999997</v>
      </c>
      <c r="E199" s="27">
        <v>0</v>
      </c>
      <c r="F199" s="27">
        <f t="shared" si="14"/>
        <v>1058.144256</v>
      </c>
      <c r="G199" s="61"/>
      <c r="H199" s="62"/>
      <c r="I199" s="28"/>
      <c r="N199" s="28"/>
    </row>
    <row r="200" spans="1:14" s="2" customFormat="1" ht="15.75" customHeight="1" x14ac:dyDescent="0.25">
      <c r="A200" s="27">
        <v>5</v>
      </c>
      <c r="B200" s="27" t="s">
        <v>183</v>
      </c>
      <c r="C200" s="27" t="s">
        <v>191</v>
      </c>
      <c r="D200" s="27">
        <f>(81.13+4.69)*10.764</f>
        <v>923.76647999999989</v>
      </c>
      <c r="E200" s="27">
        <v>0</v>
      </c>
      <c r="F200" s="27">
        <f t="shared" si="14"/>
        <v>1478.0263679999998</v>
      </c>
      <c r="G200" s="61"/>
      <c r="H200" s="62"/>
      <c r="I200" s="28"/>
      <c r="N200" s="28"/>
    </row>
    <row r="201" spans="1:14" s="2" customFormat="1" ht="15.75" customHeight="1" x14ac:dyDescent="0.25">
      <c r="A201" s="27">
        <v>6</v>
      </c>
      <c r="B201" s="27" t="s">
        <v>183</v>
      </c>
      <c r="C201" s="27" t="s">
        <v>190</v>
      </c>
      <c r="D201" s="27">
        <f>(57.8+4.87)*10.764</f>
        <v>674.57987999999989</v>
      </c>
      <c r="E201" s="27">
        <v>0</v>
      </c>
      <c r="F201" s="27">
        <f t="shared" si="14"/>
        <v>1079.3278079999998</v>
      </c>
      <c r="G201" s="61"/>
      <c r="H201" s="62"/>
      <c r="I201" s="28"/>
      <c r="N201" s="28"/>
    </row>
    <row r="202" spans="1:14" s="2" customFormat="1" ht="15.75" customHeight="1" x14ac:dyDescent="0.25">
      <c r="A202" s="27">
        <v>7</v>
      </c>
      <c r="B202" s="27" t="s">
        <v>183</v>
      </c>
      <c r="C202" s="27" t="s">
        <v>190</v>
      </c>
      <c r="D202" s="27">
        <f>(57.8+4.87)*10.764</f>
        <v>674.57987999999989</v>
      </c>
      <c r="E202" s="27">
        <v>0</v>
      </c>
      <c r="F202" s="27">
        <f t="shared" si="14"/>
        <v>1079.3278079999998</v>
      </c>
      <c r="G202" s="61"/>
      <c r="H202" s="62"/>
      <c r="I202" s="28"/>
      <c r="N202" s="28"/>
    </row>
    <row r="203" spans="1:14" s="2" customFormat="1" ht="15.75" customHeight="1" x14ac:dyDescent="0.25">
      <c r="A203" s="27">
        <v>8</v>
      </c>
      <c r="B203" s="27" t="s">
        <v>183</v>
      </c>
      <c r="C203" s="27" t="s">
        <v>191</v>
      </c>
      <c r="D203" s="27">
        <f>(81.13+4.69)*10.764</f>
        <v>923.76647999999989</v>
      </c>
      <c r="E203" s="27">
        <v>0</v>
      </c>
      <c r="F203" s="27">
        <f t="shared" si="14"/>
        <v>1478.0263679999998</v>
      </c>
      <c r="G203" s="63"/>
      <c r="H203" s="64"/>
      <c r="I203" s="28"/>
      <c r="N203" s="28"/>
    </row>
    <row r="204" spans="1:14" s="2" customFormat="1" ht="15.75" customHeight="1" x14ac:dyDescent="0.25">
      <c r="A204" s="115" t="s">
        <v>199</v>
      </c>
      <c r="B204" s="116"/>
      <c r="C204" s="116"/>
      <c r="D204" s="116"/>
      <c r="E204" s="116"/>
      <c r="F204" s="116"/>
      <c r="G204" s="116"/>
      <c r="H204" s="117"/>
      <c r="I204" s="28"/>
    </row>
    <row r="205" spans="1:14" s="2" customFormat="1" x14ac:dyDescent="0.25">
      <c r="A205" s="27">
        <v>1</v>
      </c>
      <c r="B205" s="27" t="s">
        <v>183</v>
      </c>
      <c r="C205" s="27" t="s">
        <v>190</v>
      </c>
      <c r="D205" s="27">
        <f>(56.74+4.7)*10.764</f>
        <v>661.34015999999997</v>
      </c>
      <c r="E205" s="27">
        <v>0</v>
      </c>
      <c r="F205" s="27">
        <f t="shared" ref="F205:F212" si="15">D205*(($F$164)+1)+(IF(E205&lt;101,E205,IF(E205&lt;201,E205/2,IF(E205&lt;=301,E205/3,E205/4))))</f>
        <v>1058.144256</v>
      </c>
      <c r="G205" s="59" t="str">
        <f>A204</f>
        <v>28th Floor</v>
      </c>
      <c r="H205" s="60"/>
      <c r="I205" s="28"/>
      <c r="N205" s="28"/>
    </row>
    <row r="206" spans="1:14" s="2" customFormat="1" x14ac:dyDescent="0.25">
      <c r="A206" s="27">
        <v>2</v>
      </c>
      <c r="B206" s="27" t="s">
        <v>194</v>
      </c>
      <c r="C206" s="27" t="s">
        <v>195</v>
      </c>
      <c r="D206" s="27">
        <f>(45.76)*10.764</f>
        <v>492.56063999999992</v>
      </c>
      <c r="E206" s="27">
        <v>0</v>
      </c>
      <c r="F206" s="27">
        <f t="shared" si="15"/>
        <v>788.09702399999992</v>
      </c>
      <c r="G206" s="61"/>
      <c r="H206" s="62"/>
      <c r="I206" s="28"/>
      <c r="N206" s="28"/>
    </row>
    <row r="207" spans="1:14" s="2" customFormat="1" x14ac:dyDescent="0.25">
      <c r="A207" s="27">
        <v>3</v>
      </c>
      <c r="B207" s="27" t="s">
        <v>183</v>
      </c>
      <c r="C207" s="27" t="s">
        <v>195</v>
      </c>
      <c r="D207" s="27">
        <f>(45.76)*10.764</f>
        <v>492.56063999999992</v>
      </c>
      <c r="E207" s="27">
        <v>0</v>
      </c>
      <c r="F207" s="27">
        <f t="shared" si="15"/>
        <v>788.09702399999992</v>
      </c>
      <c r="G207" s="61"/>
      <c r="H207" s="62"/>
      <c r="I207" s="28"/>
      <c r="N207" s="28"/>
    </row>
    <row r="208" spans="1:14" s="2" customFormat="1" x14ac:dyDescent="0.25">
      <c r="A208" s="27">
        <v>4</v>
      </c>
      <c r="B208" s="27" t="s">
        <v>183</v>
      </c>
      <c r="C208" s="27" t="s">
        <v>190</v>
      </c>
      <c r="D208" s="27">
        <f>(81.13+4.69)*10.764</f>
        <v>923.76647999999989</v>
      </c>
      <c r="E208" s="27">
        <v>0</v>
      </c>
      <c r="F208" s="27">
        <f t="shared" si="15"/>
        <v>1478.0263679999998</v>
      </c>
      <c r="G208" s="61"/>
      <c r="H208" s="62"/>
      <c r="I208" s="28"/>
      <c r="N208" s="28"/>
    </row>
    <row r="209" spans="1:14" s="2" customFormat="1" x14ac:dyDescent="0.25">
      <c r="A209" s="27">
        <v>5</v>
      </c>
      <c r="B209" s="27" t="s">
        <v>183</v>
      </c>
      <c r="C209" s="27" t="s">
        <v>191</v>
      </c>
      <c r="D209" s="27">
        <f>(65.24+4.69)*10.764</f>
        <v>752.72651999999982</v>
      </c>
      <c r="E209" s="27">
        <v>0</v>
      </c>
      <c r="F209" s="27">
        <f t="shared" si="15"/>
        <v>1204.3624319999997</v>
      </c>
      <c r="G209" s="61"/>
      <c r="H209" s="62"/>
      <c r="I209" s="28"/>
      <c r="N209" s="28"/>
    </row>
    <row r="210" spans="1:14" s="2" customFormat="1" x14ac:dyDescent="0.25">
      <c r="A210" s="27">
        <v>6</v>
      </c>
      <c r="B210" s="27" t="s">
        <v>183</v>
      </c>
      <c r="C210" s="27" t="s">
        <v>190</v>
      </c>
      <c r="D210" s="27">
        <f>(57.8+4.87)*10.764</f>
        <v>674.57987999999989</v>
      </c>
      <c r="E210" s="27">
        <v>0</v>
      </c>
      <c r="F210" s="27">
        <f t="shared" si="15"/>
        <v>1079.3278079999998</v>
      </c>
      <c r="G210" s="61"/>
      <c r="H210" s="62"/>
      <c r="I210" s="28"/>
      <c r="N210" s="28"/>
    </row>
    <row r="211" spans="1:14" s="2" customFormat="1" x14ac:dyDescent="0.25">
      <c r="A211" s="27">
        <v>7</v>
      </c>
      <c r="B211" s="27" t="s">
        <v>183</v>
      </c>
      <c r="C211" s="27" t="s">
        <v>190</v>
      </c>
      <c r="D211" s="27">
        <f>(57.8+4.87)*10.764</f>
        <v>674.57987999999989</v>
      </c>
      <c r="E211" s="27">
        <v>0</v>
      </c>
      <c r="F211" s="27">
        <f t="shared" si="15"/>
        <v>1079.3278079999998</v>
      </c>
      <c r="G211" s="61"/>
      <c r="H211" s="62"/>
      <c r="I211" s="28"/>
      <c r="N211" s="28"/>
    </row>
    <row r="212" spans="1:14" s="2" customFormat="1" x14ac:dyDescent="0.25">
      <c r="A212" s="27">
        <v>8</v>
      </c>
      <c r="B212" s="27" t="s">
        <v>183</v>
      </c>
      <c r="C212" s="27" t="s">
        <v>191</v>
      </c>
      <c r="D212" s="27">
        <f>(81.13+4.69)*10.764</f>
        <v>923.76647999999989</v>
      </c>
      <c r="E212" s="27">
        <v>0</v>
      </c>
      <c r="F212" s="27">
        <f t="shared" si="15"/>
        <v>1478.0263679999998</v>
      </c>
      <c r="G212" s="63"/>
      <c r="H212" s="64"/>
      <c r="I212" s="28"/>
      <c r="N212" s="28"/>
    </row>
    <row r="213" spans="1:14" s="2" customFormat="1" ht="15.75" customHeight="1" x14ac:dyDescent="0.25">
      <c r="A213" s="115" t="s">
        <v>200</v>
      </c>
      <c r="B213" s="116"/>
      <c r="C213" s="116"/>
      <c r="D213" s="116"/>
      <c r="E213" s="116"/>
      <c r="F213" s="116"/>
      <c r="G213" s="116"/>
      <c r="H213" s="117"/>
      <c r="I213" s="28"/>
    </row>
    <row r="214" spans="1:14" s="2" customFormat="1" x14ac:dyDescent="0.25">
      <c r="A214" s="27">
        <v>1</v>
      </c>
      <c r="B214" s="27" t="s">
        <v>183</v>
      </c>
      <c r="C214" s="27" t="s">
        <v>190</v>
      </c>
      <c r="D214" s="27">
        <f>(56.74+4.7)*10.764</f>
        <v>661.34015999999997</v>
      </c>
      <c r="E214" s="27">
        <v>0</v>
      </c>
      <c r="F214" s="27">
        <f t="shared" ref="F214:F221" si="16">D214*(($F$164)+1)+(IF(E214&lt;101,E214,IF(E214&lt;201,E214/2,IF(E214&lt;=301,E214/3,E214/4))))</f>
        <v>1058.144256</v>
      </c>
      <c r="G214" s="59" t="str">
        <f>A213</f>
        <v>29th Floor</v>
      </c>
      <c r="H214" s="60"/>
      <c r="I214" s="28"/>
      <c r="N214" s="28"/>
    </row>
    <row r="215" spans="1:14" s="2" customFormat="1" x14ac:dyDescent="0.25">
      <c r="A215" s="27">
        <v>2</v>
      </c>
      <c r="B215" s="27" t="s">
        <v>183</v>
      </c>
      <c r="C215" s="27" t="s">
        <v>195</v>
      </c>
      <c r="D215" s="27">
        <f>(45.76)*10.764</f>
        <v>492.56063999999992</v>
      </c>
      <c r="E215" s="27">
        <v>0</v>
      </c>
      <c r="F215" s="27">
        <f t="shared" si="16"/>
        <v>788.09702399999992</v>
      </c>
      <c r="G215" s="61"/>
      <c r="H215" s="62"/>
      <c r="I215" s="28"/>
      <c r="N215" s="28"/>
    </row>
    <row r="216" spans="1:14" s="2" customFormat="1" x14ac:dyDescent="0.25">
      <c r="A216" s="27">
        <v>3</v>
      </c>
      <c r="B216" s="27" t="s">
        <v>183</v>
      </c>
      <c r="C216" s="27" t="s">
        <v>195</v>
      </c>
      <c r="D216" s="27">
        <f>(45.76)*10.764</f>
        <v>492.56063999999992</v>
      </c>
      <c r="E216" s="27">
        <v>0</v>
      </c>
      <c r="F216" s="27">
        <f t="shared" si="16"/>
        <v>788.09702399999992</v>
      </c>
      <c r="G216" s="61"/>
      <c r="H216" s="62"/>
      <c r="I216" s="28"/>
      <c r="N216" s="28"/>
    </row>
    <row r="217" spans="1:14" s="2" customFormat="1" x14ac:dyDescent="0.25">
      <c r="A217" s="27">
        <v>4</v>
      </c>
      <c r="B217" s="27" t="s">
        <v>183</v>
      </c>
      <c r="C217" s="27" t="s">
        <v>190</v>
      </c>
      <c r="D217" s="27">
        <f>(56.74+4.7)*10.764</f>
        <v>661.34015999999997</v>
      </c>
      <c r="E217" s="27">
        <v>0</v>
      </c>
      <c r="F217" s="27">
        <f t="shared" si="16"/>
        <v>1058.144256</v>
      </c>
      <c r="G217" s="61"/>
      <c r="H217" s="62"/>
      <c r="I217" s="28"/>
      <c r="N217" s="28"/>
    </row>
    <row r="218" spans="1:14" s="2" customFormat="1" x14ac:dyDescent="0.25">
      <c r="A218" s="27">
        <v>5</v>
      </c>
      <c r="B218" s="27" t="s">
        <v>183</v>
      </c>
      <c r="C218" s="27" t="s">
        <v>191</v>
      </c>
      <c r="D218" s="27">
        <f>(81.13+4.69)*10.764</f>
        <v>923.76647999999989</v>
      </c>
      <c r="E218" s="27">
        <v>0</v>
      </c>
      <c r="F218" s="27">
        <f t="shared" si="16"/>
        <v>1478.0263679999998</v>
      </c>
      <c r="G218" s="61"/>
      <c r="H218" s="62"/>
      <c r="I218" s="28"/>
      <c r="N218" s="28"/>
    </row>
    <row r="219" spans="1:14" s="2" customFormat="1" x14ac:dyDescent="0.25">
      <c r="A219" s="27">
        <v>6</v>
      </c>
      <c r="B219" s="27" t="s">
        <v>183</v>
      </c>
      <c r="C219" s="27" t="s">
        <v>190</v>
      </c>
      <c r="D219" s="27">
        <f>(57.8+4.87)*10.764</f>
        <v>674.57987999999989</v>
      </c>
      <c r="E219" s="27">
        <v>0</v>
      </c>
      <c r="F219" s="27">
        <f t="shared" si="16"/>
        <v>1079.3278079999998</v>
      </c>
      <c r="G219" s="61"/>
      <c r="H219" s="62"/>
      <c r="I219" s="28"/>
      <c r="N219" s="28"/>
    </row>
    <row r="220" spans="1:14" s="2" customFormat="1" x14ac:dyDescent="0.25">
      <c r="A220" s="27">
        <v>7</v>
      </c>
      <c r="B220" s="27" t="s">
        <v>183</v>
      </c>
      <c r="C220" s="27" t="s">
        <v>190</v>
      </c>
      <c r="D220" s="27">
        <f>(57.8+4.87)*10.764</f>
        <v>674.57987999999989</v>
      </c>
      <c r="E220" s="27">
        <v>0</v>
      </c>
      <c r="F220" s="27">
        <f t="shared" si="16"/>
        <v>1079.3278079999998</v>
      </c>
      <c r="G220" s="61"/>
      <c r="H220" s="62"/>
      <c r="I220" s="28"/>
      <c r="N220" s="28"/>
    </row>
    <row r="221" spans="1:14" s="2" customFormat="1" x14ac:dyDescent="0.25">
      <c r="A221" s="27">
        <v>8</v>
      </c>
      <c r="B221" s="27" t="s">
        <v>183</v>
      </c>
      <c r="C221" s="27" t="s">
        <v>191</v>
      </c>
      <c r="D221" s="27">
        <f>(81.13+4.69)*10.764</f>
        <v>923.76647999999989</v>
      </c>
      <c r="E221" s="27">
        <v>0</v>
      </c>
      <c r="F221" s="27">
        <f t="shared" si="16"/>
        <v>1478.0263679999998</v>
      </c>
      <c r="G221" s="63"/>
      <c r="H221" s="64"/>
      <c r="I221" s="28"/>
      <c r="N221" s="28"/>
    </row>
    <row r="222" spans="1:14" s="2" customFormat="1" ht="15.75" customHeight="1" x14ac:dyDescent="0.25">
      <c r="A222" s="115" t="s">
        <v>223</v>
      </c>
      <c r="B222" s="116"/>
      <c r="C222" s="116"/>
      <c r="D222" s="116"/>
      <c r="E222" s="116"/>
      <c r="F222" s="116"/>
      <c r="G222" s="116"/>
      <c r="H222" s="117"/>
      <c r="I222" s="28"/>
      <c r="L222" s="184"/>
      <c r="M222" s="184"/>
    </row>
    <row r="223" spans="1:14" s="2" customFormat="1" x14ac:dyDescent="0.25">
      <c r="A223" s="126" t="s">
        <v>204</v>
      </c>
      <c r="B223" s="126"/>
      <c r="C223" s="126"/>
      <c r="D223" s="126"/>
      <c r="E223" s="126"/>
      <c r="F223" s="126"/>
      <c r="G223" s="126"/>
      <c r="H223" s="126"/>
      <c r="I223" s="28"/>
      <c r="L223" s="184"/>
      <c r="M223" s="184"/>
    </row>
    <row r="224" spans="1:14" s="2" customFormat="1" x14ac:dyDescent="0.25">
      <c r="A224" s="126" t="s">
        <v>186</v>
      </c>
      <c r="B224" s="126"/>
      <c r="C224" s="126"/>
      <c r="D224" s="126"/>
      <c r="E224" s="126"/>
      <c r="F224" s="126"/>
      <c r="G224" s="126"/>
      <c r="H224" s="126"/>
      <c r="I224" s="28"/>
      <c r="L224" s="184"/>
      <c r="M224" s="184"/>
    </row>
    <row r="225" spans="1:14" s="2" customFormat="1" x14ac:dyDescent="0.25">
      <c r="A225" s="126" t="s">
        <v>187</v>
      </c>
      <c r="B225" s="126"/>
      <c r="C225" s="126"/>
      <c r="D225" s="126"/>
      <c r="E225" s="126"/>
      <c r="F225" s="126"/>
      <c r="G225" s="126"/>
      <c r="H225" s="126"/>
      <c r="I225" s="28"/>
      <c r="L225" s="184"/>
      <c r="M225" s="184"/>
    </row>
    <row r="226" spans="1:14" s="2" customFormat="1" ht="15.6" customHeight="1" x14ac:dyDescent="0.25">
      <c r="A226" s="27">
        <v>1</v>
      </c>
      <c r="B226" s="27" t="s">
        <v>189</v>
      </c>
      <c r="C226" s="59" t="s">
        <v>192</v>
      </c>
      <c r="D226" s="188"/>
      <c r="E226" s="188"/>
      <c r="F226" s="60"/>
      <c r="G226" s="59" t="str">
        <f>A225</f>
        <v>4th Podium Floor For Parking &amp; Residential</v>
      </c>
      <c r="H226" s="60"/>
      <c r="I226" s="28"/>
      <c r="N226" s="28"/>
    </row>
    <row r="227" spans="1:14" s="2" customFormat="1" ht="15.6" customHeight="1" x14ac:dyDescent="0.25">
      <c r="A227" s="27">
        <f t="shared" ref="A227:A233" si="17">A226+1</f>
        <v>2</v>
      </c>
      <c r="B227" s="27" t="s">
        <v>189</v>
      </c>
      <c r="C227" s="61"/>
      <c r="D227" s="189"/>
      <c r="E227" s="189"/>
      <c r="F227" s="62"/>
      <c r="G227" s="61"/>
      <c r="H227" s="62"/>
      <c r="I227" s="28"/>
      <c r="N227" s="28"/>
    </row>
    <row r="228" spans="1:14" s="2" customFormat="1" ht="15.6" customHeight="1" x14ac:dyDescent="0.25">
      <c r="A228" s="27">
        <f t="shared" si="17"/>
        <v>3</v>
      </c>
      <c r="B228" s="27" t="s">
        <v>189</v>
      </c>
      <c r="C228" s="61"/>
      <c r="D228" s="189"/>
      <c r="E228" s="189"/>
      <c r="F228" s="62"/>
      <c r="G228" s="61"/>
      <c r="H228" s="62"/>
      <c r="I228" s="28"/>
      <c r="N228" s="28"/>
    </row>
    <row r="229" spans="1:14" s="2" customFormat="1" ht="15.6" customHeight="1" x14ac:dyDescent="0.25">
      <c r="A229" s="27">
        <f t="shared" si="17"/>
        <v>4</v>
      </c>
      <c r="B229" s="27" t="s">
        <v>189</v>
      </c>
      <c r="C229" s="63"/>
      <c r="D229" s="190"/>
      <c r="E229" s="190"/>
      <c r="F229" s="64"/>
      <c r="G229" s="61"/>
      <c r="H229" s="62"/>
      <c r="I229" s="28"/>
      <c r="N229" s="28"/>
    </row>
    <row r="230" spans="1:14" s="2" customFormat="1" ht="15.6" customHeight="1" x14ac:dyDescent="0.25">
      <c r="A230" s="27">
        <f t="shared" si="17"/>
        <v>5</v>
      </c>
      <c r="B230" s="27" t="s">
        <v>183</v>
      </c>
      <c r="C230" s="27" t="s">
        <v>190</v>
      </c>
      <c r="D230" s="27">
        <f>(65.24+4.69)*10.764</f>
        <v>752.72651999999982</v>
      </c>
      <c r="E230" s="27">
        <v>0</v>
      </c>
      <c r="F230" s="27">
        <f t="shared" ref="F230:F233" si="18">D230*(($F$164)+1)+(IF(E230&lt;101,E230,IF(E230&lt;201,E230/2,IF(E230&lt;=301,E230/3,E230/4))))</f>
        <v>1204.3624319999997</v>
      </c>
      <c r="G230" s="61"/>
      <c r="H230" s="62"/>
      <c r="I230" s="28"/>
      <c r="N230" s="28"/>
    </row>
    <row r="231" spans="1:14" s="2" customFormat="1" ht="15.6" customHeight="1" x14ac:dyDescent="0.25">
      <c r="A231" s="27">
        <f t="shared" si="17"/>
        <v>6</v>
      </c>
      <c r="B231" s="27" t="s">
        <v>183</v>
      </c>
      <c r="C231" s="27" t="s">
        <v>190</v>
      </c>
      <c r="D231" s="27">
        <f>(56.43+4.87)*10.764</f>
        <v>659.83319999999992</v>
      </c>
      <c r="E231" s="27">
        <v>0</v>
      </c>
      <c r="F231" s="27">
        <f t="shared" si="18"/>
        <v>1055.7331199999999</v>
      </c>
      <c r="G231" s="61"/>
      <c r="H231" s="62"/>
      <c r="I231" s="28"/>
      <c r="N231" s="28"/>
    </row>
    <row r="232" spans="1:14" s="2" customFormat="1" ht="15.6" customHeight="1" x14ac:dyDescent="0.25">
      <c r="A232" s="27">
        <f t="shared" si="17"/>
        <v>7</v>
      </c>
      <c r="B232" s="27" t="s">
        <v>183</v>
      </c>
      <c r="C232" s="27" t="s">
        <v>190</v>
      </c>
      <c r="D232" s="27">
        <f>(56.43+4.87)*10.764</f>
        <v>659.83319999999992</v>
      </c>
      <c r="E232" s="27">
        <v>0</v>
      </c>
      <c r="F232" s="27">
        <f t="shared" si="18"/>
        <v>1055.7331199999999</v>
      </c>
      <c r="G232" s="61"/>
      <c r="H232" s="62"/>
      <c r="I232" s="28"/>
      <c r="N232" s="28"/>
    </row>
    <row r="233" spans="1:14" s="2" customFormat="1" ht="15.6" customHeight="1" x14ac:dyDescent="0.25">
      <c r="A233" s="27">
        <f t="shared" si="17"/>
        <v>8</v>
      </c>
      <c r="B233" s="27" t="s">
        <v>183</v>
      </c>
      <c r="C233" s="27" t="s">
        <v>190</v>
      </c>
      <c r="D233" s="27">
        <f t="shared" ref="D233" si="19">(65.24+4.69)*10.764</f>
        <v>752.72651999999982</v>
      </c>
      <c r="E233" s="27">
        <v>0</v>
      </c>
      <c r="F233" s="27">
        <f t="shared" si="18"/>
        <v>1204.3624319999997</v>
      </c>
      <c r="G233" s="63"/>
      <c r="H233" s="64"/>
      <c r="I233" s="28"/>
      <c r="N233" s="28"/>
    </row>
    <row r="234" spans="1:14" s="2" customFormat="1" ht="15.75" customHeight="1" x14ac:dyDescent="0.25">
      <c r="A234" s="115" t="s">
        <v>193</v>
      </c>
      <c r="B234" s="116"/>
      <c r="C234" s="116"/>
      <c r="D234" s="116"/>
      <c r="E234" s="116"/>
      <c r="F234" s="116"/>
      <c r="G234" s="116"/>
      <c r="H234" s="117"/>
      <c r="I234" s="28"/>
    </row>
    <row r="235" spans="1:14" s="2" customFormat="1" x14ac:dyDescent="0.25">
      <c r="A235" s="27">
        <v>1</v>
      </c>
      <c r="B235" s="27" t="s">
        <v>183</v>
      </c>
      <c r="C235" s="27" t="s">
        <v>190</v>
      </c>
      <c r="D235" s="27">
        <f>(56.74+4.7)*10.764</f>
        <v>661.34015999999997</v>
      </c>
      <c r="E235" s="27">
        <v>0</v>
      </c>
      <c r="F235" s="27">
        <f t="shared" ref="F235:F242" si="20">D235*(($F$164)+1)+(IF(E235&lt;101,E235,IF(E235&lt;201,E235/2,IF(E235&lt;=301,E235/3,E235/4))))</f>
        <v>1058.144256</v>
      </c>
      <c r="G235" s="59" t="str">
        <f>A234</f>
        <v>1st Floor</v>
      </c>
      <c r="H235" s="60"/>
      <c r="I235" s="28"/>
      <c r="N235" s="28"/>
    </row>
    <row r="236" spans="1:14" s="2" customFormat="1" x14ac:dyDescent="0.25">
      <c r="A236" s="27">
        <v>2</v>
      </c>
      <c r="B236" s="27" t="s">
        <v>183</v>
      </c>
      <c r="C236" s="27" t="s">
        <v>195</v>
      </c>
      <c r="D236" s="27">
        <f>(49.37+4.57)*10.764</f>
        <v>580.61015999999995</v>
      </c>
      <c r="E236" s="27">
        <v>0</v>
      </c>
      <c r="F236" s="27">
        <f t="shared" si="20"/>
        <v>928.97625599999992</v>
      </c>
      <c r="G236" s="61"/>
      <c r="H236" s="62"/>
      <c r="I236" s="28"/>
      <c r="N236" s="28"/>
    </row>
    <row r="237" spans="1:14" s="2" customFormat="1" x14ac:dyDescent="0.25">
      <c r="A237" s="27">
        <v>3</v>
      </c>
      <c r="B237" s="27" t="s">
        <v>183</v>
      </c>
      <c r="C237" s="27" t="s">
        <v>195</v>
      </c>
      <c r="D237" s="27">
        <f>(49.37+4.57)*10.764</f>
        <v>580.61015999999995</v>
      </c>
      <c r="E237" s="27">
        <v>0</v>
      </c>
      <c r="F237" s="27">
        <f t="shared" si="20"/>
        <v>928.97625599999992</v>
      </c>
      <c r="G237" s="61"/>
      <c r="H237" s="62"/>
      <c r="I237" s="28"/>
      <c r="N237" s="28"/>
    </row>
    <row r="238" spans="1:14" s="2" customFormat="1" x14ac:dyDescent="0.25">
      <c r="A238" s="27">
        <v>4</v>
      </c>
      <c r="B238" s="27" t="s">
        <v>183</v>
      </c>
      <c r="C238" s="27" t="s">
        <v>190</v>
      </c>
      <c r="D238" s="27">
        <f>(56.74+4.7)*10.764</f>
        <v>661.34015999999997</v>
      </c>
      <c r="E238" s="27">
        <v>0</v>
      </c>
      <c r="F238" s="27">
        <f t="shared" si="20"/>
        <v>1058.144256</v>
      </c>
      <c r="G238" s="61"/>
      <c r="H238" s="62"/>
      <c r="I238" s="28"/>
      <c r="N238" s="28"/>
    </row>
    <row r="239" spans="1:14" s="2" customFormat="1" x14ac:dyDescent="0.25">
      <c r="A239" s="27">
        <v>5</v>
      </c>
      <c r="B239" s="27" t="s">
        <v>183</v>
      </c>
      <c r="C239" s="27" t="s">
        <v>191</v>
      </c>
      <c r="D239" s="27">
        <f>(81.13+4.69)*10.764</f>
        <v>923.76647999999989</v>
      </c>
      <c r="E239" s="27">
        <v>0</v>
      </c>
      <c r="F239" s="27">
        <f t="shared" si="20"/>
        <v>1478.0263679999998</v>
      </c>
      <c r="G239" s="61"/>
      <c r="H239" s="62"/>
      <c r="I239" s="28"/>
      <c r="N239" s="28"/>
    </row>
    <row r="240" spans="1:14" s="2" customFormat="1" x14ac:dyDescent="0.25">
      <c r="A240" s="27">
        <v>6</v>
      </c>
      <c r="B240" s="27" t="s">
        <v>183</v>
      </c>
      <c r="C240" s="27" t="s">
        <v>190</v>
      </c>
      <c r="D240" s="27">
        <f>(56.43+4.87)*10.764</f>
        <v>659.83319999999992</v>
      </c>
      <c r="E240" s="27">
        <v>0</v>
      </c>
      <c r="F240" s="27">
        <f t="shared" si="20"/>
        <v>1055.7331199999999</v>
      </c>
      <c r="G240" s="61"/>
      <c r="H240" s="62"/>
      <c r="I240" s="28"/>
      <c r="N240" s="28"/>
    </row>
    <row r="241" spans="1:14" s="2" customFormat="1" x14ac:dyDescent="0.25">
      <c r="A241" s="27">
        <v>7</v>
      </c>
      <c r="B241" s="27" t="s">
        <v>183</v>
      </c>
      <c r="C241" s="27" t="s">
        <v>190</v>
      </c>
      <c r="D241" s="27">
        <f>(56.43+4.87)*10.764</f>
        <v>659.83319999999992</v>
      </c>
      <c r="E241" s="27">
        <v>0</v>
      </c>
      <c r="F241" s="27">
        <f t="shared" si="20"/>
        <v>1055.7331199999999</v>
      </c>
      <c r="G241" s="61"/>
      <c r="H241" s="62"/>
      <c r="I241" s="28"/>
      <c r="N241" s="28"/>
    </row>
    <row r="242" spans="1:14" s="2" customFormat="1" x14ac:dyDescent="0.25">
      <c r="A242" s="27">
        <v>8</v>
      </c>
      <c r="B242" s="27" t="s">
        <v>183</v>
      </c>
      <c r="C242" s="27" t="s">
        <v>190</v>
      </c>
      <c r="D242" s="27">
        <f>(65.24+4.69)*10.764</f>
        <v>752.72651999999982</v>
      </c>
      <c r="E242" s="27">
        <v>0</v>
      </c>
      <c r="F242" s="27">
        <f t="shared" si="20"/>
        <v>1204.3624319999997</v>
      </c>
      <c r="G242" s="63"/>
      <c r="H242" s="64"/>
      <c r="I242" s="28"/>
      <c r="N242" s="28"/>
    </row>
    <row r="243" spans="1:14" s="2" customFormat="1" ht="15.75" customHeight="1" x14ac:dyDescent="0.25">
      <c r="A243" s="115" t="s">
        <v>196</v>
      </c>
      <c r="B243" s="116"/>
      <c r="C243" s="116"/>
      <c r="D243" s="116"/>
      <c r="E243" s="116"/>
      <c r="F243" s="116"/>
      <c r="G243" s="116"/>
      <c r="H243" s="117"/>
      <c r="I243" s="28"/>
    </row>
    <row r="244" spans="1:14" s="2" customFormat="1" ht="15.75" customHeight="1" x14ac:dyDescent="0.25">
      <c r="A244" s="27">
        <v>1</v>
      </c>
      <c r="B244" s="27" t="s">
        <v>183</v>
      </c>
      <c r="C244" s="27" t="s">
        <v>190</v>
      </c>
      <c r="D244" s="27">
        <f>(56.74+4.7)*10.764</f>
        <v>661.34015999999997</v>
      </c>
      <c r="E244" s="27">
        <v>0</v>
      </c>
      <c r="F244" s="27">
        <f t="shared" ref="F244" si="21">D244*(($F$164)+1)+(IF(E244&lt;101,E244,IF(E244&lt;201,E244/2,IF(E244&lt;=301,E244/3,E244/4))))</f>
        <v>1058.144256</v>
      </c>
      <c r="G244" s="59" t="str">
        <f>A243</f>
        <v>2nd, 7th, 12th, 17th, 22nd &amp; 27th Floor (Part Refuge Area)</v>
      </c>
      <c r="H244" s="60"/>
      <c r="I244" s="28"/>
      <c r="N244" s="28"/>
    </row>
    <row r="245" spans="1:14" s="2" customFormat="1" ht="15.75" customHeight="1" x14ac:dyDescent="0.25">
      <c r="A245" s="27">
        <v>2</v>
      </c>
      <c r="B245" s="27" t="s">
        <v>189</v>
      </c>
      <c r="C245" s="118" t="s">
        <v>197</v>
      </c>
      <c r="D245" s="119"/>
      <c r="E245" s="119"/>
      <c r="F245" s="120"/>
      <c r="G245" s="61"/>
      <c r="H245" s="62"/>
      <c r="I245" s="28"/>
      <c r="N245" s="28"/>
    </row>
    <row r="246" spans="1:14" s="2" customFormat="1" ht="15.75" customHeight="1" x14ac:dyDescent="0.25">
      <c r="A246" s="27">
        <v>3</v>
      </c>
      <c r="B246" s="27" t="s">
        <v>183</v>
      </c>
      <c r="C246" s="27" t="s">
        <v>195</v>
      </c>
      <c r="D246" s="27">
        <f>(49.37+4.57)*10.764</f>
        <v>580.61015999999995</v>
      </c>
      <c r="E246" s="27">
        <v>0</v>
      </c>
      <c r="F246" s="27">
        <f t="shared" ref="F246:F251" si="22">D246*(($F$164)+1)+(IF(E246&lt;101,E246,IF(E246&lt;201,E246/2,IF(E246&lt;=301,E246/3,E246/4))))</f>
        <v>928.97625599999992</v>
      </c>
      <c r="G246" s="61"/>
      <c r="H246" s="62"/>
      <c r="I246" s="28"/>
      <c r="N246" s="28"/>
    </row>
    <row r="247" spans="1:14" s="2" customFormat="1" ht="15.75" customHeight="1" x14ac:dyDescent="0.25">
      <c r="A247" s="27">
        <v>4</v>
      </c>
      <c r="B247" s="27" t="s">
        <v>183</v>
      </c>
      <c r="C247" s="27" t="s">
        <v>190</v>
      </c>
      <c r="D247" s="27">
        <f>(56.74+4.7)*10.764</f>
        <v>661.34015999999997</v>
      </c>
      <c r="E247" s="27">
        <v>0</v>
      </c>
      <c r="F247" s="27">
        <f t="shared" si="22"/>
        <v>1058.144256</v>
      </c>
      <c r="G247" s="61"/>
      <c r="H247" s="62"/>
      <c r="I247" s="28"/>
      <c r="N247" s="28"/>
    </row>
    <row r="248" spans="1:14" s="2" customFormat="1" ht="15.75" customHeight="1" x14ac:dyDescent="0.25">
      <c r="A248" s="27">
        <v>5</v>
      </c>
      <c r="B248" s="27" t="s">
        <v>183</v>
      </c>
      <c r="C248" s="27" t="s">
        <v>191</v>
      </c>
      <c r="D248" s="27">
        <f>(81.13+4.69)*10.764</f>
        <v>923.76647999999989</v>
      </c>
      <c r="E248" s="27">
        <v>0</v>
      </c>
      <c r="F248" s="27">
        <f t="shared" si="22"/>
        <v>1478.0263679999998</v>
      </c>
      <c r="G248" s="61"/>
      <c r="H248" s="62"/>
      <c r="I248" s="28"/>
      <c r="N248" s="28"/>
    </row>
    <row r="249" spans="1:14" s="2" customFormat="1" ht="15.75" customHeight="1" x14ac:dyDescent="0.25">
      <c r="A249" s="27">
        <v>6</v>
      </c>
      <c r="B249" s="27" t="s">
        <v>183</v>
      </c>
      <c r="C249" s="27" t="s">
        <v>190</v>
      </c>
      <c r="D249" s="27">
        <f>(56.43+4.87)*10.764</f>
        <v>659.83319999999992</v>
      </c>
      <c r="E249" s="27">
        <v>0</v>
      </c>
      <c r="F249" s="27">
        <f t="shared" si="22"/>
        <v>1055.7331199999999</v>
      </c>
      <c r="G249" s="61"/>
      <c r="H249" s="62"/>
      <c r="I249" s="28"/>
      <c r="N249" s="28"/>
    </row>
    <row r="250" spans="1:14" s="2" customFormat="1" ht="15.75" customHeight="1" x14ac:dyDescent="0.25">
      <c r="A250" s="27">
        <v>7</v>
      </c>
      <c r="B250" s="27" t="s">
        <v>183</v>
      </c>
      <c r="C250" s="27" t="s">
        <v>190</v>
      </c>
      <c r="D250" s="27">
        <f>(56.43+4.87)*10.764</f>
        <v>659.83319999999992</v>
      </c>
      <c r="E250" s="27">
        <v>0</v>
      </c>
      <c r="F250" s="27">
        <f t="shared" si="22"/>
        <v>1055.7331199999999</v>
      </c>
      <c r="G250" s="61"/>
      <c r="H250" s="62"/>
      <c r="I250" s="28"/>
      <c r="N250" s="28"/>
    </row>
    <row r="251" spans="1:14" s="2" customFormat="1" ht="15.75" customHeight="1" x14ac:dyDescent="0.25">
      <c r="A251" s="27">
        <v>8</v>
      </c>
      <c r="B251" s="27" t="s">
        <v>183</v>
      </c>
      <c r="C251" s="27" t="s">
        <v>191</v>
      </c>
      <c r="D251" s="27">
        <f>(81.13+4.69)*10.764</f>
        <v>923.76647999999989</v>
      </c>
      <c r="E251" s="27">
        <v>0</v>
      </c>
      <c r="F251" s="27">
        <f t="shared" si="22"/>
        <v>1478.0263679999998</v>
      </c>
      <c r="G251" s="63"/>
      <c r="H251" s="64"/>
      <c r="I251" s="28"/>
      <c r="N251" s="28"/>
    </row>
    <row r="252" spans="1:14" s="2" customFormat="1" ht="15.75" customHeight="1" x14ac:dyDescent="0.25">
      <c r="A252" s="115" t="s">
        <v>201</v>
      </c>
      <c r="B252" s="116"/>
      <c r="C252" s="116"/>
      <c r="D252" s="116"/>
      <c r="E252" s="116"/>
      <c r="F252" s="116"/>
      <c r="G252" s="116"/>
      <c r="H252" s="117"/>
      <c r="I252" s="28"/>
    </row>
    <row r="253" spans="1:14" s="2" customFormat="1" ht="15.75" customHeight="1" x14ac:dyDescent="0.25">
      <c r="A253" s="27">
        <v>1</v>
      </c>
      <c r="B253" s="27" t="s">
        <v>183</v>
      </c>
      <c r="C253" s="27" t="s">
        <v>190</v>
      </c>
      <c r="D253" s="27">
        <f>(56.74+4.7)*10.764</f>
        <v>661.34015999999997</v>
      </c>
      <c r="E253" s="27">
        <v>0</v>
      </c>
      <c r="F253" s="27">
        <f t="shared" ref="F253:F260" si="23">D253*(($F$164)+1)+(IF(E253&lt;101,E253,IF(E253&lt;201,E253/2,IF(E253&lt;=301,E253/3,E253/4))))</f>
        <v>1058.144256</v>
      </c>
      <c r="G253" s="59" t="str">
        <f>A252</f>
        <v>3rd to 6th, 8th to 11th, 13th to 16th, 18th to 21st, 23rd to 26th, 28th &amp; 29th Floor</v>
      </c>
      <c r="H253" s="60"/>
      <c r="I253" s="28"/>
      <c r="N253" s="28"/>
    </row>
    <row r="254" spans="1:14" s="2" customFormat="1" ht="15.75" customHeight="1" x14ac:dyDescent="0.25">
      <c r="A254" s="27">
        <v>2</v>
      </c>
      <c r="B254" s="27" t="s">
        <v>183</v>
      </c>
      <c r="C254" s="27" t="s">
        <v>195</v>
      </c>
      <c r="D254" s="27">
        <f>(49.37+4.57)*10.764</f>
        <v>580.61015999999995</v>
      </c>
      <c r="E254" s="27">
        <v>0</v>
      </c>
      <c r="F254" s="27">
        <f t="shared" si="23"/>
        <v>928.97625599999992</v>
      </c>
      <c r="G254" s="61"/>
      <c r="H254" s="62"/>
      <c r="I254" s="28"/>
      <c r="N254" s="28"/>
    </row>
    <row r="255" spans="1:14" s="2" customFormat="1" ht="15.75" customHeight="1" x14ac:dyDescent="0.25">
      <c r="A255" s="27">
        <v>3</v>
      </c>
      <c r="B255" s="27" t="s">
        <v>183</v>
      </c>
      <c r="C255" s="27" t="s">
        <v>195</v>
      </c>
      <c r="D255" s="27">
        <f>(49.37+4.57)*10.764</f>
        <v>580.61015999999995</v>
      </c>
      <c r="E255" s="27">
        <v>0</v>
      </c>
      <c r="F255" s="27">
        <f t="shared" si="23"/>
        <v>928.97625599999992</v>
      </c>
      <c r="G255" s="61"/>
      <c r="H255" s="62"/>
      <c r="I255" s="28"/>
      <c r="N255" s="28"/>
    </row>
    <row r="256" spans="1:14" s="2" customFormat="1" ht="15.75" customHeight="1" x14ac:dyDescent="0.25">
      <c r="A256" s="27">
        <v>4</v>
      </c>
      <c r="B256" s="27" t="s">
        <v>183</v>
      </c>
      <c r="C256" s="27" t="s">
        <v>190</v>
      </c>
      <c r="D256" s="27">
        <f>(56.74+4.7)*10.764</f>
        <v>661.34015999999997</v>
      </c>
      <c r="E256" s="27">
        <v>0</v>
      </c>
      <c r="F256" s="27">
        <f t="shared" si="23"/>
        <v>1058.144256</v>
      </c>
      <c r="G256" s="61"/>
      <c r="H256" s="62"/>
      <c r="I256" s="28"/>
      <c r="N256" s="28"/>
    </row>
    <row r="257" spans="1:14" s="2" customFormat="1" ht="15.75" customHeight="1" x14ac:dyDescent="0.25">
      <c r="A257" s="27">
        <v>5</v>
      </c>
      <c r="B257" s="27" t="s">
        <v>183</v>
      </c>
      <c r="C257" s="27" t="s">
        <v>191</v>
      </c>
      <c r="D257" s="27">
        <f>(81.13+4.69)*10.764</f>
        <v>923.76647999999989</v>
      </c>
      <c r="E257" s="27">
        <v>0</v>
      </c>
      <c r="F257" s="27">
        <f t="shared" si="23"/>
        <v>1478.0263679999998</v>
      </c>
      <c r="G257" s="61"/>
      <c r="H257" s="62"/>
      <c r="I257" s="28"/>
      <c r="N257" s="28"/>
    </row>
    <row r="258" spans="1:14" s="2" customFormat="1" ht="15.75" customHeight="1" x14ac:dyDescent="0.25">
      <c r="A258" s="27">
        <v>6</v>
      </c>
      <c r="B258" s="27" t="s">
        <v>183</v>
      </c>
      <c r="C258" s="27" t="s">
        <v>190</v>
      </c>
      <c r="D258" s="27">
        <f>(56.43+4.87)*10.764</f>
        <v>659.83319999999992</v>
      </c>
      <c r="E258" s="27">
        <v>0</v>
      </c>
      <c r="F258" s="27">
        <f t="shared" si="23"/>
        <v>1055.7331199999999</v>
      </c>
      <c r="G258" s="61"/>
      <c r="H258" s="62"/>
      <c r="I258" s="28"/>
      <c r="N258" s="28"/>
    </row>
    <row r="259" spans="1:14" s="2" customFormat="1" ht="15.75" customHeight="1" x14ac:dyDescent="0.25">
      <c r="A259" s="27">
        <v>7</v>
      </c>
      <c r="B259" s="27" t="s">
        <v>183</v>
      </c>
      <c r="C259" s="27" t="s">
        <v>190</v>
      </c>
      <c r="D259" s="27">
        <f>(56.43+4.87)*10.764</f>
        <v>659.83319999999992</v>
      </c>
      <c r="E259" s="27">
        <v>0</v>
      </c>
      <c r="F259" s="27">
        <f t="shared" si="23"/>
        <v>1055.7331199999999</v>
      </c>
      <c r="G259" s="61"/>
      <c r="H259" s="62"/>
      <c r="I259" s="28"/>
      <c r="N259" s="28"/>
    </row>
    <row r="260" spans="1:14" s="2" customFormat="1" ht="15.75" customHeight="1" x14ac:dyDescent="0.25">
      <c r="A260" s="27">
        <v>8</v>
      </c>
      <c r="B260" s="27" t="s">
        <v>183</v>
      </c>
      <c r="C260" s="27" t="s">
        <v>191</v>
      </c>
      <c r="D260" s="27">
        <f>(81.13+4.69)*10.764</f>
        <v>923.76647999999989</v>
      </c>
      <c r="E260" s="27">
        <v>0</v>
      </c>
      <c r="F260" s="27">
        <f t="shared" si="23"/>
        <v>1478.0263679999998</v>
      </c>
      <c r="G260" s="63"/>
      <c r="H260" s="64"/>
      <c r="I260" s="28"/>
      <c r="N260" s="28"/>
    </row>
    <row r="261" spans="1:14" s="2" customFormat="1" x14ac:dyDescent="0.25">
      <c r="A261" s="126" t="s">
        <v>224</v>
      </c>
      <c r="B261" s="126"/>
      <c r="C261" s="126"/>
      <c r="D261" s="126"/>
      <c r="E261" s="126"/>
      <c r="F261" s="126"/>
      <c r="G261" s="126"/>
      <c r="H261" s="126"/>
      <c r="I261" s="28"/>
      <c r="L261" s="184"/>
      <c r="M261" s="184"/>
    </row>
    <row r="262" spans="1:14" s="2" customFormat="1" x14ac:dyDescent="0.25">
      <c r="A262" s="126" t="s">
        <v>204</v>
      </c>
      <c r="B262" s="126"/>
      <c r="C262" s="126"/>
      <c r="D262" s="126"/>
      <c r="E262" s="126"/>
      <c r="F262" s="126"/>
      <c r="G262" s="126"/>
      <c r="H262" s="126"/>
      <c r="I262" s="28"/>
      <c r="L262" s="184"/>
      <c r="M262" s="184"/>
    </row>
    <row r="263" spans="1:14" s="2" customFormat="1" x14ac:dyDescent="0.25">
      <c r="A263" s="126" t="s">
        <v>186</v>
      </c>
      <c r="B263" s="126"/>
      <c r="C263" s="126"/>
      <c r="D263" s="126"/>
      <c r="E263" s="126"/>
      <c r="F263" s="126"/>
      <c r="G263" s="126"/>
      <c r="H263" s="126"/>
      <c r="I263" s="28"/>
      <c r="L263" s="184"/>
      <c r="M263" s="184"/>
    </row>
    <row r="264" spans="1:14" s="2" customFormat="1" ht="15.75" customHeight="1" x14ac:dyDescent="0.25">
      <c r="A264" s="115" t="s">
        <v>187</v>
      </c>
      <c r="B264" s="116"/>
      <c r="C264" s="116"/>
      <c r="D264" s="116"/>
      <c r="E264" s="116"/>
      <c r="F264" s="116"/>
      <c r="G264" s="116"/>
      <c r="H264" s="117"/>
      <c r="I264" s="28"/>
    </row>
    <row r="265" spans="1:14" s="2" customFormat="1" ht="15.6" customHeight="1" x14ac:dyDescent="0.25">
      <c r="A265" s="27">
        <v>1</v>
      </c>
      <c r="B265" s="27" t="s">
        <v>183</v>
      </c>
      <c r="C265" s="27" t="s">
        <v>190</v>
      </c>
      <c r="D265" s="27">
        <f>(57.92+4.7)*10.764</f>
        <v>674.04168000000004</v>
      </c>
      <c r="E265" s="27">
        <v>0</v>
      </c>
      <c r="F265" s="27">
        <f>D265*(($F$164)+1)+(IF(E265&lt;101,E265,IF(E265&lt;201,E265/2,IF(E265&lt;=301,E265/3,E265/4))))</f>
        <v>1078.4666880000002</v>
      </c>
      <c r="G265" s="59" t="str">
        <f>A264</f>
        <v>4th Podium Floor For Parking &amp; Residential</v>
      </c>
      <c r="H265" s="60"/>
      <c r="I265" s="28"/>
      <c r="N265" s="28"/>
    </row>
    <row r="266" spans="1:14" s="2" customFormat="1" ht="15.6" customHeight="1" x14ac:dyDescent="0.25">
      <c r="A266" s="27">
        <v>2</v>
      </c>
      <c r="B266" s="27" t="s">
        <v>183</v>
      </c>
      <c r="C266" s="27" t="s">
        <v>190</v>
      </c>
      <c r="D266" s="27">
        <f>(56.43+4.87)*10.764</f>
        <v>659.83319999999992</v>
      </c>
      <c r="E266" s="27">
        <v>0</v>
      </c>
      <c r="F266" s="27">
        <f>D266*(($F$164)+1)+(IF(E266&lt;101,E266,IF(E266&lt;201,E266/2,IF(E266&lt;=301,E266/3,E266/4))))</f>
        <v>1055.7331199999999</v>
      </c>
      <c r="G266" s="61"/>
      <c r="H266" s="62"/>
      <c r="I266" s="28"/>
      <c r="N266" s="28"/>
    </row>
    <row r="267" spans="1:14" s="2" customFormat="1" ht="15.6" customHeight="1" x14ac:dyDescent="0.25">
      <c r="A267" s="27">
        <v>3</v>
      </c>
      <c r="B267" s="27" t="s">
        <v>183</v>
      </c>
      <c r="C267" s="27" t="s">
        <v>190</v>
      </c>
      <c r="D267" s="27">
        <f>(56.43+4.87)*10.764</f>
        <v>659.83319999999992</v>
      </c>
      <c r="E267" s="27">
        <v>0</v>
      </c>
      <c r="F267" s="27">
        <f>D267*(($F$164)+1)+(IF(E267&lt;101,E267,IF(E267&lt;201,E267/2,IF(E267&lt;=301,E267/3,E267/4))))</f>
        <v>1055.7331199999999</v>
      </c>
      <c r="G267" s="61"/>
      <c r="H267" s="62"/>
      <c r="I267" s="28"/>
      <c r="N267" s="28"/>
    </row>
    <row r="268" spans="1:14" s="2" customFormat="1" ht="15.6" customHeight="1" x14ac:dyDescent="0.25">
      <c r="A268" s="27">
        <v>4</v>
      </c>
      <c r="B268" s="27" t="s">
        <v>183</v>
      </c>
      <c r="C268" s="27" t="s">
        <v>191</v>
      </c>
      <c r="D268" s="27">
        <f>(81.13+4.69)*10.764</f>
        <v>923.76647999999989</v>
      </c>
      <c r="E268" s="27">
        <v>0</v>
      </c>
      <c r="F268" s="27">
        <f>D268*(($F$164)+1)+(IF(E268&lt;101,E268,IF(E268&lt;201,E268/2,IF(E268&lt;=301,E268/3,E268/4))))</f>
        <v>1478.0263679999998</v>
      </c>
      <c r="G268" s="61"/>
      <c r="H268" s="62"/>
      <c r="I268" s="28"/>
      <c r="N268" s="28"/>
    </row>
    <row r="269" spans="1:14" s="2" customFormat="1" ht="15.6" customHeight="1" x14ac:dyDescent="0.25">
      <c r="A269" s="27">
        <v>5</v>
      </c>
      <c r="B269" s="27" t="s">
        <v>183</v>
      </c>
      <c r="C269" s="27" t="s">
        <v>190</v>
      </c>
      <c r="D269" s="27">
        <f t="shared" ref="D269" si="24">(65.24+4.69)*10.764</f>
        <v>752.72651999999982</v>
      </c>
      <c r="E269" s="27">
        <v>0</v>
      </c>
      <c r="F269" s="27">
        <f>D269*(($F$164)+1)+(IF(E269&lt;101,E269,IF(E269&lt;201,E269/2,IF(E269&lt;=301,E269/3,E269/4))))</f>
        <v>1204.3624319999997</v>
      </c>
      <c r="G269" s="63"/>
      <c r="H269" s="64"/>
      <c r="I269" s="28"/>
      <c r="N269" s="28"/>
    </row>
    <row r="270" spans="1:14" s="2" customFormat="1" ht="15.75" customHeight="1" x14ac:dyDescent="0.25">
      <c r="A270" s="115" t="s">
        <v>217</v>
      </c>
      <c r="B270" s="116"/>
      <c r="C270" s="116"/>
      <c r="D270" s="116"/>
      <c r="E270" s="116"/>
      <c r="F270" s="116"/>
      <c r="G270" s="116"/>
      <c r="H270" s="117"/>
      <c r="I270" s="28"/>
    </row>
    <row r="271" spans="1:14" s="2" customFormat="1" ht="15.75" customHeight="1" x14ac:dyDescent="0.25">
      <c r="A271" s="27">
        <v>1</v>
      </c>
      <c r="B271" s="27" t="s">
        <v>183</v>
      </c>
      <c r="C271" s="27" t="s">
        <v>190</v>
      </c>
      <c r="D271" s="27">
        <f>(57.92+4.7)*10.764</f>
        <v>674.04168000000004</v>
      </c>
      <c r="E271" s="27">
        <v>0</v>
      </c>
      <c r="F271" s="27">
        <f t="shared" ref="F271:F278" si="25">D271*(($F$164)+1)+(IF(E271&lt;101,E271,IF(E271&lt;201,E271/2,IF(E271&lt;=301,E271/3,E271/4))))</f>
        <v>1078.4666880000002</v>
      </c>
      <c r="G271" s="59" t="str">
        <f>A270</f>
        <v>1st, 3rd to 6th, 8th to 11th &amp; 13th Floor</v>
      </c>
      <c r="H271" s="60"/>
      <c r="I271" s="28"/>
      <c r="N271" s="28"/>
    </row>
    <row r="272" spans="1:14" s="2" customFormat="1" ht="15.75" customHeight="1" x14ac:dyDescent="0.25">
      <c r="A272" s="27">
        <v>2</v>
      </c>
      <c r="B272" s="27" t="s">
        <v>183</v>
      </c>
      <c r="C272" s="27" t="s">
        <v>190</v>
      </c>
      <c r="D272" s="27">
        <f>(56.43+4.87)*10.764</f>
        <v>659.83319999999992</v>
      </c>
      <c r="E272" s="27">
        <v>0</v>
      </c>
      <c r="F272" s="27">
        <f t="shared" si="25"/>
        <v>1055.7331199999999</v>
      </c>
      <c r="G272" s="61"/>
      <c r="H272" s="62"/>
      <c r="I272" s="28"/>
      <c r="N272" s="28"/>
    </row>
    <row r="273" spans="1:14" s="2" customFormat="1" ht="15.75" customHeight="1" x14ac:dyDescent="0.25">
      <c r="A273" s="27">
        <v>3</v>
      </c>
      <c r="B273" s="27" t="s">
        <v>183</v>
      </c>
      <c r="C273" s="27" t="s">
        <v>190</v>
      </c>
      <c r="D273" s="27">
        <f>(56.43+4.87)*10.764</f>
        <v>659.83319999999992</v>
      </c>
      <c r="E273" s="27">
        <v>0</v>
      </c>
      <c r="F273" s="27">
        <f t="shared" si="25"/>
        <v>1055.7331199999999</v>
      </c>
      <c r="G273" s="61"/>
      <c r="H273" s="62"/>
      <c r="I273" s="28"/>
      <c r="N273" s="28"/>
    </row>
    <row r="274" spans="1:14" s="2" customFormat="1" ht="15.75" customHeight="1" x14ac:dyDescent="0.25">
      <c r="A274" s="27">
        <v>4</v>
      </c>
      <c r="B274" s="27" t="s">
        <v>183</v>
      </c>
      <c r="C274" s="27" t="s">
        <v>191</v>
      </c>
      <c r="D274" s="27">
        <f>(81.13+4.69)*10.764</f>
        <v>923.76647999999989</v>
      </c>
      <c r="E274" s="27">
        <v>0</v>
      </c>
      <c r="F274" s="27">
        <f t="shared" si="25"/>
        <v>1478.0263679999998</v>
      </c>
      <c r="G274" s="61"/>
      <c r="H274" s="62"/>
      <c r="I274" s="28"/>
      <c r="N274" s="28"/>
    </row>
    <row r="275" spans="1:14" s="2" customFormat="1" ht="15.75" customHeight="1" x14ac:dyDescent="0.25">
      <c r="A275" s="27">
        <v>5</v>
      </c>
      <c r="B275" s="27" t="s">
        <v>183</v>
      </c>
      <c r="C275" s="27" t="s">
        <v>191</v>
      </c>
      <c r="D275" s="27">
        <f>(81.13+4.69)*10.764</f>
        <v>923.76647999999989</v>
      </c>
      <c r="E275" s="27">
        <v>0</v>
      </c>
      <c r="F275" s="27">
        <f t="shared" si="25"/>
        <v>1478.0263679999998</v>
      </c>
      <c r="G275" s="61"/>
      <c r="H275" s="62"/>
      <c r="I275" s="28"/>
      <c r="N275" s="28"/>
    </row>
    <row r="276" spans="1:14" s="2" customFormat="1" ht="15.75" customHeight="1" x14ac:dyDescent="0.25">
      <c r="A276" s="27">
        <v>6</v>
      </c>
      <c r="B276" s="27" t="s">
        <v>183</v>
      </c>
      <c r="C276" s="27" t="s">
        <v>195</v>
      </c>
      <c r="D276" s="27">
        <f>(49.59+4.57)*10.764</f>
        <v>582.97824000000003</v>
      </c>
      <c r="E276" s="27">
        <v>0</v>
      </c>
      <c r="F276" s="27">
        <f t="shared" si="25"/>
        <v>932.76518400000009</v>
      </c>
      <c r="G276" s="61"/>
      <c r="H276" s="62"/>
      <c r="I276" s="28"/>
      <c r="N276" s="28"/>
    </row>
    <row r="277" spans="1:14" s="2" customFormat="1" ht="15.75" customHeight="1" x14ac:dyDescent="0.25">
      <c r="A277" s="27">
        <v>7</v>
      </c>
      <c r="B277" s="27" t="s">
        <v>183</v>
      </c>
      <c r="C277" s="27" t="s">
        <v>195</v>
      </c>
      <c r="D277" s="27">
        <f>(49.59+4.57)*10.764</f>
        <v>582.97824000000003</v>
      </c>
      <c r="E277" s="27">
        <v>0</v>
      </c>
      <c r="F277" s="27">
        <f t="shared" si="25"/>
        <v>932.76518400000009</v>
      </c>
      <c r="G277" s="61"/>
      <c r="H277" s="62"/>
      <c r="I277" s="28"/>
      <c r="N277" s="28"/>
    </row>
    <row r="278" spans="1:14" s="2" customFormat="1" ht="15.75" customHeight="1" x14ac:dyDescent="0.25">
      <c r="A278" s="27">
        <v>8</v>
      </c>
      <c r="B278" s="27" t="s">
        <v>183</v>
      </c>
      <c r="C278" s="27" t="s">
        <v>190</v>
      </c>
      <c r="D278" s="27">
        <f>(56.74+4.7)*10.764</f>
        <v>661.34015999999997</v>
      </c>
      <c r="E278" s="27">
        <v>0</v>
      </c>
      <c r="F278" s="27">
        <f t="shared" si="25"/>
        <v>1058.144256</v>
      </c>
      <c r="G278" s="63"/>
      <c r="H278" s="64"/>
      <c r="I278" s="28"/>
      <c r="N278" s="28"/>
    </row>
    <row r="279" spans="1:14" s="2" customFormat="1" ht="15.75" customHeight="1" x14ac:dyDescent="0.25">
      <c r="A279" s="115" t="s">
        <v>205</v>
      </c>
      <c r="B279" s="116"/>
      <c r="C279" s="116"/>
      <c r="D279" s="116"/>
      <c r="E279" s="116"/>
      <c r="F279" s="116"/>
      <c r="G279" s="116"/>
      <c r="H279" s="117"/>
      <c r="I279" s="28"/>
    </row>
    <row r="280" spans="1:14" s="2" customFormat="1" ht="15.75" customHeight="1" x14ac:dyDescent="0.25">
      <c r="A280" s="27">
        <v>1</v>
      </c>
      <c r="B280" s="27" t="s">
        <v>183</v>
      </c>
      <c r="C280" s="27" t="s">
        <v>190</v>
      </c>
      <c r="D280" s="27">
        <f>(57.92+4.7)*10.764</f>
        <v>674.04168000000004</v>
      </c>
      <c r="E280" s="27">
        <v>0</v>
      </c>
      <c r="F280" s="27">
        <f>D280*(($F$164)+1)+(IF(E280&lt;101,E280,IF(E280&lt;201,E280/2,IF(E280&lt;=301,E280/3,E280/4))))</f>
        <v>1078.4666880000002</v>
      </c>
      <c r="G280" s="59" t="str">
        <f>A279</f>
        <v>2nd, 7th &amp; 12th Floor (Part Refuge Area)</v>
      </c>
      <c r="H280" s="60"/>
      <c r="I280" s="28"/>
      <c r="N280" s="28"/>
    </row>
    <row r="281" spans="1:14" s="2" customFormat="1" ht="15.75" customHeight="1" x14ac:dyDescent="0.25">
      <c r="A281" s="27">
        <v>2</v>
      </c>
      <c r="B281" s="27" t="s">
        <v>183</v>
      </c>
      <c r="C281" s="27" t="s">
        <v>190</v>
      </c>
      <c r="D281" s="27">
        <f>(56.43+4.87)*10.764</f>
        <v>659.83319999999992</v>
      </c>
      <c r="E281" s="27">
        <v>0</v>
      </c>
      <c r="F281" s="27">
        <f>D281*(($F$164)+1)+(IF(E281&lt;101,E281,IF(E281&lt;201,E281/2,IF(E281&lt;=301,E281/3,E281/4))))</f>
        <v>1055.7331199999999</v>
      </c>
      <c r="G281" s="61"/>
      <c r="H281" s="62"/>
      <c r="I281" s="28"/>
      <c r="N281" s="28"/>
    </row>
    <row r="282" spans="1:14" s="2" customFormat="1" ht="15.75" customHeight="1" x14ac:dyDescent="0.25">
      <c r="A282" s="27">
        <v>3</v>
      </c>
      <c r="B282" s="27" t="s">
        <v>183</v>
      </c>
      <c r="C282" s="27" t="s">
        <v>190</v>
      </c>
      <c r="D282" s="27">
        <f>(56.43+4.87)*10.764</f>
        <v>659.83319999999992</v>
      </c>
      <c r="E282" s="27">
        <v>0</v>
      </c>
      <c r="F282" s="27">
        <f>D282*(($F$164)+1)+(IF(E282&lt;101,E282,IF(E282&lt;201,E282/2,IF(E282&lt;=301,E282/3,E282/4))))</f>
        <v>1055.7331199999999</v>
      </c>
      <c r="G282" s="61"/>
      <c r="H282" s="62"/>
      <c r="I282" s="28"/>
      <c r="N282" s="28"/>
    </row>
    <row r="283" spans="1:14" s="2" customFormat="1" ht="15.75" customHeight="1" x14ac:dyDescent="0.25">
      <c r="A283" s="27">
        <v>4</v>
      </c>
      <c r="B283" s="27" t="s">
        <v>183</v>
      </c>
      <c r="C283" s="27" t="s">
        <v>191</v>
      </c>
      <c r="D283" s="27">
        <f>(81.13+4.69)*10.764</f>
        <v>923.76647999999989</v>
      </c>
      <c r="E283" s="27">
        <v>0</v>
      </c>
      <c r="F283" s="27">
        <f>D283*(($F$164)+1)+(IF(E283&lt;101,E283,IF(E283&lt;201,E283/2,IF(E283&lt;=301,E283/3,E283/4))))</f>
        <v>1478.0263679999998</v>
      </c>
      <c r="G283" s="61"/>
      <c r="H283" s="62"/>
      <c r="I283" s="28"/>
      <c r="N283" s="28"/>
    </row>
    <row r="284" spans="1:14" s="2" customFormat="1" ht="15.75" customHeight="1" x14ac:dyDescent="0.25">
      <c r="A284" s="27">
        <v>5</v>
      </c>
      <c r="B284" s="27" t="s">
        <v>183</v>
      </c>
      <c r="C284" s="27" t="s">
        <v>191</v>
      </c>
      <c r="D284" s="27">
        <f>(81.13+4.69)*10.764</f>
        <v>923.76647999999989</v>
      </c>
      <c r="E284" s="27">
        <v>0</v>
      </c>
      <c r="F284" s="27">
        <f>D284*(($F$164)+1)+(IF(E284&lt;101,E284,IF(E284&lt;201,E284/2,IF(E284&lt;=301,E284/3,E284/4))))</f>
        <v>1478.0263679999998</v>
      </c>
      <c r="G284" s="61"/>
      <c r="H284" s="62"/>
      <c r="I284" s="28"/>
      <c r="N284" s="28"/>
    </row>
    <row r="285" spans="1:14" s="2" customFormat="1" ht="15.75" customHeight="1" x14ac:dyDescent="0.25">
      <c r="A285" s="27">
        <v>6</v>
      </c>
      <c r="B285" s="27" t="s">
        <v>189</v>
      </c>
      <c r="C285" s="118" t="s">
        <v>197</v>
      </c>
      <c r="D285" s="119"/>
      <c r="E285" s="119"/>
      <c r="F285" s="120"/>
      <c r="G285" s="61"/>
      <c r="H285" s="62"/>
      <c r="I285" s="28"/>
      <c r="N285" s="28"/>
    </row>
    <row r="286" spans="1:14" s="2" customFormat="1" ht="15.75" customHeight="1" x14ac:dyDescent="0.25">
      <c r="A286" s="27">
        <v>7</v>
      </c>
      <c r="B286" s="27" t="s">
        <v>183</v>
      </c>
      <c r="C286" s="27" t="s">
        <v>195</v>
      </c>
      <c r="D286" s="27">
        <f>(49.59+4.57)*10.764</f>
        <v>582.97824000000003</v>
      </c>
      <c r="E286" s="27">
        <v>0</v>
      </c>
      <c r="F286" s="27">
        <f>D286*(($F$164)+1)+(IF(E286&lt;101,E286,IF(E286&lt;201,E286/2,IF(E286&lt;=301,E286/3,E286/4))))</f>
        <v>932.76518400000009</v>
      </c>
      <c r="G286" s="61"/>
      <c r="H286" s="62"/>
      <c r="I286" s="28"/>
      <c r="N286" s="28"/>
    </row>
    <row r="287" spans="1:14" s="2" customFormat="1" ht="15.75" customHeight="1" x14ac:dyDescent="0.25">
      <c r="A287" s="27">
        <v>8</v>
      </c>
      <c r="B287" s="27" t="s">
        <v>183</v>
      </c>
      <c r="C287" s="27" t="s">
        <v>190</v>
      </c>
      <c r="D287" s="27">
        <f>(56.74+4.7)*10.764</f>
        <v>661.34015999999997</v>
      </c>
      <c r="E287" s="27">
        <v>0</v>
      </c>
      <c r="F287" s="27">
        <f>D287*(($F$164)+1)+(IF(E287&lt;101,E287,IF(E287&lt;201,E287/2,IF(E287&lt;=301,E287/3,E287/4))))</f>
        <v>1058.144256</v>
      </c>
      <c r="G287" s="63"/>
      <c r="H287" s="64"/>
      <c r="I287" s="28"/>
      <c r="N287" s="28"/>
    </row>
    <row r="288" spans="1:14" s="1" customFormat="1" x14ac:dyDescent="0.25">
      <c r="A288" s="128" t="s">
        <v>74</v>
      </c>
      <c r="B288" s="128"/>
      <c r="C288" s="128"/>
      <c r="D288" s="128"/>
      <c r="E288" s="128"/>
      <c r="F288" s="128"/>
      <c r="G288" s="128"/>
      <c r="H288" s="128"/>
    </row>
    <row r="289" spans="1:8" s="1" customFormat="1" ht="31.5" customHeight="1" x14ac:dyDescent="0.25">
      <c r="A289" s="34" t="s">
        <v>159</v>
      </c>
      <c r="B289" s="65" t="s">
        <v>236</v>
      </c>
      <c r="C289" s="66"/>
      <c r="D289" s="66"/>
      <c r="E289" s="66"/>
      <c r="F289" s="66"/>
      <c r="G289" s="66"/>
      <c r="H289" s="67"/>
    </row>
    <row r="290" spans="1:8" s="1" customFormat="1" x14ac:dyDescent="0.25">
      <c r="A290" s="34" t="s">
        <v>159</v>
      </c>
      <c r="B290" s="65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290" s="66"/>
      <c r="D290" s="66"/>
      <c r="E290" s="66"/>
      <c r="F290" s="66"/>
      <c r="G290" s="66"/>
      <c r="H290" s="67"/>
    </row>
    <row r="291" spans="1:8" s="1" customFormat="1" x14ac:dyDescent="0.25">
      <c r="A291" s="34" t="s">
        <v>159</v>
      </c>
      <c r="B291" s="65" t="str">
        <f>(IF(F131="Saleable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91" s="66"/>
      <c r="D291" s="66"/>
      <c r="E291" s="66"/>
      <c r="F291" s="66"/>
      <c r="G291" s="66"/>
      <c r="H291" s="67"/>
    </row>
    <row r="292" spans="1:8" s="1" customFormat="1" x14ac:dyDescent="0.25">
      <c r="A292" s="34" t="s">
        <v>159</v>
      </c>
      <c r="B292" s="97" t="s">
        <v>128</v>
      </c>
      <c r="C292" s="98"/>
      <c r="D292" s="98"/>
      <c r="E292" s="98"/>
      <c r="F292" s="98"/>
      <c r="G292" s="98"/>
      <c r="H292" s="99"/>
    </row>
    <row r="293" spans="1:8" s="1" customFormat="1" x14ac:dyDescent="0.25">
      <c r="A293" s="34" t="s">
        <v>159</v>
      </c>
      <c r="B293" s="97" t="s">
        <v>202</v>
      </c>
      <c r="C293" s="98"/>
      <c r="D293" s="98"/>
      <c r="E293" s="98"/>
      <c r="F293" s="98"/>
      <c r="G293" s="98"/>
      <c r="H293" s="99"/>
    </row>
    <row r="294" spans="1:8" s="1" customFormat="1" x14ac:dyDescent="0.25">
      <c r="A294" s="34" t="s">
        <v>159</v>
      </c>
      <c r="B294" s="97" t="s">
        <v>158</v>
      </c>
      <c r="C294" s="98"/>
      <c r="D294" s="98"/>
      <c r="E294" s="98"/>
      <c r="F294" s="98"/>
      <c r="G294" s="98"/>
      <c r="H294" s="99"/>
    </row>
    <row r="295" spans="1:8" s="1" customFormat="1" x14ac:dyDescent="0.25">
      <c r="A295" s="34" t="s">
        <v>159</v>
      </c>
      <c r="B295" s="97" t="s">
        <v>129</v>
      </c>
      <c r="C295" s="98"/>
      <c r="D295" s="98"/>
      <c r="E295" s="98"/>
      <c r="F295" s="98"/>
      <c r="G295" s="98"/>
      <c r="H295" s="99"/>
    </row>
    <row r="296" spans="1:8" s="1" customFormat="1" ht="34.5" customHeight="1" x14ac:dyDescent="0.25">
      <c r="A296" s="34" t="s">
        <v>159</v>
      </c>
      <c r="B296" s="97" t="s">
        <v>160</v>
      </c>
      <c r="C296" s="98"/>
      <c r="D296" s="98"/>
      <c r="E296" s="98"/>
      <c r="F296" s="98"/>
      <c r="G296" s="98"/>
      <c r="H296" s="99"/>
    </row>
    <row r="297" spans="1:8" s="1" customFormat="1" x14ac:dyDescent="0.25">
      <c r="A297" s="34" t="s">
        <v>159</v>
      </c>
      <c r="B297" s="97" t="s">
        <v>130</v>
      </c>
      <c r="C297" s="98"/>
      <c r="D297" s="98"/>
      <c r="E297" s="98"/>
      <c r="F297" s="98"/>
      <c r="G297" s="98"/>
      <c r="H297" s="99"/>
    </row>
    <row r="298" spans="1:8" s="1" customFormat="1" hidden="1" x14ac:dyDescent="0.25">
      <c r="A298" s="34" t="s">
        <v>159</v>
      </c>
      <c r="B298" s="65" t="s">
        <v>219</v>
      </c>
      <c r="C298" s="66"/>
      <c r="D298" s="66"/>
      <c r="E298" s="66"/>
      <c r="F298" s="66"/>
      <c r="G298" s="66"/>
      <c r="H298" s="67"/>
    </row>
    <row r="299" spans="1:8" s="1" customFormat="1" x14ac:dyDescent="0.25">
      <c r="A299" s="34" t="s">
        <v>159</v>
      </c>
      <c r="B299" s="65" t="s">
        <v>243</v>
      </c>
      <c r="C299" s="66"/>
      <c r="D299" s="66"/>
      <c r="E299" s="66"/>
      <c r="F299" s="66"/>
      <c r="G299" s="66"/>
      <c r="H299" s="67"/>
    </row>
    <row r="300" spans="1:8" s="1" customFormat="1" ht="32.25" customHeight="1" x14ac:dyDescent="0.25">
      <c r="A300" s="34" t="s">
        <v>159</v>
      </c>
      <c r="B300" s="65" t="s">
        <v>244</v>
      </c>
      <c r="C300" s="66"/>
      <c r="D300" s="66"/>
      <c r="E300" s="66"/>
      <c r="F300" s="66"/>
      <c r="G300" s="66"/>
      <c r="H300" s="67"/>
    </row>
    <row r="301" spans="1:8" x14ac:dyDescent="0.25">
      <c r="A301" s="129" t="s">
        <v>67</v>
      </c>
      <c r="B301" s="129"/>
      <c r="C301" s="129"/>
      <c r="D301" s="129"/>
      <c r="E301" s="129"/>
      <c r="F301" s="129"/>
      <c r="G301" s="129"/>
      <c r="H301" s="129"/>
    </row>
    <row r="302" spans="1:8" x14ac:dyDescent="0.25">
      <c r="A302" s="71" t="s">
        <v>68</v>
      </c>
      <c r="B302" s="71"/>
      <c r="C302" s="71"/>
      <c r="D302" s="71"/>
      <c r="E302" s="71"/>
      <c r="F302" s="71"/>
      <c r="G302" s="71"/>
      <c r="H302" s="71"/>
    </row>
    <row r="303" spans="1:8" ht="15.75" customHeight="1" x14ac:dyDescent="0.25">
      <c r="A303" s="72" t="s">
        <v>69</v>
      </c>
      <c r="B303" s="72"/>
      <c r="C303" s="72"/>
      <c r="D303" s="72"/>
      <c r="E303" s="72"/>
      <c r="F303" s="72"/>
      <c r="G303" s="72"/>
      <c r="H303" s="72"/>
    </row>
    <row r="304" spans="1:8" x14ac:dyDescent="0.25">
      <c r="A304" s="71" t="s">
        <v>70</v>
      </c>
      <c r="B304" s="71"/>
      <c r="C304" s="71"/>
      <c r="D304" s="71"/>
      <c r="E304" s="71"/>
      <c r="F304" s="71"/>
      <c r="G304" s="71"/>
      <c r="H304" s="71"/>
    </row>
    <row r="305" spans="1:8" x14ac:dyDescent="0.25">
      <c r="A305" s="71" t="s">
        <v>71</v>
      </c>
      <c r="B305" s="71"/>
      <c r="C305" s="71"/>
      <c r="D305" s="71"/>
      <c r="E305" s="71"/>
      <c r="F305" s="71"/>
      <c r="G305" s="71"/>
      <c r="H305" s="71"/>
    </row>
    <row r="306" spans="1:8" x14ac:dyDescent="0.25">
      <c r="A306" s="71" t="s">
        <v>131</v>
      </c>
      <c r="B306" s="71"/>
      <c r="C306" s="71"/>
      <c r="D306" s="71"/>
      <c r="E306" s="71"/>
      <c r="F306" s="71"/>
      <c r="G306" s="71"/>
      <c r="H306" s="71"/>
    </row>
    <row r="307" spans="1:8" ht="35.25" customHeight="1" x14ac:dyDescent="0.25">
      <c r="A307" s="127" t="s">
        <v>132</v>
      </c>
      <c r="B307" s="127"/>
      <c r="C307" s="127"/>
      <c r="D307" s="127"/>
      <c r="E307" s="127"/>
      <c r="F307" s="127"/>
      <c r="G307" s="127"/>
      <c r="H307" s="127"/>
    </row>
    <row r="308" spans="1:8" x14ac:dyDescent="0.25">
      <c r="A308" s="125" t="s">
        <v>84</v>
      </c>
      <c r="B308" s="125"/>
      <c r="C308" s="125" t="s">
        <v>210</v>
      </c>
      <c r="D308" s="125"/>
      <c r="E308" s="125" t="s">
        <v>111</v>
      </c>
      <c r="F308" s="125"/>
      <c r="G308" s="125" t="s">
        <v>245</v>
      </c>
      <c r="H308" s="125"/>
    </row>
    <row r="309" spans="1:8" x14ac:dyDescent="0.25">
      <c r="A309" s="124" t="s">
        <v>86</v>
      </c>
      <c r="B309" s="124"/>
      <c r="C309" s="124"/>
      <c r="D309" s="124"/>
      <c r="E309" s="124"/>
      <c r="F309" s="124"/>
      <c r="G309" s="124"/>
      <c r="H309" s="124"/>
    </row>
    <row r="310" spans="1:8" x14ac:dyDescent="0.25">
      <c r="A310" s="124"/>
      <c r="B310" s="124"/>
      <c r="C310" s="124"/>
      <c r="D310" s="124"/>
      <c r="E310" s="124"/>
      <c r="F310" s="124"/>
      <c r="G310" s="124"/>
      <c r="H310" s="124"/>
    </row>
    <row r="311" spans="1:8" x14ac:dyDescent="0.25">
      <c r="A311" s="124"/>
      <c r="B311" s="124"/>
      <c r="C311" s="124"/>
      <c r="D311" s="124"/>
      <c r="E311" s="124"/>
      <c r="F311" s="124"/>
      <c r="G311" s="124"/>
      <c r="H311" s="124"/>
    </row>
    <row r="312" spans="1:8" x14ac:dyDescent="0.25">
      <c r="A312" s="124"/>
      <c r="B312" s="124"/>
      <c r="C312" s="124"/>
      <c r="D312" s="124"/>
      <c r="E312" s="124"/>
      <c r="F312" s="124"/>
      <c r="G312" s="124"/>
      <c r="H312" s="124"/>
    </row>
    <row r="313" spans="1:8" x14ac:dyDescent="0.25">
      <c r="A313" s="8" t="s">
        <v>72</v>
      </c>
      <c r="B313" s="9"/>
      <c r="C313" s="9"/>
      <c r="D313" s="8" t="str">
        <f>E8</f>
        <v>Dosti West County Sector 2 - Dosti Tulip</v>
      </c>
      <c r="F313" s="9"/>
      <c r="G313" s="9"/>
      <c r="H313" s="9"/>
    </row>
    <row r="314" spans="1:8" x14ac:dyDescent="0.25">
      <c r="A314" s="9"/>
      <c r="B314" s="9"/>
      <c r="C314" s="9"/>
      <c r="D314" s="9"/>
      <c r="E314" s="9"/>
      <c r="F314" s="9"/>
      <c r="G314" s="9"/>
      <c r="H314" s="9"/>
    </row>
    <row r="315" spans="1:8" x14ac:dyDescent="0.25">
      <c r="A315" s="9"/>
      <c r="B315" s="9"/>
      <c r="C315" s="9"/>
      <c r="D315" s="9"/>
      <c r="E315" s="9"/>
      <c r="F315" s="9"/>
      <c r="G315" s="9"/>
      <c r="H315" s="9"/>
    </row>
    <row r="316" spans="1:8" ht="15" customHeight="1" x14ac:dyDescent="0.25"/>
    <row r="356" spans="1:1" x14ac:dyDescent="0.25">
      <c r="A356" s="11" t="s">
        <v>73</v>
      </c>
    </row>
  </sheetData>
  <mergeCells count="403">
    <mergeCell ref="A90:B90"/>
    <mergeCell ref="E94:F94"/>
    <mergeCell ref="G94:H94"/>
    <mergeCell ref="A102:B102"/>
    <mergeCell ref="A103:B103"/>
    <mergeCell ref="A104:B104"/>
    <mergeCell ref="B163:B164"/>
    <mergeCell ref="C91:H91"/>
    <mergeCell ref="A93:B93"/>
    <mergeCell ref="A77:B77"/>
    <mergeCell ref="C77:H77"/>
    <mergeCell ref="A79:B79"/>
    <mergeCell ref="C79:H79"/>
    <mergeCell ref="A80:B80"/>
    <mergeCell ref="E80:F80"/>
    <mergeCell ref="G80:H80"/>
    <mergeCell ref="A81:B81"/>
    <mergeCell ref="E81:F90"/>
    <mergeCell ref="G81:H90"/>
    <mergeCell ref="A82:B82"/>
    <mergeCell ref="A83:B83"/>
    <mergeCell ref="A84:B84"/>
    <mergeCell ref="A85:B85"/>
    <mergeCell ref="A86:B86"/>
    <mergeCell ref="A87:B87"/>
    <mergeCell ref="A88:B88"/>
    <mergeCell ref="A89:B89"/>
    <mergeCell ref="A91:B91"/>
    <mergeCell ref="A252:H252"/>
    <mergeCell ref="A243:H243"/>
    <mergeCell ref="C245:F245"/>
    <mergeCell ref="G124:H124"/>
    <mergeCell ref="C125:D125"/>
    <mergeCell ref="E125:F125"/>
    <mergeCell ref="G125:H125"/>
    <mergeCell ref="C123:D123"/>
    <mergeCell ref="G123:H123"/>
    <mergeCell ref="B131:B132"/>
    <mergeCell ref="A131:A132"/>
    <mergeCell ref="C126:D126"/>
    <mergeCell ref="C93:H93"/>
    <mergeCell ref="A94:B94"/>
    <mergeCell ref="A95:B95"/>
    <mergeCell ref="E95:F104"/>
    <mergeCell ref="G95:H104"/>
    <mergeCell ref="A96:B96"/>
    <mergeCell ref="A97:B97"/>
    <mergeCell ref="A98:B98"/>
    <mergeCell ref="A99:B99"/>
    <mergeCell ref="A100:B100"/>
    <mergeCell ref="A101:B101"/>
    <mergeCell ref="L224:M224"/>
    <mergeCell ref="A225:H225"/>
    <mergeCell ref="L225:M225"/>
    <mergeCell ref="C226:F229"/>
    <mergeCell ref="A223:H223"/>
    <mergeCell ref="L223:M223"/>
    <mergeCell ref="A222:H222"/>
    <mergeCell ref="L261:M261"/>
    <mergeCell ref="A263:H263"/>
    <mergeCell ref="L263:M263"/>
    <mergeCell ref="A262:H262"/>
    <mergeCell ref="L262:M262"/>
    <mergeCell ref="A261:H261"/>
    <mergeCell ref="L167:M167"/>
    <mergeCell ref="A165:H165"/>
    <mergeCell ref="L165:M165"/>
    <mergeCell ref="C169:F172"/>
    <mergeCell ref="A166:H166"/>
    <mergeCell ref="L166:M166"/>
    <mergeCell ref="L168:M168"/>
    <mergeCell ref="A167:H167"/>
    <mergeCell ref="L222:M222"/>
    <mergeCell ref="L154:M154"/>
    <mergeCell ref="L155:M155"/>
    <mergeCell ref="G156:H156"/>
    <mergeCell ref="L156:M156"/>
    <mergeCell ref="G162:H162"/>
    <mergeCell ref="L162:M162"/>
    <mergeCell ref="G157:H157"/>
    <mergeCell ref="L157:M157"/>
    <mergeCell ref="G158:H158"/>
    <mergeCell ref="L158:M158"/>
    <mergeCell ref="G159:H159"/>
    <mergeCell ref="L159:M159"/>
    <mergeCell ref="G160:H160"/>
    <mergeCell ref="L160:M160"/>
    <mergeCell ref="G161:H161"/>
    <mergeCell ref="L161:M161"/>
    <mergeCell ref="G155:H155"/>
    <mergeCell ref="L142:M142"/>
    <mergeCell ref="G143:H143"/>
    <mergeCell ref="L143:M143"/>
    <mergeCell ref="G144:H144"/>
    <mergeCell ref="L144:M144"/>
    <mergeCell ref="G145:H145"/>
    <mergeCell ref="L145:M145"/>
    <mergeCell ref="G142:H142"/>
    <mergeCell ref="A148:H148"/>
    <mergeCell ref="L150:M150"/>
    <mergeCell ref="G151:H151"/>
    <mergeCell ref="L151:M151"/>
    <mergeCell ref="G152:H152"/>
    <mergeCell ref="L152:M152"/>
    <mergeCell ref="G153:H153"/>
    <mergeCell ref="L153:M153"/>
    <mergeCell ref="L146:M146"/>
    <mergeCell ref="G147:H147"/>
    <mergeCell ref="L147:M147"/>
    <mergeCell ref="A149:H149"/>
    <mergeCell ref="G150:H150"/>
    <mergeCell ref="L139:M139"/>
    <mergeCell ref="L138:M138"/>
    <mergeCell ref="L137:M137"/>
    <mergeCell ref="L136:M136"/>
    <mergeCell ref="L135:M135"/>
    <mergeCell ref="G139:H139"/>
    <mergeCell ref="G138:H138"/>
    <mergeCell ref="A127:B127"/>
    <mergeCell ref="L141:M141"/>
    <mergeCell ref="L140:M140"/>
    <mergeCell ref="G140:H140"/>
    <mergeCell ref="G141:H141"/>
    <mergeCell ref="G135:H135"/>
    <mergeCell ref="G136:H136"/>
    <mergeCell ref="G137:H137"/>
    <mergeCell ref="A134:H134"/>
    <mergeCell ref="C128:D128"/>
    <mergeCell ref="E128:F128"/>
    <mergeCell ref="G128:H128"/>
    <mergeCell ref="A130:H130"/>
    <mergeCell ref="C131:C132"/>
    <mergeCell ref="E131:E132"/>
    <mergeCell ref="G131:H132"/>
    <mergeCell ref="A129:H129"/>
    <mergeCell ref="A45:B45"/>
    <mergeCell ref="C45:H45"/>
    <mergeCell ref="B294:H294"/>
    <mergeCell ref="F107:H107"/>
    <mergeCell ref="A107:E107"/>
    <mergeCell ref="D131:D132"/>
    <mergeCell ref="A108:E108"/>
    <mergeCell ref="A113:E113"/>
    <mergeCell ref="F113:H113"/>
    <mergeCell ref="F108:H108"/>
    <mergeCell ref="F112:H112"/>
    <mergeCell ref="A120:B120"/>
    <mergeCell ref="A114:E114"/>
    <mergeCell ref="F114:H114"/>
    <mergeCell ref="A109:E109"/>
    <mergeCell ref="A111:E111"/>
    <mergeCell ref="A110:E110"/>
    <mergeCell ref="A126:B126"/>
    <mergeCell ref="A279:H279"/>
    <mergeCell ref="A224:H224"/>
    <mergeCell ref="A264:H264"/>
    <mergeCell ref="A270:H270"/>
    <mergeCell ref="G265:H269"/>
    <mergeCell ref="A112:E11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61:C61"/>
    <mergeCell ref="D61:H61"/>
    <mergeCell ref="A67:B67"/>
    <mergeCell ref="G66:H66"/>
    <mergeCell ref="A65:B65"/>
    <mergeCell ref="A63:B63"/>
    <mergeCell ref="C63:H63"/>
    <mergeCell ref="A309:H312"/>
    <mergeCell ref="A308:B308"/>
    <mergeCell ref="E308:F308"/>
    <mergeCell ref="C308:D308"/>
    <mergeCell ref="G308:H308"/>
    <mergeCell ref="A168:H168"/>
    <mergeCell ref="A304:H304"/>
    <mergeCell ref="A307:H307"/>
    <mergeCell ref="A305:H305"/>
    <mergeCell ref="A288:H288"/>
    <mergeCell ref="A177:H177"/>
    <mergeCell ref="A301:H301"/>
    <mergeCell ref="A302:H302"/>
    <mergeCell ref="B295:H295"/>
    <mergeCell ref="B291:H291"/>
    <mergeCell ref="B289:H289"/>
    <mergeCell ref="B290:H290"/>
    <mergeCell ref="B292:H292"/>
    <mergeCell ref="B293:H293"/>
    <mergeCell ref="B299:H299"/>
    <mergeCell ref="A117:H117"/>
    <mergeCell ref="A115:E115"/>
    <mergeCell ref="F115:H115"/>
    <mergeCell ref="A116:E116"/>
    <mergeCell ref="F116:H116"/>
    <mergeCell ref="G121:H121"/>
    <mergeCell ref="A71:B71"/>
    <mergeCell ref="A74:B74"/>
    <mergeCell ref="A125:B125"/>
    <mergeCell ref="F109:H109"/>
    <mergeCell ref="A106:E106"/>
    <mergeCell ref="G120:H120"/>
    <mergeCell ref="E123:F123"/>
    <mergeCell ref="E118:F118"/>
    <mergeCell ref="A118:B118"/>
    <mergeCell ref="F110:H110"/>
    <mergeCell ref="C119:D119"/>
    <mergeCell ref="E119:F119"/>
    <mergeCell ref="C118:D118"/>
    <mergeCell ref="A124:B124"/>
    <mergeCell ref="A119:B119"/>
    <mergeCell ref="A122:H122"/>
    <mergeCell ref="F111:H111"/>
    <mergeCell ref="G118:H118"/>
    <mergeCell ref="A53:C53"/>
    <mergeCell ref="D53:H53"/>
    <mergeCell ref="G50:H50"/>
    <mergeCell ref="C49:H49"/>
    <mergeCell ref="B298:H298"/>
    <mergeCell ref="G253:H260"/>
    <mergeCell ref="G244:H251"/>
    <mergeCell ref="G187:H194"/>
    <mergeCell ref="G196:H203"/>
    <mergeCell ref="G271:H278"/>
    <mergeCell ref="G280:H287"/>
    <mergeCell ref="A213:H213"/>
    <mergeCell ref="B296:H296"/>
    <mergeCell ref="C285:F285"/>
    <mergeCell ref="A234:H234"/>
    <mergeCell ref="C124:D124"/>
    <mergeCell ref="E124:F124"/>
    <mergeCell ref="C163:C164"/>
    <mergeCell ref="C127:D127"/>
    <mergeCell ref="A163:A164"/>
    <mergeCell ref="A186:H186"/>
    <mergeCell ref="A204:H204"/>
    <mergeCell ref="C188:F188"/>
    <mergeCell ref="A195:H195"/>
    <mergeCell ref="A306:H306"/>
    <mergeCell ref="A303:H303"/>
    <mergeCell ref="A123:B123"/>
    <mergeCell ref="D163:D164"/>
    <mergeCell ref="E163:E164"/>
    <mergeCell ref="G163:H164"/>
    <mergeCell ref="A72:B72"/>
    <mergeCell ref="F106:H106"/>
    <mergeCell ref="A105:H105"/>
    <mergeCell ref="G119:H119"/>
    <mergeCell ref="E127:F127"/>
    <mergeCell ref="G127:H127"/>
    <mergeCell ref="C120:D120"/>
    <mergeCell ref="E120:F120"/>
    <mergeCell ref="A121:B121"/>
    <mergeCell ref="C121:D121"/>
    <mergeCell ref="E121:F121"/>
    <mergeCell ref="B297:H297"/>
    <mergeCell ref="G146:H146"/>
    <mergeCell ref="G154:H154"/>
    <mergeCell ref="A128:B128"/>
    <mergeCell ref="A133:H133"/>
    <mergeCell ref="E126:F126"/>
    <mergeCell ref="G126:H126"/>
    <mergeCell ref="G235:H242"/>
    <mergeCell ref="G226:H233"/>
    <mergeCell ref="G214:H221"/>
    <mergeCell ref="G205:H212"/>
    <mergeCell ref="G178:H185"/>
    <mergeCell ref="G169:H176"/>
    <mergeCell ref="B300:H300"/>
    <mergeCell ref="I106:N106"/>
    <mergeCell ref="E39:H39"/>
    <mergeCell ref="A39:D39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2" max="16383" man="1"/>
    <brk id="90" max="16383" man="1"/>
    <brk id="128" max="7" man="1"/>
    <brk id="312" max="16383" man="1"/>
    <brk id="3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3"/>
    <col min="2" max="2" width="22.140625" style="13" customWidth="1"/>
    <col min="3" max="3" width="37" style="13" customWidth="1"/>
    <col min="4" max="5" width="11.42578125" style="13" customWidth="1"/>
    <col min="6" max="6" width="14" style="13" customWidth="1"/>
    <col min="7" max="7" width="20" style="13" customWidth="1"/>
    <col min="8" max="8" width="16.42578125" style="13" customWidth="1"/>
    <col min="9" max="16384" width="8.7109375" style="13"/>
  </cols>
  <sheetData>
    <row r="1" spans="1:9" ht="15" customHeight="1" x14ac:dyDescent="0.25"/>
    <row r="2" spans="1:9" ht="15" customHeight="1" x14ac:dyDescent="0.2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25">
      <c r="A3" s="14"/>
      <c r="B3" s="191" t="s">
        <v>112</v>
      </c>
      <c r="C3" s="191"/>
      <c r="D3" s="191"/>
      <c r="E3" s="191"/>
      <c r="F3" s="191"/>
      <c r="G3" s="191"/>
      <c r="H3" s="191"/>
    </row>
    <row r="4" spans="1:9" x14ac:dyDescent="0.25">
      <c r="A4" s="14"/>
      <c r="B4" s="15" t="s">
        <v>113</v>
      </c>
      <c r="C4" s="15" t="s">
        <v>114</v>
      </c>
      <c r="D4" s="15" t="s">
        <v>75</v>
      </c>
      <c r="E4" s="15" t="s">
        <v>115</v>
      </c>
      <c r="F4" s="15" t="s">
        <v>121</v>
      </c>
      <c r="G4" s="15" t="s">
        <v>122</v>
      </c>
      <c r="H4" s="15" t="s">
        <v>116</v>
      </c>
    </row>
    <row r="5" spans="1:9" ht="15" customHeight="1" x14ac:dyDescent="0.25">
      <c r="A5" s="14"/>
      <c r="B5" s="17" t="s">
        <v>117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25">
      <c r="A6" s="14"/>
      <c r="B6" s="17" t="s">
        <v>117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25">
      <c r="A7" s="14"/>
      <c r="B7" s="17" t="s">
        <v>117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25">
      <c r="A8" s="14"/>
      <c r="B8" s="17" t="s">
        <v>117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25">
      <c r="A9" s="14"/>
      <c r="B9" s="17" t="s">
        <v>117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25">
      <c r="A10" s="14"/>
      <c r="B10" s="17" t="s">
        <v>118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25">
      <c r="A11" s="14"/>
      <c r="B11" s="17" t="s">
        <v>118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25">
      <c r="A12" s="14"/>
      <c r="B12" s="22" t="s">
        <v>119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25">
      <c r="B13" s="22" t="s">
        <v>120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2025-07-10T08:45:12Z</cp:lastPrinted>
  <dcterms:created xsi:type="dcterms:W3CDTF">2019-07-16T09:29:46Z</dcterms:created>
  <dcterms:modified xsi:type="dcterms:W3CDTF">2025-07-10T08:45:57Z</dcterms:modified>
</cp:coreProperties>
</file>