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5" i="1" l="1"/>
  <c r="D174" i="1"/>
  <c r="J174" i="1" s="1"/>
  <c r="D173" i="1"/>
  <c r="J173" i="1" s="1"/>
  <c r="D172" i="1"/>
  <c r="J172" i="1" s="1"/>
  <c r="D171" i="1"/>
  <c r="J171" i="1" s="1"/>
  <c r="D170" i="1"/>
  <c r="J170" i="1" s="1"/>
  <c r="I169" i="1"/>
  <c r="D169" i="1"/>
  <c r="J169" i="1" s="1"/>
  <c r="I168" i="1"/>
  <c r="D168" i="1"/>
  <c r="J168" i="1" s="1"/>
  <c r="D167" i="1"/>
  <c r="J167" i="1" s="1"/>
  <c r="D166" i="1"/>
  <c r="J166" i="1" s="1"/>
  <c r="J165" i="1"/>
  <c r="D165" i="1"/>
  <c r="D164" i="1"/>
  <c r="J164" i="1" s="1"/>
  <c r="D163" i="1"/>
  <c r="J163" i="1" s="1"/>
  <c r="D162" i="1"/>
  <c r="J162" i="1" s="1"/>
  <c r="D161" i="1"/>
  <c r="J161" i="1" s="1"/>
  <c r="J160" i="1"/>
  <c r="D160" i="1"/>
  <c r="G159" i="1"/>
  <c r="G160" i="1" s="1"/>
  <c r="G161" i="1" s="1"/>
  <c r="G162" i="1" s="1"/>
  <c r="G163" i="1" s="1"/>
  <c r="D159" i="1"/>
  <c r="J159" i="1" s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J157" i="1"/>
  <c r="D156" i="1"/>
  <c r="J156" i="1" s="1"/>
  <c r="D155" i="1"/>
  <c r="J155" i="1" s="1"/>
  <c r="D154" i="1"/>
  <c r="J154" i="1" s="1"/>
  <c r="D153" i="1"/>
  <c r="J153" i="1" s="1"/>
  <c r="I152" i="1"/>
  <c r="D152" i="1"/>
  <c r="J152" i="1" s="1"/>
  <c r="I151" i="1"/>
  <c r="D151" i="1"/>
  <c r="J151" i="1" s="1"/>
  <c r="D150" i="1"/>
  <c r="J150" i="1" s="1"/>
  <c r="D149" i="1"/>
  <c r="J149" i="1" s="1"/>
  <c r="D148" i="1"/>
  <c r="J148" i="1" s="1"/>
  <c r="D147" i="1"/>
  <c r="J147" i="1" s="1"/>
  <c r="D146" i="1"/>
  <c r="J146" i="1" s="1"/>
  <c r="D145" i="1"/>
  <c r="J145" i="1" s="1"/>
  <c r="D144" i="1"/>
  <c r="J144" i="1" s="1"/>
  <c r="D143" i="1"/>
  <c r="J143" i="1" s="1"/>
  <c r="G142" i="1"/>
  <c r="G143" i="1" s="1"/>
  <c r="G144" i="1" s="1"/>
  <c r="G145" i="1" s="1"/>
  <c r="G146" i="1" s="1"/>
  <c r="D142" i="1"/>
  <c r="J142" i="1" s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D136" i="1"/>
  <c r="D135" i="1"/>
  <c r="D128" i="1"/>
  <c r="D127" i="1"/>
  <c r="D119" i="1"/>
  <c r="D118" i="1"/>
  <c r="D111" i="1"/>
  <c r="D110" i="1"/>
  <c r="E3" i="1"/>
  <c r="G170" i="1" l="1"/>
  <c r="G171" i="1" s="1"/>
  <c r="G172" i="1" s="1"/>
  <c r="G173" i="1" s="1"/>
  <c r="G164" i="1"/>
  <c r="G165" i="1" s="1"/>
  <c r="G166" i="1" s="1"/>
  <c r="G167" i="1" s="1"/>
  <c r="G153" i="1"/>
  <c r="G154" i="1" s="1"/>
  <c r="G155" i="1" s="1"/>
  <c r="G156" i="1" s="1"/>
  <c r="G147" i="1"/>
  <c r="G148" i="1" s="1"/>
  <c r="G149" i="1" s="1"/>
  <c r="G150" i="1" s="1"/>
  <c r="I118" i="1"/>
  <c r="I117" i="1"/>
  <c r="G174" i="1" l="1"/>
  <c r="G168" i="1"/>
  <c r="G169" i="1" s="1"/>
  <c r="G157" i="1"/>
  <c r="G151" i="1"/>
  <c r="G152" i="1" s="1"/>
  <c r="G92" i="1"/>
  <c r="J118" i="1"/>
  <c r="D126" i="1"/>
  <c r="D129" i="1"/>
  <c r="D130" i="1"/>
  <c r="D131" i="1"/>
  <c r="D132" i="1"/>
  <c r="D133" i="1"/>
  <c r="D134" i="1"/>
  <c r="D137" i="1"/>
  <c r="D138" i="1"/>
  <c r="D139" i="1"/>
  <c r="D140" i="1"/>
  <c r="D125" i="1"/>
  <c r="D108" i="1"/>
  <c r="D122" i="1"/>
  <c r="J122" i="1" s="1"/>
  <c r="D123" i="1"/>
  <c r="J123" i="1" s="1"/>
  <c r="D121" i="1"/>
  <c r="J121" i="1" s="1"/>
  <c r="D120" i="1"/>
  <c r="J120" i="1" s="1"/>
  <c r="J119" i="1"/>
  <c r="J111" i="1"/>
  <c r="J110" i="1"/>
  <c r="D109" i="1"/>
  <c r="J109" i="1" s="1"/>
  <c r="D112" i="1"/>
  <c r="J112" i="1" s="1"/>
  <c r="D113" i="1"/>
  <c r="J113" i="1" s="1"/>
  <c r="D114" i="1"/>
  <c r="J114" i="1" s="1"/>
  <c r="D115" i="1"/>
  <c r="D116" i="1"/>
  <c r="J116" i="1" s="1"/>
  <c r="D117" i="1"/>
  <c r="J117" i="1" s="1"/>
  <c r="D101" i="1"/>
  <c r="D102" i="1"/>
  <c r="D103" i="1"/>
  <c r="D104" i="1"/>
  <c r="D100" i="1"/>
  <c r="E100" i="1" s="1"/>
  <c r="J104" i="1" l="1"/>
  <c r="E104" i="1"/>
  <c r="J108" i="1"/>
  <c r="C95" i="1"/>
  <c r="E95" i="1"/>
  <c r="J103" i="1"/>
  <c r="E103" i="1"/>
  <c r="J102" i="1"/>
  <c r="E102" i="1"/>
  <c r="J101" i="1"/>
  <c r="E101" i="1"/>
  <c r="J115" i="1"/>
  <c r="C92" i="1"/>
  <c r="J100" i="1"/>
  <c r="E92" i="1"/>
  <c r="F11" i="5"/>
  <c r="G11" i="5" s="1"/>
  <c r="F10" i="5"/>
  <c r="G10" i="5" s="1"/>
  <c r="F9" i="5"/>
  <c r="G9" i="5" s="1"/>
  <c r="F8" i="5"/>
  <c r="G8" i="5" s="1"/>
  <c r="F7" i="5"/>
  <c r="G7" i="5" s="1"/>
  <c r="F6" i="5"/>
  <c r="F5" i="5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96" i="1"/>
  <c r="A177" i="1"/>
  <c r="A178" i="1" s="1"/>
  <c r="A179" i="1" s="1"/>
  <c r="A180" i="1" s="1"/>
  <c r="A181" i="1" s="1"/>
  <c r="A182" i="1" s="1"/>
  <c r="A183" i="1" s="1"/>
  <c r="G125" i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08" i="1"/>
  <c r="G109" i="1" s="1"/>
  <c r="G110" i="1" s="1"/>
  <c r="G111" i="1" s="1"/>
  <c r="G112" i="1" s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01" i="1"/>
  <c r="A102" i="1" s="1"/>
  <c r="A103" i="1" s="1"/>
  <c r="A104" i="1" s="1"/>
  <c r="G100" i="1"/>
  <c r="G101" i="1" s="1"/>
  <c r="G102" i="1" s="1"/>
  <c r="G103" i="1" s="1"/>
  <c r="G104" i="1" s="1"/>
  <c r="F89" i="1"/>
  <c r="J70" i="1"/>
  <c r="J69" i="1"/>
  <c r="J68" i="1"/>
  <c r="J67" i="1"/>
  <c r="C59" i="1"/>
  <c r="D56" i="1"/>
  <c r="D51" i="1"/>
  <c r="G46" i="1"/>
  <c r="G47" i="1" s="1"/>
  <c r="C46" i="1"/>
  <c r="E40" i="1"/>
  <c r="E41" i="1" s="1"/>
  <c r="E24" i="1"/>
  <c r="E22" i="1"/>
  <c r="C13" i="1"/>
  <c r="E7" i="1"/>
  <c r="P125" i="1"/>
  <c r="O125" i="1"/>
  <c r="H60" i="1"/>
  <c r="I34" i="3" l="1"/>
  <c r="H34" i="3" s="1"/>
  <c r="E34" i="3"/>
  <c r="L34" i="3"/>
  <c r="K34" i="3" s="1"/>
  <c r="G12" i="5"/>
  <c r="G119" i="1"/>
  <c r="G120" i="1" s="1"/>
  <c r="G121" i="1" s="1"/>
  <c r="G122" i="1" s="1"/>
  <c r="G113" i="1"/>
  <c r="G114" i="1" s="1"/>
  <c r="G115" i="1" s="1"/>
  <c r="G116" i="1" s="1"/>
  <c r="D65" i="1"/>
  <c r="J63" i="1"/>
  <c r="D72" i="1"/>
  <c r="D70" i="1"/>
  <c r="D68" i="1"/>
  <c r="D66" i="1"/>
  <c r="J64" i="1"/>
  <c r="D63" i="1" s="1"/>
  <c r="J62" i="1"/>
  <c r="J65" i="1"/>
  <c r="J66" i="1" s="1"/>
  <c r="J71" i="1" s="1"/>
  <c r="J72" i="1" s="1"/>
  <c r="D71" i="1"/>
  <c r="D67" i="1"/>
  <c r="D69" i="1"/>
  <c r="N125" i="1"/>
  <c r="A125" i="1" s="1"/>
  <c r="O126" i="1"/>
  <c r="P126" i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D34" i="3"/>
  <c r="E36" i="3" l="1"/>
  <c r="D36" i="3"/>
  <c r="G117" i="1"/>
  <c r="G118" i="1" s="1"/>
  <c r="G123" i="1"/>
  <c r="E63" i="1"/>
  <c r="I59" i="1" s="1"/>
  <c r="C61" i="1" s="1"/>
  <c r="D64" i="1"/>
  <c r="N126" i="1"/>
  <c r="A126" i="1" s="1"/>
  <c r="O127" i="1"/>
  <c r="G63" i="1"/>
  <c r="D58" i="1" s="1"/>
  <c r="F73" i="1" s="1"/>
  <c r="N127" i="1" l="1"/>
  <c r="A127" i="1" s="1"/>
  <c r="O128" i="1"/>
  <c r="N128" i="1" l="1"/>
  <c r="A128" i="1" s="1"/>
  <c r="O129" i="1"/>
  <c r="N129" i="1" l="1"/>
  <c r="A129" i="1" s="1"/>
  <c r="O130" i="1"/>
  <c r="N130" i="1" l="1"/>
  <c r="A130" i="1" s="1"/>
  <c r="O131" i="1"/>
  <c r="N131" i="1" l="1"/>
  <c r="A131" i="1" s="1"/>
  <c r="O132" i="1"/>
  <c r="O133" i="1" l="1"/>
  <c r="N132" i="1"/>
  <c r="A132" i="1" s="1"/>
  <c r="O134" i="1" l="1"/>
  <c r="N133" i="1"/>
  <c r="A133" i="1" s="1"/>
  <c r="N134" i="1" l="1"/>
  <c r="A134" i="1" s="1"/>
  <c r="O135" i="1"/>
  <c r="O136" i="1" l="1"/>
  <c r="N135" i="1"/>
  <c r="A135" i="1" s="1"/>
  <c r="N136" i="1" l="1"/>
  <c r="A136" i="1" s="1"/>
  <c r="O137" i="1"/>
  <c r="O138" i="1" l="1"/>
  <c r="N137" i="1"/>
  <c r="A137" i="1" s="1"/>
  <c r="N138" i="1" l="1"/>
  <c r="A138" i="1" s="1"/>
  <c r="O139" i="1"/>
  <c r="N139" i="1" l="1"/>
  <c r="A139" i="1" s="1"/>
  <c r="O140" i="1"/>
  <c r="N140" i="1" l="1"/>
  <c r="A140" i="1" s="1"/>
</calcChain>
</file>

<file path=xl/sharedStrings.xml><?xml version="1.0" encoding="utf-8"?>
<sst xmlns="http://schemas.openxmlformats.org/spreadsheetml/2006/main" count="367" uniqueCount="241">
  <si>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</si>
  <si>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</si>
  <si>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</si>
  <si>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</si>
  <si>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</si>
  <si>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</si>
  <si>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</si>
  <si>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</si>
  <si>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</si>
  <si>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</si>
  <si>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</si>
  <si>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</si>
  <si>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</si>
  <si>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</si>
  <si>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</si>
  <si>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</si>
  <si>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</si>
  <si>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</si>
  <si>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</si>
  <si>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</si>
  <si>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</si>
  <si>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</si>
  <si>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</si>
  <si>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</si>
  <si>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</si>
  <si>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</si>
  <si>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</si>
  <si>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</si>
  <si>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</si>
  <si>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</si>
  <si>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</si>
  <si>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</si>
  <si>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</si>
  <si>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</si>
  <si>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</si>
  <si>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</si>
  <si>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</si>
  <si>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</si>
  <si>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</si>
  <si>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</si>
  <si>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</si>
  <si>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</si>
  <si>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</si>
  <si>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</si>
  <si>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</si>
  <si>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</si>
  <si>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</si>
  <si>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</si>
  <si>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</si>
  <si>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</si>
  <si>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</si>
  <si>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</si>
  <si>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</si>
  <si>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</si>
  <si>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</si>
  <si>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</si>
  <si>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</si>
  <si>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</si>
  <si>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</si>
  <si>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</si>
  <si>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</si>
  <si>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</si>
  <si>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</si>
  <si>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</si>
  <si>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</si>
  <si>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</si>
  <si>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</si>
  <si>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</si>
  <si>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</si>
  <si>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</si>
  <si>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</si>
  <si>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</si>
  <si>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</si>
  <si>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</si>
  <si>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</si>
  <si>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</si>
  <si>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</si>
  <si>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</si>
  <si>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</si>
  <si>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</si>
  <si>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</si>
  <si>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</si>
  <si>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</si>
  <si>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</si>
  <si>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</si>
  <si>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</si>
  <si>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</si>
  <si>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</si>
  <si>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</si>
  <si>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</si>
  <si>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</si>
  <si>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</si>
  <si>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</si>
  <si>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</si>
  <si>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</si>
  <si>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</si>
  <si>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</si>
  <si>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</si>
  <si>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</si>
  <si>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</si>
  <si>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</si>
  <si>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</si>
  <si>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</si>
  <si>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</si>
  <si>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</si>
  <si>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</si>
  <si>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</si>
  <si>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</si>
  <si>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</si>
  <si>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</si>
  <si>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</si>
  <si>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</si>
  <si>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</si>
  <si>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</si>
  <si>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</si>
  <si>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</si>
  <si>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</si>
  <si>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</si>
  <si>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</si>
  <si>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</si>
  <si>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</si>
  <si>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</si>
  <si>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</si>
  <si>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</si>
  <si>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</si>
  <si>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</si>
  <si>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</si>
  <si>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</si>
  <si>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</si>
  <si>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</si>
  <si>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</si>
  <si>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</si>
  <si>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</si>
  <si>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</si>
  <si>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</si>
  <si>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</si>
  <si>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</si>
  <si>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</si>
  <si>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</si>
  <si>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</si>
  <si>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</si>
  <si>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</si>
  <si>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</si>
  <si>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</si>
  <si>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</si>
  <si>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</si>
  <si>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</si>
  <si>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</si>
  <si>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</si>
  <si>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</si>
  <si>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</si>
  <si>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</si>
  <si>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</si>
  <si>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</si>
  <si>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</si>
  <si>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</si>
  <si>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</si>
  <si>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</si>
  <si>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</si>
  <si>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</si>
  <si>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</si>
  <si>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</si>
  <si>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</si>
  <si>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</si>
  <si>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</si>
  <si>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</si>
  <si>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</si>
  <si>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</si>
  <si>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</si>
  <si>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</si>
  <si>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</si>
  <si>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</si>
  <si>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</si>
  <si>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</si>
  <si>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</si>
  <si>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</si>
  <si>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</si>
  <si>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</si>
  <si>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</si>
  <si>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</si>
  <si>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</si>
  <si>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</si>
  <si>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</si>
  <si>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</si>
  <si>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</si>
  <si>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</si>
  <si>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</si>
  <si>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</si>
  <si>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</si>
  <si>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</si>
  <si>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P52000030053
</t>
  </si>
  <si>
    <t>Axis Sanpada</t>
  </si>
  <si>
    <t>M/s.Mahalaxmi Cotton Mills</t>
  </si>
  <si>
    <t>Arihant Anant</t>
  </si>
  <si>
    <t>Gut No</t>
  </si>
  <si>
    <t>Taloje Majkur</t>
  </si>
  <si>
    <t>Panvel</t>
  </si>
  <si>
    <t xml:space="preserve">As per RERA - 30/12/2026
</t>
  </si>
  <si>
    <t>9082104456/8657895033</t>
  </si>
  <si>
    <t>Approved Plans, CC, Sale Plans, Builder Saleable Area</t>
  </si>
  <si>
    <t>Simran Majestic CHS Ltd</t>
  </si>
  <si>
    <t>Internal Road</t>
  </si>
  <si>
    <t>Open Plot</t>
  </si>
  <si>
    <t>Ghot Road</t>
  </si>
  <si>
    <t>Sunil Peravi</t>
  </si>
  <si>
    <t>Shop</t>
  </si>
  <si>
    <t>Ground Floor For Commetial And Parking</t>
  </si>
  <si>
    <t>1BHK</t>
  </si>
  <si>
    <t>2BHK</t>
  </si>
  <si>
    <t>2nd to 7th Floor</t>
  </si>
  <si>
    <t>Flats</t>
  </si>
  <si>
    <t>Raigad</t>
  </si>
  <si>
    <t>3.2 KM from Taloja Panchanand Railway Station</t>
  </si>
  <si>
    <t>Taloja Panchanand</t>
  </si>
  <si>
    <t>112/11/14/5</t>
  </si>
  <si>
    <t>Builder Saleable area</t>
  </si>
  <si>
    <t>We considered  Saleable area as per Builder area sheet.</t>
  </si>
  <si>
    <t>3,00,000/-</t>
  </si>
  <si>
    <t>3,50,000/-</t>
  </si>
  <si>
    <t>4800 to 5000</t>
  </si>
  <si>
    <t>cost sheet</t>
  </si>
  <si>
    <t>Akash</t>
  </si>
  <si>
    <t>PMC/TP/Taloje Majkur/112/11/14/5/21-21/16097/1963/2021</t>
  </si>
  <si>
    <t>PMP/NRV/16097/J.K/1963/2021</t>
  </si>
  <si>
    <t>Valid Up to:  G + 1st to 9th floor</t>
  </si>
  <si>
    <t>1st Floor for Residential &amp; Amenities</t>
  </si>
  <si>
    <t>We considered Gross carpet area = Net carpet + F.B Area.</t>
  </si>
  <si>
    <t>8th Floor (Part Refuge Area)</t>
  </si>
  <si>
    <t>Refuge Area</t>
  </si>
  <si>
    <t>9th Floor</t>
  </si>
  <si>
    <t>Flats - 143, Shops - 5</t>
  </si>
  <si>
    <t>G + 1st to 9th Floor</t>
  </si>
  <si>
    <t>We have updated Revised CC &amp; Floor Plans (on 21/12/2022).</t>
  </si>
  <si>
    <t>https://goo.gl/maps/CuTrpcd144oBcKoJ7</t>
  </si>
  <si>
    <t xml:space="preserve"> Location Link</t>
  </si>
  <si>
    <t>Latitude,Longitude</t>
  </si>
  <si>
    <t>19.077639,73.106944</t>
  </si>
  <si>
    <t>On Site, we meet Mr.Abhijeet : 8657984788.</t>
  </si>
  <si>
    <t>Shruti Tathare</t>
  </si>
  <si>
    <t xml:space="preserve">Construction work is in process at the time of the visit.
</t>
  </si>
  <si>
    <t>Office No. 1031, Wing J, Akshar Business Park, Plot No. 03 Sector 25, Near APMC Market, Vashi, 
Navi Mumbai, Maharashtra 400703 TEL: 022-46090378/79/80
E mail : vsjcapf@gmail.com. Web site : www.vsjadon.com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</si>
</sst>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"/>
    <numFmt numFmtId="169" formatCode="0.000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7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1" applyNumberFormat="1" applyFont="1" applyAlignment="1">
      <alignment horizontal="center" vertical="center"/>
    </xf>
    <xf numFmtId="0" fontId="15" fillId="3" borderId="0" xfId="1" applyFont="1" applyFill="1"/>
    <xf numFmtId="14" fontId="15" fillId="3" borderId="0" xfId="1" applyNumberFormat="1" applyFont="1" applyFill="1"/>
    <xf numFmtId="0" fontId="7" fillId="3" borderId="0" xfId="1" applyFont="1" applyFill="1"/>
    <xf numFmtId="0" fontId="16" fillId="3" borderId="0" xfId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2" fillId="0" borderId="9" xfId="8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2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459441</xdr:colOff>
      <xdr:row>256</xdr:row>
      <xdr:rowOff>102839</xdr:rowOff>
    </xdr:from>
    <xdr:to>
      <xdr:col>7</xdr:col>
      <xdr:colOff>241529</xdr:colOff>
      <xdr:row>275</xdr:row>
      <xdr:rowOff>2959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441" y="45385810"/>
          <a:ext cx="5911706" cy="37325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459441</xdr:colOff>
      <xdr:row>237</xdr:row>
      <xdr:rowOff>156882</xdr:rowOff>
    </xdr:from>
    <xdr:to>
      <xdr:col>7</xdr:col>
      <xdr:colOff>241529</xdr:colOff>
      <xdr:row>255</xdr:row>
      <xdr:rowOff>126175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441" y="41607441"/>
          <a:ext cx="5911706" cy="36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257175</xdr:colOff>
      <xdr:row>196</xdr:row>
      <xdr:rowOff>190499</xdr:rowOff>
    </xdr:from>
    <xdr:to>
      <xdr:col>7</xdr:col>
      <xdr:colOff>569477</xdr:colOff>
      <xdr:row>229</xdr:row>
      <xdr:rowOff>114300</xdr:rowOff>
    </xdr:to>
    <xdr:grpSp>
      <xdr:nvGrpSpPr>
        <xdr:cNvPr id="2" name="Group 1"/>
        <xdr:cNvGrpSpPr/>
      </xdr:nvGrpSpPr>
      <xdr:grpSpPr>
        <a:xfrm>
          <a:off x="257175" y="40566974"/>
          <a:ext cx="6008252" cy="6515101"/>
          <a:chOff x="257175" y="40566974"/>
          <a:chExt cx="6008252" cy="6515101"/>
        </a:xfrm>
      </xdr:grpSpPr>
      <xdr:pic>
        <xdr:nvPicPr>
          <xdr:cNvPr id="10" name="Picture 9" descr="https://vsjcllp.vsjadon.com/upload/insp-24001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24350" y="44481750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4001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50" y="40566974"/>
            <a:ext cx="2875934" cy="3838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4001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7175" y="44491275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40016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50" y="40566974"/>
            <a:ext cx="2875934" cy="3838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0016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95525" y="44481750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417979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675283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uTrpcd144oBcKoJ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37"/>
  <sheetViews>
    <sheetView tabSelected="1" view="pageBreakPreview" zoomScaleNormal="100" zoomScaleSheetLayoutView="100" zoomScalePageLayoutView="85" workbookViewId="0">
      <selection activeCell="I6" sqref="I6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1.85546875" style="8" bestFit="1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16" t="s">
        <v>240</v>
      </c>
      <c r="B1" s="116"/>
      <c r="C1" s="116"/>
      <c r="D1" s="116"/>
      <c r="E1" s="116"/>
      <c r="F1" s="116"/>
      <c r="G1" s="116"/>
      <c r="H1" s="116"/>
    </row>
    <row r="2" spans="1:8" ht="16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25">
      <c r="A3" s="83" t="s">
        <v>1</v>
      </c>
      <c r="B3" s="83"/>
      <c r="C3" s="83"/>
      <c r="D3" s="83"/>
      <c r="E3" s="115" t="str">
        <f ca="1">TEXT(TODAY(),"DD/MM/YYYY")</f>
        <v>09/07/2025</v>
      </c>
      <c r="F3" s="115"/>
      <c r="G3" s="115"/>
      <c r="H3" s="115"/>
    </row>
    <row r="4" spans="1:8" ht="15" customHeight="1" x14ac:dyDescent="0.25">
      <c r="A4" s="112" t="s">
        <v>2</v>
      </c>
      <c r="B4" s="112"/>
      <c r="C4" s="112"/>
      <c r="D4" s="112"/>
      <c r="E4" s="110" t="s">
        <v>191</v>
      </c>
      <c r="F4" s="110"/>
      <c r="G4" s="110"/>
      <c r="H4" s="110"/>
    </row>
    <row r="5" spans="1:8" x14ac:dyDescent="0.25">
      <c r="A5" s="83" t="s">
        <v>3</v>
      </c>
      <c r="B5" s="83"/>
      <c r="C5" s="83"/>
      <c r="D5" s="83"/>
      <c r="E5" s="115">
        <v>45846</v>
      </c>
      <c r="F5" s="115"/>
      <c r="G5" s="115"/>
      <c r="H5" s="115"/>
    </row>
    <row r="6" spans="1:8" ht="16.5" customHeight="1" x14ac:dyDescent="0.25">
      <c r="A6" s="83" t="s">
        <v>4</v>
      </c>
      <c r="B6" s="83"/>
      <c r="C6" s="83"/>
      <c r="D6" s="83"/>
      <c r="E6" s="111" t="s">
        <v>192</v>
      </c>
      <c r="F6" s="111"/>
      <c r="G6" s="111"/>
      <c r="H6" s="111"/>
    </row>
    <row r="7" spans="1:8" ht="15" customHeight="1" x14ac:dyDescent="0.25">
      <c r="A7" s="83" t="s">
        <v>5</v>
      </c>
      <c r="B7" s="83"/>
      <c r="C7" s="83"/>
      <c r="D7" s="83"/>
      <c r="E7" s="111" t="str">
        <f>E6</f>
        <v>M/s.Mahalaxmi Cotton Mills</v>
      </c>
      <c r="F7" s="111"/>
      <c r="G7" s="111"/>
      <c r="H7" s="111"/>
    </row>
    <row r="8" spans="1:8" x14ac:dyDescent="0.25">
      <c r="A8" s="83" t="s">
        <v>6</v>
      </c>
      <c r="B8" s="83"/>
      <c r="C8" s="83"/>
      <c r="D8" s="83"/>
      <c r="E8" s="118" t="s">
        <v>193</v>
      </c>
      <c r="F8" s="101"/>
      <c r="G8" s="101"/>
      <c r="H8" s="101"/>
    </row>
    <row r="9" spans="1:8" x14ac:dyDescent="0.25">
      <c r="A9" s="83" t="s">
        <v>162</v>
      </c>
      <c r="B9" s="83"/>
      <c r="C9" s="83"/>
      <c r="D9" s="83"/>
      <c r="E9" s="83" t="s">
        <v>198</v>
      </c>
      <c r="F9" s="83"/>
      <c r="G9" s="83"/>
      <c r="H9" s="83"/>
    </row>
    <row r="10" spans="1:8" x14ac:dyDescent="0.25">
      <c r="A10" s="88" t="s">
        <v>7</v>
      </c>
      <c r="B10" s="88"/>
      <c r="C10" s="88"/>
      <c r="D10" s="88"/>
      <c r="E10" s="88" t="s">
        <v>163</v>
      </c>
      <c r="F10" s="88"/>
      <c r="G10" s="88"/>
      <c r="H10" s="88"/>
    </row>
    <row r="11" spans="1:8" ht="32.25" customHeight="1" x14ac:dyDescent="0.25">
      <c r="A11" s="112" t="s">
        <v>8</v>
      </c>
      <c r="B11" s="112"/>
      <c r="C11" s="112"/>
      <c r="D11" s="112"/>
      <c r="E11" s="109" t="s">
        <v>199</v>
      </c>
      <c r="F11" s="109"/>
      <c r="G11" s="109"/>
      <c r="H11" s="109"/>
    </row>
    <row r="12" spans="1:8" x14ac:dyDescent="0.25">
      <c r="A12" s="112" t="s">
        <v>9</v>
      </c>
      <c r="B12" s="112"/>
      <c r="C12" s="112"/>
      <c r="D12" s="112"/>
      <c r="E12" s="109" t="s">
        <v>190</v>
      </c>
      <c r="F12" s="112"/>
      <c r="G12" s="112"/>
      <c r="H12" s="112"/>
    </row>
    <row r="13" spans="1:8" ht="35.25" customHeight="1" x14ac:dyDescent="0.25">
      <c r="A13" s="111" t="s">
        <v>10</v>
      </c>
      <c r="B13" s="111"/>
      <c r="C13" s="111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Arihant Anant, Gut No.112/11/14/5, near Simran Majestic CHS Ltd, Ghot Road, Taloje Majkur, Taloja Panchanand, Panvel, Raigad.</v>
      </c>
      <c r="D13" s="111"/>
      <c r="E13" s="111"/>
      <c r="F13" s="111"/>
      <c r="G13" s="111"/>
      <c r="H13" s="111"/>
    </row>
    <row r="14" spans="1:8" x14ac:dyDescent="0.25">
      <c r="A14" s="111" t="s">
        <v>194</v>
      </c>
      <c r="B14" s="111"/>
      <c r="C14" s="108" t="s">
        <v>214</v>
      </c>
      <c r="D14" s="108"/>
      <c r="E14" s="108"/>
      <c r="F14" s="108"/>
      <c r="G14" s="108"/>
      <c r="H14" s="108"/>
    </row>
    <row r="15" spans="1:8" ht="15.75" customHeight="1" x14ac:dyDescent="0.25">
      <c r="A15" s="111" t="s">
        <v>11</v>
      </c>
      <c r="B15" s="111"/>
      <c r="C15" s="88" t="s">
        <v>203</v>
      </c>
      <c r="D15" s="88"/>
      <c r="E15" s="111" t="s">
        <v>102</v>
      </c>
      <c r="F15" s="111"/>
      <c r="G15" s="108" t="s">
        <v>195</v>
      </c>
      <c r="H15" s="108"/>
    </row>
    <row r="16" spans="1:8" x14ac:dyDescent="0.25">
      <c r="A16" s="83" t="s">
        <v>13</v>
      </c>
      <c r="B16" s="83"/>
      <c r="C16" s="108" t="s">
        <v>213</v>
      </c>
      <c r="D16" s="108"/>
      <c r="E16" s="111" t="s">
        <v>12</v>
      </c>
      <c r="F16" s="111"/>
      <c r="G16" s="113" t="s">
        <v>211</v>
      </c>
      <c r="H16" s="113"/>
    </row>
    <row r="17" spans="1:8" x14ac:dyDescent="0.25">
      <c r="A17" s="83" t="s">
        <v>103</v>
      </c>
      <c r="B17" s="83"/>
      <c r="C17" s="108" t="s">
        <v>196</v>
      </c>
      <c r="D17" s="108"/>
      <c r="E17" s="111" t="s">
        <v>14</v>
      </c>
      <c r="F17" s="111"/>
      <c r="G17" s="108">
        <v>410208</v>
      </c>
      <c r="H17" s="108"/>
    </row>
    <row r="18" spans="1:8" ht="32.25" customHeight="1" x14ac:dyDescent="0.25">
      <c r="A18" s="83" t="s">
        <v>164</v>
      </c>
      <c r="B18" s="83"/>
      <c r="C18" s="114" t="s">
        <v>200</v>
      </c>
      <c r="D18" s="114"/>
      <c r="E18" s="111" t="s">
        <v>15</v>
      </c>
      <c r="F18" s="111"/>
      <c r="G18" s="108" t="s">
        <v>212</v>
      </c>
      <c r="H18" s="108"/>
    </row>
    <row r="19" spans="1:8" ht="15" customHeight="1" x14ac:dyDescent="0.25">
      <c r="A19" s="111" t="s">
        <v>108</v>
      </c>
      <c r="B19" s="111"/>
      <c r="C19" s="111"/>
      <c r="D19" s="111"/>
      <c r="E19" s="88" t="s">
        <v>16</v>
      </c>
      <c r="F19" s="88"/>
      <c r="G19" s="88"/>
      <c r="H19" s="88"/>
    </row>
    <row r="20" spans="1:8" ht="18.75" customHeight="1" x14ac:dyDescent="0.25">
      <c r="A20" s="111"/>
      <c r="B20" s="111"/>
      <c r="C20" s="111"/>
      <c r="D20" s="111"/>
      <c r="E20" s="88"/>
      <c r="F20" s="88"/>
      <c r="G20" s="88"/>
      <c r="H20" s="88"/>
    </row>
    <row r="21" spans="1:8" ht="15" customHeight="1" x14ac:dyDescent="0.25">
      <c r="A21" s="111" t="s">
        <v>17</v>
      </c>
      <c r="B21" s="111"/>
      <c r="C21" s="111"/>
      <c r="D21" s="111"/>
      <c r="E21" s="108" t="s">
        <v>18</v>
      </c>
      <c r="F21" s="108"/>
      <c r="G21" s="108"/>
      <c r="H21" s="108"/>
    </row>
    <row r="22" spans="1:8" ht="15" customHeight="1" x14ac:dyDescent="0.25">
      <c r="A22" s="83" t="s">
        <v>19</v>
      </c>
      <c r="B22" s="83"/>
      <c r="C22" s="83"/>
      <c r="D22" s="83"/>
      <c r="E22" s="108" t="str">
        <f>IF(AND(G16="Mumbai"),"Upper Class","Middle Class")</f>
        <v>Middle Class</v>
      </c>
      <c r="F22" s="108"/>
      <c r="G22" s="108"/>
      <c r="H22" s="108"/>
    </row>
    <row r="23" spans="1:8" x14ac:dyDescent="0.25">
      <c r="A23" s="83" t="s">
        <v>20</v>
      </c>
      <c r="B23" s="83"/>
      <c r="C23" s="83"/>
      <c r="D23" s="83"/>
      <c r="E23" s="108" t="s">
        <v>21</v>
      </c>
      <c r="F23" s="108"/>
      <c r="G23" s="108"/>
      <c r="H23" s="108"/>
    </row>
    <row r="24" spans="1:8" ht="15.75" customHeight="1" x14ac:dyDescent="0.25">
      <c r="A24" s="83" t="s">
        <v>22</v>
      </c>
      <c r="B24" s="83"/>
      <c r="C24" s="83"/>
      <c r="D24" s="83"/>
      <c r="E24" s="108" t="str">
        <f>IF(AND(G16="Mumbai"),"Developed","Developing")</f>
        <v>Developing</v>
      </c>
      <c r="F24" s="108"/>
      <c r="G24" s="108"/>
      <c r="H24" s="108"/>
    </row>
    <row r="25" spans="1:8" x14ac:dyDescent="0.25">
      <c r="A25" s="83" t="s">
        <v>23</v>
      </c>
      <c r="B25" s="83"/>
      <c r="C25" s="83"/>
      <c r="D25" s="83"/>
      <c r="E25" s="108" t="s">
        <v>24</v>
      </c>
      <c r="F25" s="108"/>
      <c r="G25" s="108"/>
      <c r="H25" s="108"/>
    </row>
    <row r="26" spans="1:8" x14ac:dyDescent="0.25">
      <c r="A26" s="83" t="s">
        <v>116</v>
      </c>
      <c r="B26" s="83"/>
      <c r="C26" s="83"/>
      <c r="D26" s="83"/>
      <c r="E26" s="108" t="s">
        <v>117</v>
      </c>
      <c r="F26" s="108"/>
      <c r="G26" s="108"/>
      <c r="H26" s="108"/>
    </row>
    <row r="27" spans="1:8" ht="15" customHeight="1" x14ac:dyDescent="0.25">
      <c r="A27" s="109" t="s">
        <v>33</v>
      </c>
      <c r="B27" s="109"/>
      <c r="C27" s="109"/>
      <c r="D27" s="109"/>
      <c r="E27" s="110" t="s">
        <v>112</v>
      </c>
      <c r="F27" s="110"/>
      <c r="G27" s="110"/>
      <c r="H27" s="110"/>
    </row>
    <row r="28" spans="1:8" x14ac:dyDescent="0.25">
      <c r="A28" s="111" t="s">
        <v>128</v>
      </c>
      <c r="B28" s="111"/>
      <c r="C28" s="111"/>
      <c r="D28" s="111"/>
      <c r="E28" s="111" t="s">
        <v>34</v>
      </c>
      <c r="F28" s="111"/>
      <c r="G28" s="111"/>
      <c r="H28" s="111"/>
    </row>
    <row r="29" spans="1:8" s="11" customFormat="1" x14ac:dyDescent="0.25">
      <c r="A29" s="100" t="s">
        <v>129</v>
      </c>
      <c r="B29" s="100"/>
      <c r="C29" s="98" t="s">
        <v>29</v>
      </c>
      <c r="D29" s="98"/>
      <c r="E29" s="98"/>
      <c r="F29" s="98" t="s">
        <v>31</v>
      </c>
      <c r="G29" s="98"/>
      <c r="H29" s="98"/>
    </row>
    <row r="30" spans="1:8" s="11" customFormat="1" x14ac:dyDescent="0.25">
      <c r="A30" s="99" t="s">
        <v>25</v>
      </c>
      <c r="B30" s="99" t="s">
        <v>30</v>
      </c>
      <c r="C30" s="97" t="s">
        <v>30</v>
      </c>
      <c r="D30" s="97"/>
      <c r="E30" s="97"/>
      <c r="F30" s="97" t="s">
        <v>202</v>
      </c>
      <c r="G30" s="97"/>
      <c r="H30" s="97"/>
    </row>
    <row r="31" spans="1:8" x14ac:dyDescent="0.25">
      <c r="A31" s="99" t="s">
        <v>26</v>
      </c>
      <c r="B31" s="99" t="s">
        <v>30</v>
      </c>
      <c r="C31" s="97" t="s">
        <v>30</v>
      </c>
      <c r="D31" s="97"/>
      <c r="E31" s="97"/>
      <c r="F31" s="97" t="s">
        <v>200</v>
      </c>
      <c r="G31" s="97"/>
      <c r="H31" s="97"/>
    </row>
    <row r="32" spans="1:8" s="11" customFormat="1" x14ac:dyDescent="0.25">
      <c r="A32" s="99" t="s">
        <v>28</v>
      </c>
      <c r="B32" s="99" t="s">
        <v>30</v>
      </c>
      <c r="C32" s="97" t="s">
        <v>30</v>
      </c>
      <c r="D32" s="97"/>
      <c r="E32" s="97"/>
      <c r="F32" s="97" t="s">
        <v>201</v>
      </c>
      <c r="G32" s="97"/>
      <c r="H32" s="97"/>
    </row>
    <row r="33" spans="1:8" x14ac:dyDescent="0.25">
      <c r="A33" s="99" t="s">
        <v>27</v>
      </c>
      <c r="B33" s="99" t="s">
        <v>30</v>
      </c>
      <c r="C33" s="97" t="s">
        <v>30</v>
      </c>
      <c r="D33" s="97"/>
      <c r="E33" s="97"/>
      <c r="F33" s="97" t="s">
        <v>202</v>
      </c>
      <c r="G33" s="97"/>
      <c r="H33" s="97"/>
    </row>
    <row r="34" spans="1:8" x14ac:dyDescent="0.25">
      <c r="A34" s="83" t="s">
        <v>32</v>
      </c>
      <c r="B34" s="83"/>
      <c r="C34" s="83"/>
      <c r="D34" s="83"/>
      <c r="E34" s="83"/>
      <c r="F34" s="83"/>
      <c r="G34" s="83"/>
      <c r="H34" s="83"/>
    </row>
    <row r="35" spans="1:8" ht="15.75" customHeight="1" x14ac:dyDescent="0.25">
      <c r="A35" s="83" t="s">
        <v>235</v>
      </c>
      <c r="B35" s="83"/>
      <c r="C35" s="105" t="s">
        <v>236</v>
      </c>
      <c r="D35" s="106"/>
      <c r="E35" s="106"/>
      <c r="F35" s="106"/>
      <c r="G35" s="106"/>
      <c r="H35" s="107"/>
    </row>
    <row r="36" spans="1:8" ht="15.75" customHeight="1" x14ac:dyDescent="0.25">
      <c r="A36" s="83" t="s">
        <v>234</v>
      </c>
      <c r="B36" s="83"/>
      <c r="C36" s="102" t="s">
        <v>233</v>
      </c>
      <c r="D36" s="103"/>
      <c r="E36" s="103"/>
      <c r="F36" s="103"/>
      <c r="G36" s="103"/>
      <c r="H36" s="104"/>
    </row>
    <row r="37" spans="1:8" x14ac:dyDescent="0.25">
      <c r="A37" s="101" t="s">
        <v>35</v>
      </c>
      <c r="B37" s="101"/>
      <c r="C37" s="101"/>
      <c r="D37" s="101"/>
      <c r="E37" s="101"/>
      <c r="F37" s="101"/>
      <c r="G37" s="101"/>
      <c r="H37" s="101"/>
    </row>
    <row r="38" spans="1:8" x14ac:dyDescent="0.25">
      <c r="A38" s="83" t="s">
        <v>36</v>
      </c>
      <c r="B38" s="83"/>
      <c r="C38" s="83"/>
      <c r="D38" s="83"/>
      <c r="E38" s="96">
        <v>2877.4079999999999</v>
      </c>
      <c r="F38" s="96"/>
      <c r="G38" s="96"/>
      <c r="H38" s="96"/>
    </row>
    <row r="39" spans="1:8" x14ac:dyDescent="0.25">
      <c r="A39" s="83" t="s">
        <v>37</v>
      </c>
      <c r="B39" s="83"/>
      <c r="C39" s="83"/>
      <c r="D39" s="83"/>
      <c r="E39" s="127">
        <v>1.1000000000000001</v>
      </c>
      <c r="F39" s="127"/>
      <c r="G39" s="127"/>
      <c r="H39" s="127"/>
    </row>
    <row r="40" spans="1:8" x14ac:dyDescent="0.25">
      <c r="A40" s="83" t="s">
        <v>38</v>
      </c>
      <c r="B40" s="83"/>
      <c r="C40" s="83"/>
      <c r="D40" s="83"/>
      <c r="E40" s="127">
        <f>E42/E38-E39</f>
        <v>1.5958133848241194</v>
      </c>
      <c r="F40" s="127"/>
      <c r="G40" s="127"/>
      <c r="H40" s="127"/>
    </row>
    <row r="41" spans="1:8" x14ac:dyDescent="0.25">
      <c r="A41" s="83" t="s">
        <v>39</v>
      </c>
      <c r="B41" s="83"/>
      <c r="C41" s="83"/>
      <c r="D41" s="83"/>
      <c r="E41" s="127">
        <f>E39+E40</f>
        <v>2.6958133848241195</v>
      </c>
      <c r="F41" s="127"/>
      <c r="G41" s="127"/>
      <c r="H41" s="127"/>
    </row>
    <row r="42" spans="1:8" x14ac:dyDescent="0.25">
      <c r="A42" s="83" t="s">
        <v>127</v>
      </c>
      <c r="B42" s="83"/>
      <c r="C42" s="83"/>
      <c r="D42" s="83"/>
      <c r="E42" s="128">
        <v>7756.9549999999999</v>
      </c>
      <c r="F42" s="128"/>
      <c r="G42" s="128"/>
      <c r="H42" s="128"/>
    </row>
    <row r="43" spans="1:8" x14ac:dyDescent="0.25">
      <c r="A43" s="112" t="s">
        <v>40</v>
      </c>
      <c r="B43" s="112"/>
      <c r="C43" s="112"/>
      <c r="D43" s="112"/>
      <c r="E43" s="112" t="s">
        <v>163</v>
      </c>
      <c r="F43" s="112"/>
      <c r="G43" s="112"/>
      <c r="H43" s="112"/>
    </row>
    <row r="44" spans="1:8" x14ac:dyDescent="0.25">
      <c r="A44" s="101" t="s">
        <v>41</v>
      </c>
      <c r="B44" s="101"/>
      <c r="C44" s="101"/>
      <c r="D44" s="101"/>
      <c r="E44" s="101"/>
      <c r="F44" s="101"/>
      <c r="G44" s="101"/>
      <c r="H44" s="101"/>
    </row>
    <row r="45" spans="1:8" x14ac:dyDescent="0.25">
      <c r="A45" s="111" t="s">
        <v>42</v>
      </c>
      <c r="B45" s="111"/>
      <c r="C45" s="149" t="s">
        <v>223</v>
      </c>
      <c r="D45" s="149"/>
      <c r="E45" s="149"/>
      <c r="F45" s="54" t="s">
        <v>43</v>
      </c>
      <c r="G45" s="133">
        <v>44467</v>
      </c>
      <c r="H45" s="133"/>
    </row>
    <row r="46" spans="1:8" x14ac:dyDescent="0.25">
      <c r="A46" s="83" t="s">
        <v>44</v>
      </c>
      <c r="B46" s="83"/>
      <c r="C46" s="149" t="str">
        <f>C45</f>
        <v>PMP/NRV/16097/J.K/1963/2021</v>
      </c>
      <c r="D46" s="149"/>
      <c r="E46" s="149"/>
      <c r="F46" s="54" t="s">
        <v>43</v>
      </c>
      <c r="G46" s="133">
        <f>G45</f>
        <v>44467</v>
      </c>
      <c r="H46" s="133"/>
    </row>
    <row r="47" spans="1:8" s="10" customFormat="1" ht="34.5" customHeight="1" x14ac:dyDescent="0.25">
      <c r="A47" s="108" t="s">
        <v>45</v>
      </c>
      <c r="B47" s="108"/>
      <c r="C47" s="149" t="s">
        <v>222</v>
      </c>
      <c r="D47" s="82"/>
      <c r="E47" s="82"/>
      <c r="F47" s="13" t="s">
        <v>43</v>
      </c>
      <c r="G47" s="133">
        <f>G46</f>
        <v>44467</v>
      </c>
      <c r="H47" s="133"/>
    </row>
    <row r="48" spans="1:8" s="10" customFormat="1" x14ac:dyDescent="0.25">
      <c r="A48" s="108"/>
      <c r="B48" s="108"/>
      <c r="C48" s="163" t="s">
        <v>224</v>
      </c>
      <c r="D48" s="164"/>
      <c r="E48" s="164"/>
      <c r="F48" s="164"/>
      <c r="G48" s="164"/>
      <c r="H48" s="165"/>
    </row>
    <row r="49" spans="1:14" x14ac:dyDescent="0.25">
      <c r="A49" s="159" t="s">
        <v>46</v>
      </c>
      <c r="B49" s="159"/>
      <c r="C49" s="160" t="s">
        <v>144</v>
      </c>
      <c r="D49" s="161"/>
      <c r="E49" s="161" t="s">
        <v>47</v>
      </c>
      <c r="F49" s="49" t="s">
        <v>43</v>
      </c>
      <c r="G49" s="162" t="s">
        <v>30</v>
      </c>
      <c r="H49" s="162"/>
    </row>
    <row r="50" spans="1:14" x14ac:dyDescent="0.25">
      <c r="A50" s="152" t="s">
        <v>49</v>
      </c>
      <c r="B50" s="152"/>
      <c r="C50" s="152"/>
      <c r="D50" s="152"/>
      <c r="E50" s="152"/>
      <c r="F50" s="152"/>
      <c r="G50" s="152"/>
      <c r="H50" s="152"/>
    </row>
    <row r="51" spans="1:14" x14ac:dyDescent="0.25">
      <c r="A51" s="111" t="s">
        <v>126</v>
      </c>
      <c r="B51" s="111"/>
      <c r="C51" s="111"/>
      <c r="D51" s="83">
        <f>E42</f>
        <v>7756.9549999999999</v>
      </c>
      <c r="E51" s="83"/>
      <c r="F51" s="83"/>
      <c r="G51" s="83"/>
      <c r="H51" s="83"/>
    </row>
    <row r="52" spans="1:14" x14ac:dyDescent="0.25">
      <c r="A52" s="108" t="s">
        <v>50</v>
      </c>
      <c r="B52" s="88"/>
      <c r="C52" s="88"/>
      <c r="D52" s="112" t="s">
        <v>230</v>
      </c>
      <c r="E52" s="112"/>
      <c r="F52" s="112"/>
      <c r="G52" s="112"/>
      <c r="H52" s="112"/>
      <c r="I52" s="39"/>
    </row>
    <row r="53" spans="1:14" ht="15.75" customHeight="1" x14ac:dyDescent="0.25">
      <c r="A53" s="130" t="s">
        <v>51</v>
      </c>
      <c r="B53" s="131"/>
      <c r="C53" s="132"/>
      <c r="D53" s="129" t="s">
        <v>231</v>
      </c>
      <c r="E53" s="129"/>
      <c r="F53" s="129"/>
      <c r="G53" s="129"/>
      <c r="H53" s="129"/>
    </row>
    <row r="54" spans="1:14" ht="15.75" customHeight="1" x14ac:dyDescent="0.25">
      <c r="A54" s="130" t="s">
        <v>124</v>
      </c>
      <c r="B54" s="131"/>
      <c r="C54" s="131"/>
      <c r="D54" s="167" t="s">
        <v>231</v>
      </c>
      <c r="E54" s="168"/>
      <c r="F54" s="168"/>
      <c r="G54" s="168"/>
      <c r="H54" s="169"/>
    </row>
    <row r="55" spans="1:14" ht="15.75" customHeight="1" x14ac:dyDescent="0.25">
      <c r="A55" s="83" t="s">
        <v>48</v>
      </c>
      <c r="B55" s="83"/>
      <c r="C55" s="83"/>
      <c r="D55" s="119" t="s">
        <v>197</v>
      </c>
      <c r="E55" s="119"/>
      <c r="F55" s="119"/>
      <c r="G55" s="119"/>
      <c r="H55" s="119"/>
      <c r="J55" s="38"/>
      <c r="K55" s="39"/>
      <c r="N55" s="39"/>
    </row>
    <row r="56" spans="1:14" ht="15.75" customHeight="1" x14ac:dyDescent="0.25">
      <c r="A56" s="83" t="s">
        <v>122</v>
      </c>
      <c r="B56" s="83"/>
      <c r="C56" s="83"/>
      <c r="D56" s="126" t="str">
        <f>(IF(G49="NA","60 Years After Completion",IF(G49&lt;&gt;"NA",""&amp;60-ROUNDDOWN((E3-G49)/360,0)&amp;" Years"," ")))</f>
        <v>60 Years After Completion</v>
      </c>
      <c r="E56" s="126"/>
      <c r="F56" s="126"/>
      <c r="G56" s="126"/>
      <c r="H56" s="126"/>
      <c r="N56" s="39"/>
    </row>
    <row r="57" spans="1:14" ht="15.75" customHeight="1" x14ac:dyDescent="0.25">
      <c r="A57" s="83" t="s">
        <v>123</v>
      </c>
      <c r="B57" s="83"/>
      <c r="C57" s="83"/>
      <c r="D57" s="111" t="s">
        <v>24</v>
      </c>
      <c r="E57" s="111"/>
      <c r="F57" s="111"/>
      <c r="G57" s="111"/>
      <c r="H57" s="111"/>
      <c r="J57" s="18"/>
      <c r="K57" s="18"/>
    </row>
    <row r="58" spans="1:14" ht="15.75" customHeight="1" thickBot="1" x14ac:dyDescent="0.3">
      <c r="A58" s="129" t="s">
        <v>121</v>
      </c>
      <c r="B58" s="129"/>
      <c r="C58" s="129"/>
      <c r="D58" s="135" t="str">
        <f ca="1">(IF(G63&gt;95%,"Nothing",IF(G63&gt;0%,"Cement, Aggregate, Steel, etc",IF(G63=0%,"Work not yet Started"))))</f>
        <v>Cement, Aggregate, Steel, etc</v>
      </c>
      <c r="E58" s="135"/>
      <c r="F58" s="135"/>
      <c r="G58" s="135"/>
      <c r="H58" s="135"/>
      <c r="J58" s="18"/>
    </row>
    <row r="59" spans="1:14" ht="15.75" customHeight="1" x14ac:dyDescent="0.25">
      <c r="A59" s="139" t="s">
        <v>182</v>
      </c>
      <c r="B59" s="140"/>
      <c r="C59" s="141" t="str">
        <f>D54</f>
        <v>G + 1st to 9th Floor</v>
      </c>
      <c r="D59" s="142"/>
      <c r="E59" s="142"/>
      <c r="F59" s="142"/>
      <c r="G59" s="142"/>
      <c r="H59" s="143"/>
      <c r="I59" s="42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Plaster, External Plaster, Flooring upto 7 Floor, Painting upto 5 Floor, Finishing upto 4 Floor Completed</v>
      </c>
      <c r="J59" s="20"/>
    </row>
    <row r="60" spans="1:14" x14ac:dyDescent="0.25">
      <c r="A60" s="47" t="s">
        <v>184</v>
      </c>
      <c r="B60" s="55">
        <v>0</v>
      </c>
      <c r="C60" s="55" t="s">
        <v>101</v>
      </c>
      <c r="D60" s="55">
        <v>1</v>
      </c>
      <c r="E60" s="55" t="s">
        <v>100</v>
      </c>
      <c r="F60" s="55">
        <v>0</v>
      </c>
      <c r="G60" s="55" t="s">
        <v>115</v>
      </c>
      <c r="H60" s="48">
        <f ca="1">--TRIM(RIGHT(SUBSTITUTE(LEFT(C59,_xlfn.AGGREGATE(16,6,FIND({0,1,2,3,4,5,6,7,8,9},C59,ROW(INDIRECT("1:"&amp;LEN(C59)))),1))," ",REPT(" ",LEN(C59))),LEN(C59)))</f>
        <v>9</v>
      </c>
      <c r="I60" s="18"/>
      <c r="J60" s="21"/>
    </row>
    <row r="61" spans="1:14" ht="50.25" customHeight="1" x14ac:dyDescent="0.25">
      <c r="A61" s="137" t="s">
        <v>125</v>
      </c>
      <c r="B61" s="138"/>
      <c r="C61" s="144" t="str">
        <f ca="1">I59</f>
        <v>Excavation work Completed. Plinth work completed, RCC Slab, Brickwork, Internal Plaster, External Plaster, Flooring upto 7 Floor, Painting upto 5 Floor, Finishing upto 4 Floor Completed</v>
      </c>
      <c r="D61" s="144"/>
      <c r="E61" s="144"/>
      <c r="F61" s="144"/>
      <c r="G61" s="144"/>
      <c r="H61" s="145"/>
      <c r="I61" s="18" t="s">
        <v>143</v>
      </c>
      <c r="J61" s="21"/>
    </row>
    <row r="62" spans="1:14" ht="15.75" customHeight="1" x14ac:dyDescent="0.25">
      <c r="A62" s="84" t="s">
        <v>52</v>
      </c>
      <c r="B62" s="85"/>
      <c r="C62" s="56" t="s">
        <v>181</v>
      </c>
      <c r="D62" s="56" t="s">
        <v>118</v>
      </c>
      <c r="E62" s="85" t="s">
        <v>120</v>
      </c>
      <c r="F62" s="85"/>
      <c r="G62" s="85" t="s">
        <v>119</v>
      </c>
      <c r="H62" s="136"/>
      <c r="I62" s="37" t="s">
        <v>183</v>
      </c>
      <c r="J62" s="22">
        <f ca="1">H60*25%</f>
        <v>2.25</v>
      </c>
    </row>
    <row r="63" spans="1:14" x14ac:dyDescent="0.25">
      <c r="A63" s="84" t="s">
        <v>170</v>
      </c>
      <c r="B63" s="85"/>
      <c r="C63" s="57">
        <v>9</v>
      </c>
      <c r="D63" s="58">
        <f ca="1">((100/H60)*C63)/100</f>
        <v>1</v>
      </c>
      <c r="E63" s="120">
        <f ca="1">(((C64/H60*10)+(40/(D60+F60+H60)*C65)+(7.5/(H60)*C66)+(7.5/(H60)*C67)+(10/H60*C68)+(10/H60*C69)+(5/H60*C70)+(5/H60*C71)+(5/H60*C72))/100)</f>
        <v>0.87777777777777777</v>
      </c>
      <c r="F63" s="120"/>
      <c r="G63" s="120">
        <f ca="1">((((C63/H60)*20)+((C64/H60)*25)+(30/(H60+F60+D60)*C65)+(5/H60*C66)+(5/H60*C67)+(5/H60*C68)+(5/H60*C69)+(0/H60*C70)+(0/H60*C71)+(5/H60*C72))/100)</f>
        <v>0.93888888888888888</v>
      </c>
      <c r="H63" s="122"/>
      <c r="I63" s="37" t="s">
        <v>138</v>
      </c>
      <c r="J63" s="41">
        <f ca="1">H60*50%</f>
        <v>4.5</v>
      </c>
    </row>
    <row r="64" spans="1:14" x14ac:dyDescent="0.25">
      <c r="A64" s="84" t="s">
        <v>53</v>
      </c>
      <c r="B64" s="85"/>
      <c r="C64" s="59">
        <v>9</v>
      </c>
      <c r="D64" s="58">
        <f ca="1">((100/H60)*C64)/100</f>
        <v>1</v>
      </c>
      <c r="E64" s="120"/>
      <c r="F64" s="120"/>
      <c r="G64" s="120"/>
      <c r="H64" s="122"/>
      <c r="I64" s="37" t="s">
        <v>139</v>
      </c>
      <c r="J64" s="41">
        <f ca="1">H60</f>
        <v>9</v>
      </c>
    </row>
    <row r="65" spans="1:12" ht="15.75" customHeight="1" x14ac:dyDescent="0.25">
      <c r="A65" s="134" t="s">
        <v>171</v>
      </c>
      <c r="B65" s="97"/>
      <c r="C65" s="59">
        <v>10</v>
      </c>
      <c r="D65" s="58">
        <f ca="1">((100/(D60+F60+H60))*C65)/100</f>
        <v>1</v>
      </c>
      <c r="E65" s="120"/>
      <c r="F65" s="120"/>
      <c r="G65" s="120"/>
      <c r="H65" s="122"/>
      <c r="I65" s="37" t="s">
        <v>140</v>
      </c>
      <c r="J65" s="44">
        <f ca="1">(IF(B60&gt;1,(H60/(B60+2)),H60/4))</f>
        <v>2.25</v>
      </c>
    </row>
    <row r="66" spans="1:12" ht="15.75" customHeight="1" x14ac:dyDescent="0.25">
      <c r="A66" s="84" t="s">
        <v>178</v>
      </c>
      <c r="B66" s="85" t="s">
        <v>172</v>
      </c>
      <c r="C66" s="57">
        <v>9</v>
      </c>
      <c r="D66" s="58">
        <f ca="1">((100/H60)*C66)/100</f>
        <v>1</v>
      </c>
      <c r="E66" s="120"/>
      <c r="F66" s="120"/>
      <c r="G66" s="120"/>
      <c r="H66" s="122"/>
      <c r="I66" s="37" t="s">
        <v>141</v>
      </c>
      <c r="J66" s="44">
        <f ca="1">(IF(B60&gt;1,(H60/(B60+2)+J65),H60/4+J65))</f>
        <v>4.5</v>
      </c>
    </row>
    <row r="67" spans="1:12" ht="15.75" customHeight="1" x14ac:dyDescent="0.25">
      <c r="A67" s="84" t="s">
        <v>179</v>
      </c>
      <c r="B67" s="85" t="s">
        <v>172</v>
      </c>
      <c r="C67" s="57">
        <v>9</v>
      </c>
      <c r="D67" s="58">
        <f ca="1">((100/H60)*C67)/100</f>
        <v>1</v>
      </c>
      <c r="E67" s="120"/>
      <c r="F67" s="120"/>
      <c r="G67" s="120"/>
      <c r="H67" s="122"/>
      <c r="I67" s="37" t="s">
        <v>188</v>
      </c>
      <c r="J67" s="44">
        <f>(IF(B60&gt;1,(H60/(B60+2)+J66),0))</f>
        <v>0</v>
      </c>
    </row>
    <row r="68" spans="1:12" ht="15" customHeight="1" x14ac:dyDescent="0.25">
      <c r="A68" s="84" t="s">
        <v>177</v>
      </c>
      <c r="B68" s="85" t="s">
        <v>174</v>
      </c>
      <c r="C68" s="57">
        <v>9</v>
      </c>
      <c r="D68" s="58">
        <f ca="1">((100/(H60))*C68)/100</f>
        <v>1</v>
      </c>
      <c r="E68" s="120"/>
      <c r="F68" s="120"/>
      <c r="G68" s="120"/>
      <c r="H68" s="122"/>
      <c r="I68" s="37" t="s">
        <v>185</v>
      </c>
      <c r="J68" s="44">
        <f>(IF(B60&gt;2,(H60/(B60+2)+J67),0))</f>
        <v>0</v>
      </c>
    </row>
    <row r="69" spans="1:12" ht="15.75" customHeight="1" x14ac:dyDescent="0.25">
      <c r="A69" s="84" t="s">
        <v>173</v>
      </c>
      <c r="B69" s="85" t="s">
        <v>173</v>
      </c>
      <c r="C69" s="57">
        <v>7</v>
      </c>
      <c r="D69" s="58">
        <f ca="1">((100/H60)*C69)/100</f>
        <v>0.77777777777777768</v>
      </c>
      <c r="E69" s="120"/>
      <c r="F69" s="120"/>
      <c r="G69" s="120"/>
      <c r="H69" s="122"/>
      <c r="I69" s="37" t="s">
        <v>186</v>
      </c>
      <c r="J69" s="45">
        <f>(IF(B60&gt;3,(H60/(B60+2)+J68),0))</f>
        <v>0</v>
      </c>
    </row>
    <row r="70" spans="1:12" ht="15.75" customHeight="1" x14ac:dyDescent="0.25">
      <c r="A70" s="84" t="s">
        <v>180</v>
      </c>
      <c r="B70" s="85"/>
      <c r="C70" s="57">
        <v>5</v>
      </c>
      <c r="D70" s="58">
        <f ca="1">((100/H60)*C70)/100</f>
        <v>0.55555555555555558</v>
      </c>
      <c r="E70" s="120"/>
      <c r="F70" s="120"/>
      <c r="G70" s="120"/>
      <c r="H70" s="122"/>
      <c r="I70" s="37" t="s">
        <v>187</v>
      </c>
      <c r="J70" s="44">
        <f>(IF(B60&gt;4,(H60/(B60+2)+J69),0))</f>
        <v>0</v>
      </c>
    </row>
    <row r="71" spans="1:12" ht="15.75" customHeight="1" x14ac:dyDescent="0.25">
      <c r="A71" s="84" t="s">
        <v>175</v>
      </c>
      <c r="B71" s="85" t="s">
        <v>175</v>
      </c>
      <c r="C71" s="57">
        <v>4</v>
      </c>
      <c r="D71" s="58">
        <f ca="1">((100/(H60))*C71)/100</f>
        <v>0.44444444444444442</v>
      </c>
      <c r="E71" s="120"/>
      <c r="F71" s="120"/>
      <c r="G71" s="120"/>
      <c r="H71" s="122"/>
      <c r="I71" s="37" t="s">
        <v>189</v>
      </c>
      <c r="J71" s="44">
        <f ca="1">(IF(B60=1,(H60/(B60+3)+J66),IF(B60=0,(H60/4+J66),IF(B60&gt;1,0))))</f>
        <v>6.75</v>
      </c>
    </row>
    <row r="72" spans="1:12" ht="16.5" thickBot="1" x14ac:dyDescent="0.3">
      <c r="A72" s="124" t="s">
        <v>176</v>
      </c>
      <c r="B72" s="125"/>
      <c r="C72" s="60">
        <v>0</v>
      </c>
      <c r="D72" s="61">
        <f ca="1">((100/(H60))*C72)/100</f>
        <v>0</v>
      </c>
      <c r="E72" s="121"/>
      <c r="F72" s="121"/>
      <c r="G72" s="121"/>
      <c r="H72" s="123"/>
      <c r="I72" s="43" t="s">
        <v>142</v>
      </c>
      <c r="J72" s="46">
        <f ca="1">(IF(B60&gt;1.5,(H60/(B60+2)+J66+MAX(0,J67-J66)+MAX(0,J68-J67)+MAX(0,J69-J68)+MAX(0,J70-J69)+MAX(0,J71-J70)),IF(B60=1,(H60/(B60+3)+J71),IF(B60=0,H60/4+J71))))</f>
        <v>9</v>
      </c>
    </row>
    <row r="73" spans="1:12" x14ac:dyDescent="0.25">
      <c r="A73" s="154" t="s">
        <v>157</v>
      </c>
      <c r="B73" s="155"/>
      <c r="C73" s="155"/>
      <c r="D73" s="155"/>
      <c r="E73" s="156"/>
      <c r="F73" s="154" t="str">
        <f ca="1">(IF(D58="Nothing","Yes",IF(D58="Cement, Aggregate, Steel, etc","Under Construction",IF(D58="Work not yet Started","Work not yet Started"))))</f>
        <v>Under Construction</v>
      </c>
      <c r="G73" s="155"/>
      <c r="H73" s="156"/>
    </row>
    <row r="74" spans="1:12" x14ac:dyDescent="0.25">
      <c r="A74" s="83" t="s">
        <v>54</v>
      </c>
      <c r="B74" s="83"/>
      <c r="C74" s="83"/>
      <c r="D74" s="83"/>
      <c r="E74" s="83"/>
      <c r="F74" s="83"/>
      <c r="G74" s="83"/>
      <c r="H74" s="83"/>
    </row>
    <row r="75" spans="1:12" ht="15" customHeight="1" x14ac:dyDescent="0.25">
      <c r="A75" s="138" t="s">
        <v>104</v>
      </c>
      <c r="B75" s="138"/>
      <c r="C75" s="144" t="s">
        <v>105</v>
      </c>
      <c r="D75" s="144"/>
      <c r="E75" s="144"/>
      <c r="F75" s="144"/>
      <c r="G75" s="144"/>
      <c r="H75" s="144"/>
    </row>
    <row r="76" spans="1:12" x14ac:dyDescent="0.25">
      <c r="A76" s="101" t="s">
        <v>55</v>
      </c>
      <c r="B76" s="101"/>
      <c r="C76" s="101"/>
      <c r="D76" s="101"/>
      <c r="E76" s="101"/>
      <c r="F76" s="101"/>
      <c r="G76" s="101"/>
      <c r="H76" s="101"/>
    </row>
    <row r="77" spans="1:12" s="11" customFormat="1" x14ac:dyDescent="0.25">
      <c r="A77" s="88" t="s">
        <v>106</v>
      </c>
      <c r="B77" s="88"/>
      <c r="C77" s="88"/>
      <c r="D77" s="88"/>
      <c r="E77" s="88"/>
      <c r="F77" s="82">
        <v>5000</v>
      </c>
      <c r="G77" s="82"/>
      <c r="H77" s="82"/>
      <c r="I77" s="63" t="s">
        <v>219</v>
      </c>
      <c r="J77" s="63" t="s">
        <v>220</v>
      </c>
      <c r="K77" s="63" t="s">
        <v>221</v>
      </c>
      <c r="L77" s="64">
        <v>44747</v>
      </c>
    </row>
    <row r="78" spans="1:12" s="11" customFormat="1" x14ac:dyDescent="0.25">
      <c r="A78" s="88" t="s">
        <v>113</v>
      </c>
      <c r="B78" s="88"/>
      <c r="C78" s="88"/>
      <c r="D78" s="88"/>
      <c r="E78" s="88"/>
      <c r="F78" s="82">
        <v>8500</v>
      </c>
      <c r="G78" s="82"/>
      <c r="H78" s="82"/>
      <c r="J78" s="63"/>
    </row>
    <row r="79" spans="1:12" hidden="1" x14ac:dyDescent="0.25">
      <c r="A79" s="88" t="s">
        <v>114</v>
      </c>
      <c r="B79" s="88"/>
      <c r="C79" s="88"/>
      <c r="D79" s="88"/>
      <c r="E79" s="88"/>
      <c r="F79" s="82"/>
      <c r="G79" s="82"/>
      <c r="H79" s="82"/>
      <c r="J79" s="65"/>
    </row>
    <row r="80" spans="1:12" s="12" customFormat="1" hidden="1" x14ac:dyDescent="0.25">
      <c r="A80" s="88" t="s">
        <v>130</v>
      </c>
      <c r="B80" s="88"/>
      <c r="C80" s="88"/>
      <c r="D80" s="88"/>
      <c r="E80" s="88"/>
      <c r="F80" s="82" t="s">
        <v>30</v>
      </c>
      <c r="G80" s="82"/>
      <c r="H80" s="82"/>
      <c r="J80" s="66"/>
    </row>
    <row r="81" spans="1:12" s="12" customFormat="1" x14ac:dyDescent="0.25">
      <c r="A81" s="88" t="s">
        <v>131</v>
      </c>
      <c r="B81" s="88"/>
      <c r="C81" s="88"/>
      <c r="D81" s="88"/>
      <c r="E81" s="88"/>
      <c r="F81" s="82" t="s">
        <v>218</v>
      </c>
      <c r="G81" s="82"/>
      <c r="H81" s="82"/>
      <c r="I81" s="66"/>
      <c r="J81" s="66"/>
      <c r="K81" s="66"/>
      <c r="L81" s="66"/>
    </row>
    <row r="82" spans="1:12" s="12" customFormat="1" hidden="1" x14ac:dyDescent="0.25">
      <c r="A82" s="88" t="s">
        <v>132</v>
      </c>
      <c r="B82" s="88"/>
      <c r="C82" s="88"/>
      <c r="D82" s="88"/>
      <c r="E82" s="88"/>
      <c r="F82" s="82" t="s">
        <v>30</v>
      </c>
      <c r="G82" s="82"/>
      <c r="H82" s="82"/>
    </row>
    <row r="83" spans="1:12" s="12" customFormat="1" hidden="1" x14ac:dyDescent="0.25">
      <c r="A83" s="88" t="s">
        <v>133</v>
      </c>
      <c r="B83" s="88"/>
      <c r="C83" s="88"/>
      <c r="D83" s="88"/>
      <c r="E83" s="88"/>
      <c r="F83" s="82" t="s">
        <v>30</v>
      </c>
      <c r="G83" s="82"/>
      <c r="H83" s="82"/>
    </row>
    <row r="84" spans="1:12" s="12" customFormat="1" hidden="1" x14ac:dyDescent="0.25">
      <c r="A84" s="88" t="s">
        <v>134</v>
      </c>
      <c r="B84" s="88"/>
      <c r="C84" s="88"/>
      <c r="D84" s="88"/>
      <c r="E84" s="88"/>
      <c r="F84" s="82" t="s">
        <v>30</v>
      </c>
      <c r="G84" s="82"/>
      <c r="H84" s="82"/>
    </row>
    <row r="85" spans="1:12" s="12" customFormat="1" hidden="1" x14ac:dyDescent="0.25">
      <c r="A85" s="88" t="s">
        <v>135</v>
      </c>
      <c r="B85" s="88"/>
      <c r="C85" s="88"/>
      <c r="D85" s="88"/>
      <c r="E85" s="88"/>
      <c r="F85" s="82" t="s">
        <v>30</v>
      </c>
      <c r="G85" s="82"/>
      <c r="H85" s="82"/>
    </row>
    <row r="86" spans="1:12" s="12" customFormat="1" hidden="1" x14ac:dyDescent="0.25">
      <c r="A86" s="88" t="s">
        <v>136</v>
      </c>
      <c r="B86" s="88"/>
      <c r="C86" s="88"/>
      <c r="D86" s="88"/>
      <c r="E86" s="88"/>
      <c r="F86" s="82" t="s">
        <v>30</v>
      </c>
      <c r="G86" s="82"/>
      <c r="H86" s="82"/>
    </row>
    <row r="87" spans="1:12" s="12" customFormat="1" hidden="1" x14ac:dyDescent="0.25">
      <c r="A87" s="88" t="s">
        <v>137</v>
      </c>
      <c r="B87" s="88"/>
      <c r="C87" s="88"/>
      <c r="D87" s="88"/>
      <c r="E87" s="88"/>
      <c r="F87" s="82" t="s">
        <v>30</v>
      </c>
      <c r="G87" s="82"/>
      <c r="H87" s="82"/>
    </row>
    <row r="88" spans="1:12" x14ac:dyDescent="0.25">
      <c r="A88" s="88" t="s">
        <v>56</v>
      </c>
      <c r="B88" s="88"/>
      <c r="C88" s="88"/>
      <c r="D88" s="88"/>
      <c r="E88" s="88"/>
      <c r="F88" s="149" t="s">
        <v>217</v>
      </c>
      <c r="G88" s="149"/>
      <c r="H88" s="149"/>
    </row>
    <row r="89" spans="1:12" s="9" customFormat="1" x14ac:dyDescent="0.25">
      <c r="A89" s="101" t="s">
        <v>57</v>
      </c>
      <c r="B89" s="101"/>
      <c r="C89" s="101"/>
      <c r="D89" s="101"/>
      <c r="E89" s="101"/>
      <c r="F89" s="82">
        <f>F77*0.8</f>
        <v>4000</v>
      </c>
      <c r="G89" s="82"/>
      <c r="H89" s="82"/>
    </row>
    <row r="90" spans="1:12" s="1" customFormat="1" ht="15.75" customHeight="1" x14ac:dyDescent="0.25">
      <c r="A90" s="148" t="s">
        <v>107</v>
      </c>
      <c r="B90" s="148"/>
      <c r="C90" s="148"/>
      <c r="D90" s="148"/>
      <c r="E90" s="148"/>
      <c r="F90" s="148"/>
      <c r="G90" s="148"/>
      <c r="H90" s="148"/>
    </row>
    <row r="91" spans="1:12" s="1" customFormat="1" ht="15.75" customHeight="1" x14ac:dyDescent="0.25">
      <c r="A91" s="95" t="s">
        <v>58</v>
      </c>
      <c r="B91" s="95"/>
      <c r="C91" s="94" t="s">
        <v>110</v>
      </c>
      <c r="D91" s="94"/>
      <c r="E91" s="153" t="s">
        <v>59</v>
      </c>
      <c r="F91" s="153"/>
      <c r="G91" s="95" t="s">
        <v>60</v>
      </c>
      <c r="H91" s="95"/>
    </row>
    <row r="92" spans="1:12" s="1" customFormat="1" x14ac:dyDescent="0.25">
      <c r="A92" s="150" t="s">
        <v>205</v>
      </c>
      <c r="B92" s="150"/>
      <c r="C92" s="157">
        <f>COUNT(D100:D104)</f>
        <v>5</v>
      </c>
      <c r="D92" s="86"/>
      <c r="E92" s="87">
        <f>SUM(D100:D104)</f>
        <v>1656.14904</v>
      </c>
      <c r="F92" s="158"/>
      <c r="G92" s="87">
        <f>SUM(F100:F104)</f>
        <v>3290</v>
      </c>
      <c r="H92" s="158"/>
    </row>
    <row r="93" spans="1:12" s="1" customFormat="1" x14ac:dyDescent="0.25">
      <c r="A93" s="148" t="s">
        <v>99</v>
      </c>
      <c r="B93" s="148"/>
      <c r="C93" s="148"/>
      <c r="D93" s="148"/>
      <c r="E93" s="148"/>
      <c r="F93" s="148"/>
      <c r="G93" s="148"/>
      <c r="H93" s="148"/>
    </row>
    <row r="94" spans="1:12" s="1" customFormat="1" ht="15.75" customHeight="1" x14ac:dyDescent="0.25">
      <c r="A94" s="95" t="s">
        <v>58</v>
      </c>
      <c r="B94" s="95"/>
      <c r="C94" s="94" t="s">
        <v>110</v>
      </c>
      <c r="D94" s="94"/>
      <c r="E94" s="153" t="s">
        <v>59</v>
      </c>
      <c r="F94" s="153"/>
      <c r="G94" s="95" t="s">
        <v>60</v>
      </c>
      <c r="H94" s="95"/>
    </row>
    <row r="95" spans="1:12" s="1" customFormat="1" x14ac:dyDescent="0.25">
      <c r="A95" s="150" t="s">
        <v>210</v>
      </c>
      <c r="B95" s="150"/>
      <c r="C95" s="86">
        <f>COUNT(D108:D123)+COUNT(D125:D140)*6+COUNT(D142:D156,D159:D174)</f>
        <v>143</v>
      </c>
      <c r="D95" s="86"/>
      <c r="E95" s="87">
        <f>SUM(D108:D123)+SUM(D125:D140)*6+SUM(D142:D156,D159:D174)</f>
        <v>58400.351100000007</v>
      </c>
      <c r="F95" s="87"/>
      <c r="G95" s="87">
        <f>SUM(F108:F123)+SUM(F125:F140)*6+SUM(F142:F156,F159:F174)</f>
        <v>101634</v>
      </c>
      <c r="H95" s="87"/>
    </row>
    <row r="96" spans="1:12" s="9" customFormat="1" x14ac:dyDescent="0.25">
      <c r="A96" s="117" t="s">
        <v>63</v>
      </c>
      <c r="B96" s="117"/>
      <c r="C96" s="117"/>
      <c r="D96" s="117"/>
      <c r="E96" s="117"/>
      <c r="F96" s="117"/>
      <c r="G96" s="117"/>
      <c r="H96" s="117"/>
    </row>
    <row r="97" spans="1:14" x14ac:dyDescent="0.25">
      <c r="A97" s="117" t="s">
        <v>64</v>
      </c>
      <c r="B97" s="117"/>
      <c r="C97" s="117"/>
      <c r="D97" s="117"/>
      <c r="E97" s="117"/>
      <c r="F97" s="117"/>
      <c r="G97" s="117"/>
      <c r="H97" s="117"/>
    </row>
    <row r="98" spans="1:14" ht="47.25" customHeight="1" x14ac:dyDescent="0.25">
      <c r="A98" s="36" t="s">
        <v>159</v>
      </c>
      <c r="B98" s="36" t="s">
        <v>158</v>
      </c>
      <c r="C98" s="36" t="s">
        <v>65</v>
      </c>
      <c r="D98" s="36" t="s">
        <v>66</v>
      </c>
      <c r="E98" s="52" t="s">
        <v>67</v>
      </c>
      <c r="F98" s="36" t="s">
        <v>215</v>
      </c>
      <c r="G98" s="92" t="s">
        <v>68</v>
      </c>
      <c r="H98" s="93"/>
    </row>
    <row r="99" spans="1:14" s="2" customFormat="1" x14ac:dyDescent="0.25">
      <c r="A99" s="89" t="s">
        <v>206</v>
      </c>
      <c r="B99" s="90"/>
      <c r="C99" s="90"/>
      <c r="D99" s="90"/>
      <c r="E99" s="90"/>
      <c r="F99" s="90"/>
      <c r="G99" s="90"/>
      <c r="H99" s="91"/>
      <c r="J99" s="62"/>
    </row>
    <row r="100" spans="1:14" s="2" customFormat="1" x14ac:dyDescent="0.25">
      <c r="A100" s="77">
        <v>1</v>
      </c>
      <c r="B100" s="79"/>
      <c r="C100" s="19" t="s">
        <v>205</v>
      </c>
      <c r="D100" s="19">
        <f>3.14*9.8*10.764</f>
        <v>331.22980799999999</v>
      </c>
      <c r="E100" s="19">
        <f>D100/3</f>
        <v>110.409936</v>
      </c>
      <c r="F100" s="19">
        <v>658</v>
      </c>
      <c r="G100" s="77" t="str">
        <f>A99</f>
        <v>Ground Floor For Commetial And Parking</v>
      </c>
      <c r="H100" s="79"/>
      <c r="I100" s="35"/>
      <c r="J100" s="62">
        <f>F100/D100</f>
        <v>1.9865361875885277</v>
      </c>
      <c r="L100" s="81"/>
      <c r="M100" s="81"/>
      <c r="N100" s="35"/>
    </row>
    <row r="101" spans="1:14" s="2" customFormat="1" x14ac:dyDescent="0.25">
      <c r="A101" s="77">
        <f t="shared" ref="A101:A104" si="0">A100+1</f>
        <v>2</v>
      </c>
      <c r="B101" s="79"/>
      <c r="C101" s="19" t="s">
        <v>205</v>
      </c>
      <c r="D101" s="19">
        <f t="shared" ref="D101:D104" si="1">3.14*9.8*10.764</f>
        <v>331.22980799999999</v>
      </c>
      <c r="E101" s="67">
        <f t="shared" ref="E101:E104" si="2">D101/3</f>
        <v>110.409936</v>
      </c>
      <c r="F101" s="19">
        <v>658</v>
      </c>
      <c r="G101" s="77" t="str">
        <f t="shared" ref="G101:G104" si="3">G100</f>
        <v>Ground Floor For Commetial And Parking</v>
      </c>
      <c r="H101" s="79"/>
      <c r="I101" s="35"/>
      <c r="J101" s="62">
        <f t="shared" ref="J101:J104" si="4">F101/D101</f>
        <v>1.9865361875885277</v>
      </c>
      <c r="L101" s="81"/>
      <c r="M101" s="81"/>
      <c r="N101" s="35"/>
    </row>
    <row r="102" spans="1:14" s="2" customFormat="1" x14ac:dyDescent="0.25">
      <c r="A102" s="77">
        <f t="shared" si="0"/>
        <v>3</v>
      </c>
      <c r="B102" s="79"/>
      <c r="C102" s="19" t="s">
        <v>205</v>
      </c>
      <c r="D102" s="19">
        <f t="shared" si="1"/>
        <v>331.22980799999999</v>
      </c>
      <c r="E102" s="67">
        <f t="shared" si="2"/>
        <v>110.409936</v>
      </c>
      <c r="F102" s="19">
        <v>658</v>
      </c>
      <c r="G102" s="77" t="str">
        <f t="shared" si="3"/>
        <v>Ground Floor For Commetial And Parking</v>
      </c>
      <c r="H102" s="79"/>
      <c r="I102" s="35"/>
      <c r="J102" s="62">
        <f t="shared" si="4"/>
        <v>1.9865361875885277</v>
      </c>
      <c r="L102" s="81"/>
      <c r="M102" s="81"/>
      <c r="N102" s="35"/>
    </row>
    <row r="103" spans="1:14" s="2" customFormat="1" x14ac:dyDescent="0.25">
      <c r="A103" s="77">
        <f t="shared" si="0"/>
        <v>4</v>
      </c>
      <c r="B103" s="79"/>
      <c r="C103" s="19" t="s">
        <v>205</v>
      </c>
      <c r="D103" s="19">
        <f t="shared" si="1"/>
        <v>331.22980799999999</v>
      </c>
      <c r="E103" s="67">
        <f t="shared" si="2"/>
        <v>110.409936</v>
      </c>
      <c r="F103" s="19">
        <v>658</v>
      </c>
      <c r="G103" s="77" t="str">
        <f t="shared" si="3"/>
        <v>Ground Floor For Commetial And Parking</v>
      </c>
      <c r="H103" s="79"/>
      <c r="I103" s="35"/>
      <c r="J103" s="62">
        <f t="shared" si="4"/>
        <v>1.9865361875885277</v>
      </c>
      <c r="L103" s="81"/>
      <c r="M103" s="81"/>
      <c r="N103" s="35"/>
    </row>
    <row r="104" spans="1:14" s="2" customFormat="1" x14ac:dyDescent="0.25">
      <c r="A104" s="77">
        <f t="shared" si="0"/>
        <v>5</v>
      </c>
      <c r="B104" s="79"/>
      <c r="C104" s="19" t="s">
        <v>205</v>
      </c>
      <c r="D104" s="19">
        <f t="shared" si="1"/>
        <v>331.22980799999999</v>
      </c>
      <c r="E104" s="67">
        <f t="shared" si="2"/>
        <v>110.409936</v>
      </c>
      <c r="F104" s="19">
        <v>658</v>
      </c>
      <c r="G104" s="77" t="str">
        <f t="shared" si="3"/>
        <v>Ground Floor For Commetial And Parking</v>
      </c>
      <c r="H104" s="79"/>
      <c r="I104" s="35"/>
      <c r="J104" s="62">
        <f t="shared" si="4"/>
        <v>1.9865361875885277</v>
      </c>
      <c r="L104" s="81"/>
      <c r="M104" s="81"/>
      <c r="N104" s="35"/>
    </row>
    <row r="105" spans="1:14" s="2" customFormat="1" x14ac:dyDescent="0.25">
      <c r="A105" s="77"/>
      <c r="B105" s="78"/>
      <c r="C105" s="78"/>
      <c r="D105" s="78"/>
      <c r="E105" s="78"/>
      <c r="F105" s="78"/>
      <c r="G105" s="78"/>
      <c r="H105" s="79"/>
      <c r="I105" s="35"/>
      <c r="N105" s="35"/>
    </row>
    <row r="106" spans="1:14" ht="47.25" customHeight="1" x14ac:dyDescent="0.25">
      <c r="A106" s="53" t="s">
        <v>160</v>
      </c>
      <c r="B106" s="53" t="s">
        <v>161</v>
      </c>
      <c r="C106" s="36" t="s">
        <v>65</v>
      </c>
      <c r="D106" s="36" t="s">
        <v>66</v>
      </c>
      <c r="E106" s="52" t="s">
        <v>67</v>
      </c>
      <c r="F106" s="36" t="s">
        <v>215</v>
      </c>
      <c r="G106" s="92" t="s">
        <v>68</v>
      </c>
      <c r="H106" s="93"/>
      <c r="I106" s="35"/>
    </row>
    <row r="107" spans="1:14" s="2" customFormat="1" x14ac:dyDescent="0.25">
      <c r="A107" s="80" t="s">
        <v>225</v>
      </c>
      <c r="B107" s="80"/>
      <c r="C107" s="80"/>
      <c r="D107" s="80"/>
      <c r="E107" s="80"/>
      <c r="F107" s="80"/>
      <c r="G107" s="80"/>
      <c r="H107" s="80"/>
      <c r="I107" s="35"/>
      <c r="L107" s="81"/>
      <c r="M107" s="81"/>
    </row>
    <row r="108" spans="1:14" s="2" customFormat="1" x14ac:dyDescent="0.25">
      <c r="A108" s="73">
        <f>LEFT(A107,SUM(LEN(A107)-LEN(SUBSTITUTE(A107,{"0","1","2","3","4","5","6","7","8","9"},""))))*100+1</f>
        <v>101</v>
      </c>
      <c r="B108" s="73"/>
      <c r="C108" s="19" t="s">
        <v>207</v>
      </c>
      <c r="D108" s="19">
        <f>(32.585+0.6*2.75)*10.764</f>
        <v>368.50554</v>
      </c>
      <c r="E108" s="19">
        <v>0</v>
      </c>
      <c r="F108" s="19">
        <v>642</v>
      </c>
      <c r="G108" s="73" t="str">
        <f>A107</f>
        <v>1st Floor for Residential &amp; Amenities</v>
      </c>
      <c r="H108" s="73"/>
      <c r="I108" s="50"/>
      <c r="J108" s="62">
        <f t="shared" ref="J108:J123" si="5">F108/D108</f>
        <v>1.7421719087316843</v>
      </c>
      <c r="N108" s="35"/>
    </row>
    <row r="109" spans="1:14" s="2" customFormat="1" x14ac:dyDescent="0.25">
      <c r="A109" s="73">
        <f t="shared" ref="A109:A117" si="6">A108+1</f>
        <v>102</v>
      </c>
      <c r="B109" s="73"/>
      <c r="C109" s="19" t="s">
        <v>207</v>
      </c>
      <c r="D109" s="19">
        <f t="shared" ref="D109:D117" si="7">(32.585+0.6*2.75)*10.764</f>
        <v>368.50554</v>
      </c>
      <c r="E109" s="19">
        <v>0</v>
      </c>
      <c r="F109" s="19">
        <v>642</v>
      </c>
      <c r="G109" s="73" t="str">
        <f t="shared" ref="G109:G118" si="8">G108</f>
        <v>1st Floor for Residential &amp; Amenities</v>
      </c>
      <c r="H109" s="73"/>
      <c r="I109" s="35"/>
      <c r="J109" s="62">
        <f t="shared" si="5"/>
        <v>1.7421719087316843</v>
      </c>
      <c r="N109" s="35"/>
    </row>
    <row r="110" spans="1:14" s="2" customFormat="1" x14ac:dyDescent="0.25">
      <c r="A110" s="73">
        <f t="shared" si="6"/>
        <v>103</v>
      </c>
      <c r="B110" s="73"/>
      <c r="C110" s="19" t="s">
        <v>208</v>
      </c>
      <c r="D110" s="19">
        <f>(47.305+(0.6*(2.75)))*10.764</f>
        <v>526.95161999999993</v>
      </c>
      <c r="E110" s="19">
        <v>0</v>
      </c>
      <c r="F110" s="19">
        <v>915</v>
      </c>
      <c r="G110" s="73" t="str">
        <f t="shared" si="8"/>
        <v>1st Floor for Residential &amp; Amenities</v>
      </c>
      <c r="H110" s="73"/>
      <c r="I110" s="35"/>
      <c r="J110" s="62">
        <f t="shared" si="5"/>
        <v>1.7364022905935845</v>
      </c>
      <c r="N110" s="35"/>
    </row>
    <row r="111" spans="1:14" s="2" customFormat="1" x14ac:dyDescent="0.25">
      <c r="A111" s="73">
        <f t="shared" si="6"/>
        <v>104</v>
      </c>
      <c r="B111" s="73"/>
      <c r="C111" s="19" t="s">
        <v>208</v>
      </c>
      <c r="D111" s="67">
        <f>(47.305+(0.6*(2.75)))*10.764</f>
        <v>526.95161999999993</v>
      </c>
      <c r="E111" s="19">
        <v>0</v>
      </c>
      <c r="F111" s="19">
        <v>915</v>
      </c>
      <c r="G111" s="73" t="str">
        <f t="shared" si="8"/>
        <v>1st Floor for Residential &amp; Amenities</v>
      </c>
      <c r="H111" s="73"/>
      <c r="I111" s="35"/>
      <c r="J111" s="62">
        <f t="shared" si="5"/>
        <v>1.7364022905935845</v>
      </c>
      <c r="N111" s="35"/>
    </row>
    <row r="112" spans="1:14" s="2" customFormat="1" x14ac:dyDescent="0.25">
      <c r="A112" s="73">
        <f t="shared" si="6"/>
        <v>105</v>
      </c>
      <c r="B112" s="73"/>
      <c r="C112" s="19" t="s">
        <v>207</v>
      </c>
      <c r="D112" s="19">
        <f t="shared" si="7"/>
        <v>368.50554</v>
      </c>
      <c r="E112" s="19">
        <v>0</v>
      </c>
      <c r="F112" s="19">
        <v>642</v>
      </c>
      <c r="G112" s="73" t="str">
        <f t="shared" si="8"/>
        <v>1st Floor for Residential &amp; Amenities</v>
      </c>
      <c r="H112" s="73"/>
      <c r="I112" s="35"/>
      <c r="J112" s="62">
        <f t="shared" si="5"/>
        <v>1.7421719087316843</v>
      </c>
      <c r="N112" s="35"/>
    </row>
    <row r="113" spans="1:16" s="2" customFormat="1" x14ac:dyDescent="0.25">
      <c r="A113" s="73">
        <f t="shared" si="6"/>
        <v>106</v>
      </c>
      <c r="B113" s="73"/>
      <c r="C113" s="19" t="s">
        <v>207</v>
      </c>
      <c r="D113" s="19">
        <f t="shared" si="7"/>
        <v>368.50554</v>
      </c>
      <c r="E113" s="19">
        <v>0</v>
      </c>
      <c r="F113" s="19">
        <v>642</v>
      </c>
      <c r="G113" s="73" t="str">
        <f t="shared" si="8"/>
        <v>1st Floor for Residential &amp; Amenities</v>
      </c>
      <c r="H113" s="73"/>
      <c r="I113" s="35"/>
      <c r="J113" s="62">
        <f t="shared" si="5"/>
        <v>1.7421719087316843</v>
      </c>
      <c r="N113" s="35"/>
    </row>
    <row r="114" spans="1:16" s="2" customFormat="1" x14ac:dyDescent="0.25">
      <c r="A114" s="73">
        <f t="shared" si="6"/>
        <v>107</v>
      </c>
      <c r="B114" s="73"/>
      <c r="C114" s="19" t="s">
        <v>207</v>
      </c>
      <c r="D114" s="19">
        <f t="shared" si="7"/>
        <v>368.50554</v>
      </c>
      <c r="E114" s="19">
        <v>0</v>
      </c>
      <c r="F114" s="19">
        <v>642</v>
      </c>
      <c r="G114" s="73" t="str">
        <f t="shared" si="8"/>
        <v>1st Floor for Residential &amp; Amenities</v>
      </c>
      <c r="H114" s="73"/>
      <c r="I114" s="35"/>
      <c r="J114" s="62">
        <f t="shared" si="5"/>
        <v>1.7421719087316843</v>
      </c>
      <c r="N114" s="35"/>
    </row>
    <row r="115" spans="1:16" s="2" customFormat="1" x14ac:dyDescent="0.25">
      <c r="A115" s="73">
        <f t="shared" si="6"/>
        <v>108</v>
      </c>
      <c r="B115" s="73"/>
      <c r="C115" s="19" t="s">
        <v>207</v>
      </c>
      <c r="D115" s="19">
        <f t="shared" si="7"/>
        <v>368.50554</v>
      </c>
      <c r="E115" s="19">
        <v>0</v>
      </c>
      <c r="F115" s="19">
        <v>642</v>
      </c>
      <c r="G115" s="73" t="str">
        <f t="shared" si="8"/>
        <v>1st Floor for Residential &amp; Amenities</v>
      </c>
      <c r="H115" s="73"/>
      <c r="I115" s="35"/>
      <c r="J115" s="62">
        <f t="shared" si="5"/>
        <v>1.7421719087316843</v>
      </c>
      <c r="N115" s="35"/>
    </row>
    <row r="116" spans="1:16" s="2" customFormat="1" x14ac:dyDescent="0.25">
      <c r="A116" s="73">
        <f t="shared" si="6"/>
        <v>109</v>
      </c>
      <c r="B116" s="73"/>
      <c r="C116" s="19" t="s">
        <v>207</v>
      </c>
      <c r="D116" s="19">
        <f t="shared" si="7"/>
        <v>368.50554</v>
      </c>
      <c r="E116" s="19">
        <v>0</v>
      </c>
      <c r="F116" s="19">
        <v>642</v>
      </c>
      <c r="G116" s="73" t="str">
        <f t="shared" si="8"/>
        <v>1st Floor for Residential &amp; Amenities</v>
      </c>
      <c r="H116" s="73"/>
      <c r="I116" s="35"/>
      <c r="J116" s="62">
        <f t="shared" si="5"/>
        <v>1.7421719087316843</v>
      </c>
      <c r="N116" s="35"/>
    </row>
    <row r="117" spans="1:16" s="2" customFormat="1" x14ac:dyDescent="0.25">
      <c r="A117" s="73">
        <f t="shared" si="6"/>
        <v>110</v>
      </c>
      <c r="B117" s="73"/>
      <c r="C117" s="19" t="s">
        <v>207</v>
      </c>
      <c r="D117" s="19">
        <f t="shared" si="7"/>
        <v>368.50554</v>
      </c>
      <c r="E117" s="19">
        <v>0</v>
      </c>
      <c r="F117" s="19">
        <v>642</v>
      </c>
      <c r="G117" s="73" t="str">
        <f t="shared" si="8"/>
        <v>1st Floor for Residential &amp; Amenities</v>
      </c>
      <c r="H117" s="73"/>
      <c r="I117" s="35">
        <f>3030000/F117</f>
        <v>4719.6261682242994</v>
      </c>
      <c r="J117" s="62">
        <f t="shared" si="5"/>
        <v>1.7421719087316843</v>
      </c>
      <c r="N117" s="35"/>
    </row>
    <row r="118" spans="1:16" s="2" customFormat="1" x14ac:dyDescent="0.25">
      <c r="A118" s="73">
        <f t="shared" ref="A118:A119" si="9">A117+1</f>
        <v>111</v>
      </c>
      <c r="B118" s="73"/>
      <c r="C118" s="19" t="s">
        <v>208</v>
      </c>
      <c r="D118" s="67">
        <f>(47.305+(0.6*(2.75)))*10.764</f>
        <v>526.95161999999993</v>
      </c>
      <c r="E118" s="19">
        <v>0</v>
      </c>
      <c r="F118" s="19">
        <v>915</v>
      </c>
      <c r="G118" s="73" t="str">
        <f t="shared" si="8"/>
        <v>1st Floor for Residential &amp; Amenities</v>
      </c>
      <c r="H118" s="73"/>
      <c r="I118" s="35">
        <f>4230000/F118</f>
        <v>4622.9508196721308</v>
      </c>
      <c r="J118" s="62">
        <f t="shared" si="5"/>
        <v>1.7364022905935845</v>
      </c>
      <c r="N118" s="35"/>
    </row>
    <row r="119" spans="1:16" s="2" customFormat="1" x14ac:dyDescent="0.25">
      <c r="A119" s="73">
        <f t="shared" si="9"/>
        <v>112</v>
      </c>
      <c r="B119" s="73"/>
      <c r="C119" s="19" t="s">
        <v>208</v>
      </c>
      <c r="D119" s="67">
        <f>(47.305+(0.6*(2.75)))*10.764</f>
        <v>526.95161999999993</v>
      </c>
      <c r="E119" s="19">
        <v>0</v>
      </c>
      <c r="F119" s="19">
        <v>915</v>
      </c>
      <c r="G119" s="73" t="str">
        <f>G112</f>
        <v>1st Floor for Residential &amp; Amenities</v>
      </c>
      <c r="H119" s="73"/>
      <c r="I119" s="35"/>
      <c r="J119" s="62">
        <f t="shared" si="5"/>
        <v>1.7364022905935845</v>
      </c>
      <c r="N119" s="35"/>
    </row>
    <row r="120" spans="1:16" s="2" customFormat="1" x14ac:dyDescent="0.25">
      <c r="A120" s="73">
        <f>A119+1</f>
        <v>113</v>
      </c>
      <c r="B120" s="73"/>
      <c r="C120" s="19" t="s">
        <v>207</v>
      </c>
      <c r="D120" s="19">
        <f t="shared" ref="D120:D123" si="10">(32.585+0.6*2.75)*10.764</f>
        <v>368.50554</v>
      </c>
      <c r="E120" s="19">
        <v>0</v>
      </c>
      <c r="F120" s="19">
        <v>642</v>
      </c>
      <c r="G120" s="73" t="str">
        <f>G119</f>
        <v>1st Floor for Residential &amp; Amenities</v>
      </c>
      <c r="H120" s="73"/>
      <c r="I120" s="35"/>
      <c r="J120" s="62">
        <f t="shared" si="5"/>
        <v>1.7421719087316843</v>
      </c>
      <c r="N120" s="35"/>
    </row>
    <row r="121" spans="1:16" s="2" customFormat="1" x14ac:dyDescent="0.25">
      <c r="A121" s="73">
        <f>A120+1</f>
        <v>114</v>
      </c>
      <c r="B121" s="73"/>
      <c r="C121" s="19" t="s">
        <v>207</v>
      </c>
      <c r="D121" s="19">
        <f t="shared" si="10"/>
        <v>368.50554</v>
      </c>
      <c r="E121" s="19">
        <v>0</v>
      </c>
      <c r="F121" s="19">
        <v>642</v>
      </c>
      <c r="G121" s="73" t="str">
        <f>G120</f>
        <v>1st Floor for Residential &amp; Amenities</v>
      </c>
      <c r="H121" s="73"/>
      <c r="I121" s="35"/>
      <c r="J121" s="62">
        <f t="shared" si="5"/>
        <v>1.7421719087316843</v>
      </c>
      <c r="N121" s="35"/>
    </row>
    <row r="122" spans="1:16" s="2" customFormat="1" x14ac:dyDescent="0.25">
      <c r="A122" s="73">
        <f t="shared" ref="A122:A123" si="11">A121+1</f>
        <v>115</v>
      </c>
      <c r="B122" s="73"/>
      <c r="C122" s="19" t="s">
        <v>207</v>
      </c>
      <c r="D122" s="19">
        <f t="shared" si="10"/>
        <v>368.50554</v>
      </c>
      <c r="E122" s="19">
        <v>0</v>
      </c>
      <c r="F122" s="19">
        <v>642</v>
      </c>
      <c r="G122" s="73" t="str">
        <f>G121</f>
        <v>1st Floor for Residential &amp; Amenities</v>
      </c>
      <c r="H122" s="73"/>
      <c r="I122" s="35"/>
      <c r="J122" s="62">
        <f t="shared" si="5"/>
        <v>1.7421719087316843</v>
      </c>
      <c r="N122" s="35"/>
    </row>
    <row r="123" spans="1:16" s="2" customFormat="1" x14ac:dyDescent="0.25">
      <c r="A123" s="73">
        <f t="shared" si="11"/>
        <v>116</v>
      </c>
      <c r="B123" s="73"/>
      <c r="C123" s="19" t="s">
        <v>207</v>
      </c>
      <c r="D123" s="19">
        <f t="shared" si="10"/>
        <v>368.50554</v>
      </c>
      <c r="E123" s="19">
        <v>0</v>
      </c>
      <c r="F123" s="19">
        <v>642</v>
      </c>
      <c r="G123" s="73" t="str">
        <f>G116</f>
        <v>1st Floor for Residential &amp; Amenities</v>
      </c>
      <c r="H123" s="73"/>
      <c r="I123" s="35"/>
      <c r="J123" s="62">
        <f t="shared" si="5"/>
        <v>1.7421719087316843</v>
      </c>
      <c r="N123" s="35"/>
    </row>
    <row r="124" spans="1:16" s="2" customFormat="1" x14ac:dyDescent="0.25">
      <c r="A124" s="89" t="s">
        <v>209</v>
      </c>
      <c r="B124" s="90"/>
      <c r="C124" s="90"/>
      <c r="D124" s="90"/>
      <c r="E124" s="90"/>
      <c r="F124" s="90"/>
      <c r="G124" s="90"/>
      <c r="H124" s="91"/>
      <c r="I124" s="35"/>
    </row>
    <row r="125" spans="1:16" s="2" customFormat="1" x14ac:dyDescent="0.25">
      <c r="A125" s="77" t="str">
        <f t="shared" ref="A125:A130" ca="1" si="12">N125</f>
        <v>201 to 701</v>
      </c>
      <c r="B125" s="79"/>
      <c r="C125" s="19" t="s">
        <v>207</v>
      </c>
      <c r="D125" s="19">
        <f>(32.585+0.6*2.75)*10.764</f>
        <v>368.50554</v>
      </c>
      <c r="E125" s="19">
        <v>0</v>
      </c>
      <c r="F125" s="19">
        <v>642</v>
      </c>
      <c r="G125" s="77" t="str">
        <f>A124</f>
        <v>2nd to 7th Floor</v>
      </c>
      <c r="H125" s="79"/>
      <c r="I125" s="35"/>
      <c r="N125" s="2" t="str">
        <f t="shared" ref="N125:N130" ca="1" si="13">O125&amp;""&amp;" to "&amp;""&amp;P125</f>
        <v>201 to 701</v>
      </c>
      <c r="O125" s="2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10^ROW(INDIRECT("1:"&amp;LEN((LEFT(A124,SUM(LEN(A124)-LEN(SUBSTITUTE(A124,{"0","1","2"},""))))))))/10))*100+1</f>
        <v>201</v>
      </c>
      <c r="P125" s="2">
        <f ca="1">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",LEN(A124))),LEN(A124)))))))/10))*100+1</f>
        <v>701</v>
      </c>
    </row>
    <row r="126" spans="1:16" s="2" customFormat="1" x14ac:dyDescent="0.25">
      <c r="A126" s="77" t="str">
        <f t="shared" ca="1" si="12"/>
        <v>202 to 702</v>
      </c>
      <c r="B126" s="79"/>
      <c r="C126" s="19" t="s">
        <v>207</v>
      </c>
      <c r="D126" s="19">
        <f t="shared" ref="D126:D140" si="14">(32.585+0.6*2.75)*10.764</f>
        <v>368.50554</v>
      </c>
      <c r="E126" s="19">
        <v>0</v>
      </c>
      <c r="F126" s="19">
        <v>642</v>
      </c>
      <c r="G126" s="77" t="str">
        <f t="shared" ref="G126:G140" si="15">G125</f>
        <v>2nd to 7th Floor</v>
      </c>
      <c r="H126" s="79"/>
      <c r="I126" s="35"/>
      <c r="N126" s="2" t="str">
        <f t="shared" ca="1" si="13"/>
        <v>202 to 702</v>
      </c>
      <c r="O126" s="2">
        <f t="shared" ref="O126:P129" ca="1" si="16">O125+1</f>
        <v>202</v>
      </c>
      <c r="P126" s="2">
        <f t="shared" ca="1" si="16"/>
        <v>702</v>
      </c>
    </row>
    <row r="127" spans="1:16" s="2" customFormat="1" x14ac:dyDescent="0.25">
      <c r="A127" s="77" t="str">
        <f t="shared" ca="1" si="12"/>
        <v>203 to 703</v>
      </c>
      <c r="B127" s="79"/>
      <c r="C127" s="19" t="s">
        <v>208</v>
      </c>
      <c r="D127" s="67">
        <f>(47.305+(0.6*(2.75)))*10.764</f>
        <v>526.95161999999993</v>
      </c>
      <c r="E127" s="19">
        <v>0</v>
      </c>
      <c r="F127" s="19">
        <v>915</v>
      </c>
      <c r="G127" s="77" t="str">
        <f t="shared" si="15"/>
        <v>2nd to 7th Floor</v>
      </c>
      <c r="H127" s="79"/>
      <c r="I127" s="35"/>
      <c r="N127" s="2" t="str">
        <f t="shared" ca="1" si="13"/>
        <v>203 to 703</v>
      </c>
      <c r="O127" s="2">
        <f t="shared" ca="1" si="16"/>
        <v>203</v>
      </c>
      <c r="P127" s="2">
        <f t="shared" ca="1" si="16"/>
        <v>703</v>
      </c>
    </row>
    <row r="128" spans="1:16" s="2" customFormat="1" x14ac:dyDescent="0.25">
      <c r="A128" s="77" t="str">
        <f t="shared" ca="1" si="12"/>
        <v>204 to 704</v>
      </c>
      <c r="B128" s="79"/>
      <c r="C128" s="19" t="s">
        <v>208</v>
      </c>
      <c r="D128" s="67">
        <f>(47.305+(0.6*(2.75)))*10.764</f>
        <v>526.95161999999993</v>
      </c>
      <c r="E128" s="19">
        <v>0</v>
      </c>
      <c r="F128" s="19">
        <v>915</v>
      </c>
      <c r="G128" s="77" t="str">
        <f t="shared" si="15"/>
        <v>2nd to 7th Floor</v>
      </c>
      <c r="H128" s="79"/>
      <c r="I128" s="51"/>
      <c r="N128" s="2" t="str">
        <f t="shared" ca="1" si="13"/>
        <v>204 to 704</v>
      </c>
      <c r="O128" s="2">
        <f t="shared" ca="1" si="16"/>
        <v>204</v>
      </c>
      <c r="P128" s="2">
        <f t="shared" ca="1" si="16"/>
        <v>704</v>
      </c>
    </row>
    <row r="129" spans="1:16" s="2" customFormat="1" x14ac:dyDescent="0.25">
      <c r="A129" s="77" t="str">
        <f t="shared" ca="1" si="12"/>
        <v>205 to 705</v>
      </c>
      <c r="B129" s="79"/>
      <c r="C129" s="19" t="s">
        <v>207</v>
      </c>
      <c r="D129" s="19">
        <f t="shared" si="14"/>
        <v>368.50554</v>
      </c>
      <c r="E129" s="19">
        <v>0</v>
      </c>
      <c r="F129" s="19">
        <v>642</v>
      </c>
      <c r="G129" s="77" t="str">
        <f t="shared" si="15"/>
        <v>2nd to 7th Floor</v>
      </c>
      <c r="H129" s="79"/>
      <c r="I129" s="35"/>
      <c r="N129" s="2" t="str">
        <f t="shared" ca="1" si="13"/>
        <v>205 to 705</v>
      </c>
      <c r="O129" s="2">
        <f t="shared" ca="1" si="16"/>
        <v>205</v>
      </c>
      <c r="P129" s="2">
        <f t="shared" ca="1" si="16"/>
        <v>705</v>
      </c>
    </row>
    <row r="130" spans="1:16" s="2" customFormat="1" x14ac:dyDescent="0.25">
      <c r="A130" s="77" t="str">
        <f t="shared" ca="1" si="12"/>
        <v>206 to 706</v>
      </c>
      <c r="B130" s="79"/>
      <c r="C130" s="19" t="s">
        <v>207</v>
      </c>
      <c r="D130" s="19">
        <f t="shared" si="14"/>
        <v>368.50554</v>
      </c>
      <c r="E130" s="19">
        <v>0</v>
      </c>
      <c r="F130" s="19">
        <v>642</v>
      </c>
      <c r="G130" s="77" t="str">
        <f t="shared" si="15"/>
        <v>2nd to 7th Floor</v>
      </c>
      <c r="H130" s="79"/>
      <c r="I130" s="35"/>
      <c r="N130" s="2" t="str">
        <f t="shared" ca="1" si="13"/>
        <v>206 to 706</v>
      </c>
      <c r="O130" s="2">
        <f ca="1">O129+1</f>
        <v>206</v>
      </c>
      <c r="P130" s="2">
        <f ca="1">P129+1</f>
        <v>706</v>
      </c>
    </row>
    <row r="131" spans="1:16" s="2" customFormat="1" x14ac:dyDescent="0.25">
      <c r="A131" s="77" t="str">
        <f t="shared" ref="A131:A134" ca="1" si="17">N131</f>
        <v>207 to 707</v>
      </c>
      <c r="B131" s="79"/>
      <c r="C131" s="19" t="s">
        <v>207</v>
      </c>
      <c r="D131" s="19">
        <f t="shared" si="14"/>
        <v>368.50554</v>
      </c>
      <c r="E131" s="19">
        <v>0</v>
      </c>
      <c r="F131" s="19">
        <v>642</v>
      </c>
      <c r="G131" s="77" t="str">
        <f t="shared" si="15"/>
        <v>2nd to 7th Floor</v>
      </c>
      <c r="H131" s="79"/>
      <c r="I131" s="35"/>
      <c r="N131" s="2" t="str">
        <f t="shared" ref="N131:N134" ca="1" si="18">O131&amp;""&amp;" to "&amp;""&amp;P131</f>
        <v>207 to 707</v>
      </c>
      <c r="O131" s="2">
        <f t="shared" ref="O131:P131" ca="1" si="19">O130+1</f>
        <v>207</v>
      </c>
      <c r="P131" s="2">
        <f t="shared" ca="1" si="19"/>
        <v>707</v>
      </c>
    </row>
    <row r="132" spans="1:16" s="2" customFormat="1" x14ac:dyDescent="0.25">
      <c r="A132" s="77" t="str">
        <f t="shared" ca="1" si="17"/>
        <v>208 to 708</v>
      </c>
      <c r="B132" s="79"/>
      <c r="C132" s="19" t="s">
        <v>207</v>
      </c>
      <c r="D132" s="19">
        <f t="shared" si="14"/>
        <v>368.50554</v>
      </c>
      <c r="E132" s="19">
        <v>0</v>
      </c>
      <c r="F132" s="19">
        <v>642</v>
      </c>
      <c r="G132" s="77" t="str">
        <f t="shared" si="15"/>
        <v>2nd to 7th Floor</v>
      </c>
      <c r="H132" s="79"/>
      <c r="I132" s="35"/>
      <c r="N132" s="2" t="str">
        <f t="shared" ca="1" si="18"/>
        <v>208 to 708</v>
      </c>
      <c r="O132" s="2">
        <f t="shared" ref="O132:P132" ca="1" si="20">O131+1</f>
        <v>208</v>
      </c>
      <c r="P132" s="2">
        <f t="shared" ca="1" si="20"/>
        <v>708</v>
      </c>
    </row>
    <row r="133" spans="1:16" s="2" customFormat="1" x14ac:dyDescent="0.25">
      <c r="A133" s="77" t="str">
        <f t="shared" ca="1" si="17"/>
        <v>209 to 709</v>
      </c>
      <c r="B133" s="79"/>
      <c r="C133" s="19" t="s">
        <v>207</v>
      </c>
      <c r="D133" s="19">
        <f t="shared" si="14"/>
        <v>368.50554</v>
      </c>
      <c r="E133" s="19">
        <v>0</v>
      </c>
      <c r="F133" s="19">
        <v>642</v>
      </c>
      <c r="G133" s="77" t="str">
        <f t="shared" si="15"/>
        <v>2nd to 7th Floor</v>
      </c>
      <c r="H133" s="79"/>
      <c r="I133" s="35"/>
      <c r="N133" s="2" t="str">
        <f t="shared" ca="1" si="18"/>
        <v>209 to 709</v>
      </c>
      <c r="O133" s="2">
        <f t="shared" ref="O133:P133" ca="1" si="21">O132+1</f>
        <v>209</v>
      </c>
      <c r="P133" s="2">
        <f t="shared" ca="1" si="21"/>
        <v>709</v>
      </c>
    </row>
    <row r="134" spans="1:16" s="2" customFormat="1" x14ac:dyDescent="0.25">
      <c r="A134" s="77" t="str">
        <f t="shared" ca="1" si="17"/>
        <v>210 to 710</v>
      </c>
      <c r="B134" s="79"/>
      <c r="C134" s="19" t="s">
        <v>207</v>
      </c>
      <c r="D134" s="19">
        <f t="shared" si="14"/>
        <v>368.50554</v>
      </c>
      <c r="E134" s="19">
        <v>0</v>
      </c>
      <c r="F134" s="19">
        <v>642</v>
      </c>
      <c r="G134" s="77" t="str">
        <f t="shared" si="15"/>
        <v>2nd to 7th Floor</v>
      </c>
      <c r="H134" s="79"/>
      <c r="I134" s="35"/>
      <c r="N134" s="2" t="str">
        <f t="shared" ca="1" si="18"/>
        <v>210 to 710</v>
      </c>
      <c r="O134" s="2">
        <f ca="1">O133+1</f>
        <v>210</v>
      </c>
      <c r="P134" s="2">
        <f ca="1">P133+1</f>
        <v>710</v>
      </c>
    </row>
    <row r="135" spans="1:16" s="2" customFormat="1" x14ac:dyDescent="0.25">
      <c r="A135" s="77" t="str">
        <f t="shared" ref="A135:A138" ca="1" si="22">N135</f>
        <v>211 to 711</v>
      </c>
      <c r="B135" s="79"/>
      <c r="C135" s="19" t="s">
        <v>208</v>
      </c>
      <c r="D135" s="67">
        <f>(47.305+(0.6*(2.75)))*10.764</f>
        <v>526.95161999999993</v>
      </c>
      <c r="E135" s="19">
        <v>0</v>
      </c>
      <c r="F135" s="19">
        <v>915</v>
      </c>
      <c r="G135" s="77" t="str">
        <f t="shared" si="15"/>
        <v>2nd to 7th Floor</v>
      </c>
      <c r="H135" s="79"/>
      <c r="I135" s="35"/>
      <c r="N135" s="2" t="str">
        <f t="shared" ref="N135:N138" ca="1" si="23">O135&amp;""&amp;" to "&amp;""&amp;P135</f>
        <v>211 to 711</v>
      </c>
      <c r="O135" s="2">
        <f t="shared" ref="O135:P135" ca="1" si="24">O134+1</f>
        <v>211</v>
      </c>
      <c r="P135" s="2">
        <f t="shared" ca="1" si="24"/>
        <v>711</v>
      </c>
    </row>
    <row r="136" spans="1:16" s="2" customFormat="1" x14ac:dyDescent="0.25">
      <c r="A136" s="77" t="str">
        <f t="shared" ca="1" si="22"/>
        <v>212 to 712</v>
      </c>
      <c r="B136" s="79"/>
      <c r="C136" s="19" t="s">
        <v>208</v>
      </c>
      <c r="D136" s="67">
        <f>(47.305+(0.6*(2.75)))*10.764</f>
        <v>526.95161999999993</v>
      </c>
      <c r="E136" s="19">
        <v>0</v>
      </c>
      <c r="F136" s="19">
        <v>915</v>
      </c>
      <c r="G136" s="77" t="str">
        <f t="shared" si="15"/>
        <v>2nd to 7th Floor</v>
      </c>
      <c r="H136" s="79"/>
      <c r="I136" s="35"/>
      <c r="N136" s="2" t="str">
        <f t="shared" ca="1" si="23"/>
        <v>212 to 712</v>
      </c>
      <c r="O136" s="2">
        <f t="shared" ref="O136:P136" ca="1" si="25">O135+1</f>
        <v>212</v>
      </c>
      <c r="P136" s="2">
        <f t="shared" ca="1" si="25"/>
        <v>712</v>
      </c>
    </row>
    <row r="137" spans="1:16" s="2" customFormat="1" x14ac:dyDescent="0.25">
      <c r="A137" s="77" t="str">
        <f t="shared" ca="1" si="22"/>
        <v>213 to 713</v>
      </c>
      <c r="B137" s="79"/>
      <c r="C137" s="19" t="s">
        <v>207</v>
      </c>
      <c r="D137" s="19">
        <f t="shared" si="14"/>
        <v>368.50554</v>
      </c>
      <c r="E137" s="19">
        <v>0</v>
      </c>
      <c r="F137" s="19">
        <v>642</v>
      </c>
      <c r="G137" s="77" t="str">
        <f t="shared" si="15"/>
        <v>2nd to 7th Floor</v>
      </c>
      <c r="H137" s="79"/>
      <c r="I137" s="35"/>
      <c r="N137" s="2" t="str">
        <f t="shared" ca="1" si="23"/>
        <v>213 to 713</v>
      </c>
      <c r="O137" s="2">
        <f t="shared" ref="O137:P137" ca="1" si="26">O136+1</f>
        <v>213</v>
      </c>
      <c r="P137" s="2">
        <f t="shared" ca="1" si="26"/>
        <v>713</v>
      </c>
    </row>
    <row r="138" spans="1:16" s="2" customFormat="1" x14ac:dyDescent="0.25">
      <c r="A138" s="77" t="str">
        <f t="shared" ca="1" si="22"/>
        <v>214 to 714</v>
      </c>
      <c r="B138" s="79"/>
      <c r="C138" s="19" t="s">
        <v>207</v>
      </c>
      <c r="D138" s="19">
        <f t="shared" si="14"/>
        <v>368.50554</v>
      </c>
      <c r="E138" s="19">
        <v>0</v>
      </c>
      <c r="F138" s="19">
        <v>642</v>
      </c>
      <c r="G138" s="77" t="str">
        <f t="shared" si="15"/>
        <v>2nd to 7th Floor</v>
      </c>
      <c r="H138" s="79"/>
      <c r="I138" s="35"/>
      <c r="N138" s="2" t="str">
        <f t="shared" ca="1" si="23"/>
        <v>214 to 714</v>
      </c>
      <c r="O138" s="2">
        <f ca="1">O137+1</f>
        <v>214</v>
      </c>
      <c r="P138" s="2">
        <f ca="1">P137+1</f>
        <v>714</v>
      </c>
    </row>
    <row r="139" spans="1:16" s="2" customFormat="1" x14ac:dyDescent="0.25">
      <c r="A139" s="77" t="str">
        <f t="shared" ref="A139:A140" ca="1" si="27">N139</f>
        <v>215 to 715</v>
      </c>
      <c r="B139" s="79"/>
      <c r="C139" s="19" t="s">
        <v>207</v>
      </c>
      <c r="D139" s="19">
        <f t="shared" si="14"/>
        <v>368.50554</v>
      </c>
      <c r="E139" s="19">
        <v>0</v>
      </c>
      <c r="F139" s="19">
        <v>642</v>
      </c>
      <c r="G139" s="77" t="str">
        <f t="shared" si="15"/>
        <v>2nd to 7th Floor</v>
      </c>
      <c r="H139" s="79"/>
      <c r="I139" s="35"/>
      <c r="N139" s="2" t="str">
        <f t="shared" ref="N139:N140" ca="1" si="28">O139&amp;""&amp;" to "&amp;""&amp;P139</f>
        <v>215 to 715</v>
      </c>
      <c r="O139" s="2">
        <f t="shared" ref="O139:P139" ca="1" si="29">O138+1</f>
        <v>215</v>
      </c>
      <c r="P139" s="2">
        <f t="shared" ca="1" si="29"/>
        <v>715</v>
      </c>
    </row>
    <row r="140" spans="1:16" s="2" customFormat="1" x14ac:dyDescent="0.25">
      <c r="A140" s="77" t="str">
        <f t="shared" ca="1" si="27"/>
        <v>216 to 716</v>
      </c>
      <c r="B140" s="79"/>
      <c r="C140" s="19" t="s">
        <v>207</v>
      </c>
      <c r="D140" s="19">
        <f t="shared" si="14"/>
        <v>368.50554</v>
      </c>
      <c r="E140" s="19">
        <v>0</v>
      </c>
      <c r="F140" s="19">
        <v>642</v>
      </c>
      <c r="G140" s="77" t="str">
        <f t="shared" si="15"/>
        <v>2nd to 7th Floor</v>
      </c>
      <c r="H140" s="79"/>
      <c r="I140" s="35"/>
      <c r="N140" s="2" t="str">
        <f t="shared" ca="1" si="28"/>
        <v>216 to 716</v>
      </c>
      <c r="O140" s="2">
        <f t="shared" ref="O140:P140" ca="1" si="30">O139+1</f>
        <v>216</v>
      </c>
      <c r="P140" s="2">
        <f t="shared" ca="1" si="30"/>
        <v>716</v>
      </c>
    </row>
    <row r="141" spans="1:16" s="68" customFormat="1" x14ac:dyDescent="0.25">
      <c r="A141" s="80" t="s">
        <v>227</v>
      </c>
      <c r="B141" s="80"/>
      <c r="C141" s="80"/>
      <c r="D141" s="80"/>
      <c r="E141" s="80"/>
      <c r="F141" s="80"/>
      <c r="G141" s="80"/>
      <c r="H141" s="80"/>
      <c r="I141" s="35"/>
      <c r="L141" s="81"/>
      <c r="M141" s="81"/>
    </row>
    <row r="142" spans="1:16" s="68" customFormat="1" x14ac:dyDescent="0.25">
      <c r="A142" s="73">
        <f>LEFT(A141,SUM(LEN(A141)-LEN(SUBSTITUTE(A141,{"0","1","2","3","4","5","6","7","8","9"},""))))*100+1</f>
        <v>801</v>
      </c>
      <c r="B142" s="73"/>
      <c r="C142" s="67" t="s">
        <v>207</v>
      </c>
      <c r="D142" s="67">
        <f>(32.585+0.6*2.75)*10.764</f>
        <v>368.50554</v>
      </c>
      <c r="E142" s="67">
        <v>0</v>
      </c>
      <c r="F142" s="67">
        <v>642</v>
      </c>
      <c r="G142" s="73" t="str">
        <f>A141</f>
        <v>8th Floor (Part Refuge Area)</v>
      </c>
      <c r="H142" s="73"/>
      <c r="I142" s="50"/>
      <c r="J142" s="62">
        <f t="shared" ref="J142:J157" si="31">F142/D142</f>
        <v>1.7421719087316843</v>
      </c>
      <c r="N142" s="35"/>
    </row>
    <row r="143" spans="1:16" s="68" customFormat="1" x14ac:dyDescent="0.25">
      <c r="A143" s="73">
        <f t="shared" ref="A143:A153" si="32">A142+1</f>
        <v>802</v>
      </c>
      <c r="B143" s="73"/>
      <c r="C143" s="67" t="s">
        <v>207</v>
      </c>
      <c r="D143" s="67">
        <f t="shared" ref="D143:D151" si="33">(32.585+0.6*2.75)*10.764</f>
        <v>368.50554</v>
      </c>
      <c r="E143" s="67">
        <v>0</v>
      </c>
      <c r="F143" s="67">
        <v>642</v>
      </c>
      <c r="G143" s="73" t="str">
        <f t="shared" ref="G143:G152" si="34">G142</f>
        <v>8th Floor (Part Refuge Area)</v>
      </c>
      <c r="H143" s="73"/>
      <c r="I143" s="35"/>
      <c r="J143" s="62">
        <f t="shared" si="31"/>
        <v>1.7421719087316843</v>
      </c>
      <c r="N143" s="35"/>
    </row>
    <row r="144" spans="1:16" s="68" customFormat="1" x14ac:dyDescent="0.25">
      <c r="A144" s="73">
        <f t="shared" si="32"/>
        <v>803</v>
      </c>
      <c r="B144" s="73"/>
      <c r="C144" s="67" t="s">
        <v>208</v>
      </c>
      <c r="D144" s="67">
        <f>(47.305+(0.6*(2.75)))*10.764</f>
        <v>526.95161999999993</v>
      </c>
      <c r="E144" s="67">
        <v>0</v>
      </c>
      <c r="F144" s="67">
        <v>915</v>
      </c>
      <c r="G144" s="73" t="str">
        <f t="shared" si="34"/>
        <v>8th Floor (Part Refuge Area)</v>
      </c>
      <c r="H144" s="73"/>
      <c r="I144" s="35"/>
      <c r="J144" s="62">
        <f t="shared" si="31"/>
        <v>1.7364022905935845</v>
      </c>
      <c r="N144" s="35"/>
    </row>
    <row r="145" spans="1:14" s="68" customFormat="1" x14ac:dyDescent="0.25">
      <c r="A145" s="73">
        <f t="shared" si="32"/>
        <v>804</v>
      </c>
      <c r="B145" s="73"/>
      <c r="C145" s="67" t="s">
        <v>208</v>
      </c>
      <c r="D145" s="67">
        <f>(47.305+(0.6*(2.75)))*10.764</f>
        <v>526.95161999999993</v>
      </c>
      <c r="E145" s="67">
        <v>0</v>
      </c>
      <c r="F145" s="67">
        <v>915</v>
      </c>
      <c r="G145" s="73" t="str">
        <f t="shared" si="34"/>
        <v>8th Floor (Part Refuge Area)</v>
      </c>
      <c r="H145" s="73"/>
      <c r="I145" s="35"/>
      <c r="J145" s="62">
        <f t="shared" si="31"/>
        <v>1.7364022905935845</v>
      </c>
      <c r="N145" s="35"/>
    </row>
    <row r="146" spans="1:14" s="68" customFormat="1" x14ac:dyDescent="0.25">
      <c r="A146" s="73">
        <f t="shared" si="32"/>
        <v>805</v>
      </c>
      <c r="B146" s="73"/>
      <c r="C146" s="67" t="s">
        <v>207</v>
      </c>
      <c r="D146" s="67">
        <f t="shared" si="33"/>
        <v>368.50554</v>
      </c>
      <c r="E146" s="67">
        <v>0</v>
      </c>
      <c r="F146" s="67">
        <v>642</v>
      </c>
      <c r="G146" s="73" t="str">
        <f t="shared" si="34"/>
        <v>8th Floor (Part Refuge Area)</v>
      </c>
      <c r="H146" s="73"/>
      <c r="I146" s="35"/>
      <c r="J146" s="62">
        <f t="shared" si="31"/>
        <v>1.7421719087316843</v>
      </c>
      <c r="N146" s="35"/>
    </row>
    <row r="147" spans="1:14" s="68" customFormat="1" x14ac:dyDescent="0.25">
      <c r="A147" s="73">
        <f t="shared" si="32"/>
        <v>806</v>
      </c>
      <c r="B147" s="73"/>
      <c r="C147" s="67" t="s">
        <v>207</v>
      </c>
      <c r="D147" s="67">
        <f t="shared" si="33"/>
        <v>368.50554</v>
      </c>
      <c r="E147" s="67">
        <v>0</v>
      </c>
      <c r="F147" s="67">
        <v>642</v>
      </c>
      <c r="G147" s="73" t="str">
        <f t="shared" si="34"/>
        <v>8th Floor (Part Refuge Area)</v>
      </c>
      <c r="H147" s="73"/>
      <c r="I147" s="35"/>
      <c r="J147" s="62">
        <f t="shared" si="31"/>
        <v>1.7421719087316843</v>
      </c>
      <c r="N147" s="35"/>
    </row>
    <row r="148" spans="1:14" s="68" customFormat="1" x14ac:dyDescent="0.25">
      <c r="A148" s="73">
        <f t="shared" si="32"/>
        <v>807</v>
      </c>
      <c r="B148" s="73"/>
      <c r="C148" s="67" t="s">
        <v>207</v>
      </c>
      <c r="D148" s="67">
        <f t="shared" si="33"/>
        <v>368.50554</v>
      </c>
      <c r="E148" s="67">
        <v>0</v>
      </c>
      <c r="F148" s="67">
        <v>642</v>
      </c>
      <c r="G148" s="73" t="str">
        <f t="shared" si="34"/>
        <v>8th Floor (Part Refuge Area)</v>
      </c>
      <c r="H148" s="73"/>
      <c r="I148" s="35"/>
      <c r="J148" s="62">
        <f t="shared" si="31"/>
        <v>1.7421719087316843</v>
      </c>
      <c r="N148" s="35"/>
    </row>
    <row r="149" spans="1:14" s="68" customFormat="1" x14ac:dyDescent="0.25">
      <c r="A149" s="73">
        <f t="shared" si="32"/>
        <v>808</v>
      </c>
      <c r="B149" s="73"/>
      <c r="C149" s="67" t="s">
        <v>207</v>
      </c>
      <c r="D149" s="67">
        <f t="shared" si="33"/>
        <v>368.50554</v>
      </c>
      <c r="E149" s="67">
        <v>0</v>
      </c>
      <c r="F149" s="67">
        <v>642</v>
      </c>
      <c r="G149" s="73" t="str">
        <f t="shared" si="34"/>
        <v>8th Floor (Part Refuge Area)</v>
      </c>
      <c r="H149" s="73"/>
      <c r="I149" s="35"/>
      <c r="J149" s="62">
        <f t="shared" si="31"/>
        <v>1.7421719087316843</v>
      </c>
      <c r="N149" s="35"/>
    </row>
    <row r="150" spans="1:14" s="68" customFormat="1" x14ac:dyDescent="0.25">
      <c r="A150" s="73">
        <f t="shared" si="32"/>
        <v>809</v>
      </c>
      <c r="B150" s="73"/>
      <c r="C150" s="67" t="s">
        <v>207</v>
      </c>
      <c r="D150" s="67">
        <f t="shared" si="33"/>
        <v>368.50554</v>
      </c>
      <c r="E150" s="67">
        <v>0</v>
      </c>
      <c r="F150" s="67">
        <v>642</v>
      </c>
      <c r="G150" s="73" t="str">
        <f t="shared" si="34"/>
        <v>8th Floor (Part Refuge Area)</v>
      </c>
      <c r="H150" s="73"/>
      <c r="I150" s="35"/>
      <c r="J150" s="62">
        <f t="shared" si="31"/>
        <v>1.7421719087316843</v>
      </c>
      <c r="N150" s="35"/>
    </row>
    <row r="151" spans="1:14" s="68" customFormat="1" x14ac:dyDescent="0.25">
      <c r="A151" s="73">
        <f t="shared" si="32"/>
        <v>810</v>
      </c>
      <c r="B151" s="73"/>
      <c r="C151" s="67" t="s">
        <v>207</v>
      </c>
      <c r="D151" s="67">
        <f t="shared" si="33"/>
        <v>368.50554</v>
      </c>
      <c r="E151" s="67">
        <v>0</v>
      </c>
      <c r="F151" s="67">
        <v>642</v>
      </c>
      <c r="G151" s="73" t="str">
        <f t="shared" si="34"/>
        <v>8th Floor (Part Refuge Area)</v>
      </c>
      <c r="H151" s="73"/>
      <c r="I151" s="35">
        <f>3030000/F151</f>
        <v>4719.6261682242994</v>
      </c>
      <c r="J151" s="62">
        <f t="shared" si="31"/>
        <v>1.7421719087316843</v>
      </c>
      <c r="N151" s="35"/>
    </row>
    <row r="152" spans="1:14" s="68" customFormat="1" x14ac:dyDescent="0.25">
      <c r="A152" s="73">
        <f t="shared" si="32"/>
        <v>811</v>
      </c>
      <c r="B152" s="73"/>
      <c r="C152" s="67" t="s">
        <v>208</v>
      </c>
      <c r="D152" s="67">
        <f>(47.305+(0.6*(2.75)))*10.764</f>
        <v>526.95161999999993</v>
      </c>
      <c r="E152" s="67">
        <v>0</v>
      </c>
      <c r="F152" s="67">
        <v>915</v>
      </c>
      <c r="G152" s="73" t="str">
        <f t="shared" si="34"/>
        <v>8th Floor (Part Refuge Area)</v>
      </c>
      <c r="H152" s="73"/>
      <c r="I152" s="35">
        <f>4230000/F152</f>
        <v>4622.9508196721308</v>
      </c>
      <c r="J152" s="62">
        <f t="shared" si="31"/>
        <v>1.7364022905935845</v>
      </c>
      <c r="N152" s="35"/>
    </row>
    <row r="153" spans="1:14" s="68" customFormat="1" x14ac:dyDescent="0.25">
      <c r="A153" s="73">
        <f t="shared" si="32"/>
        <v>812</v>
      </c>
      <c r="B153" s="73"/>
      <c r="C153" s="67" t="s">
        <v>208</v>
      </c>
      <c r="D153" s="67">
        <f>(47.305+(0.6*(2.75)))*10.764</f>
        <v>526.95161999999993</v>
      </c>
      <c r="E153" s="67">
        <v>0</v>
      </c>
      <c r="F153" s="67">
        <v>915</v>
      </c>
      <c r="G153" s="73" t="str">
        <f>G146</f>
        <v>8th Floor (Part Refuge Area)</v>
      </c>
      <c r="H153" s="73"/>
      <c r="I153" s="35"/>
      <c r="J153" s="62">
        <f t="shared" si="31"/>
        <v>1.7364022905935845</v>
      </c>
      <c r="N153" s="35"/>
    </row>
    <row r="154" spans="1:14" s="68" customFormat="1" x14ac:dyDescent="0.25">
      <c r="A154" s="73">
        <f>A153+1</f>
        <v>813</v>
      </c>
      <c r="B154" s="73"/>
      <c r="C154" s="67" t="s">
        <v>207</v>
      </c>
      <c r="D154" s="67">
        <f t="shared" ref="D154:D156" si="35">(32.585+0.6*2.75)*10.764</f>
        <v>368.50554</v>
      </c>
      <c r="E154" s="67">
        <v>0</v>
      </c>
      <c r="F154" s="67">
        <v>642</v>
      </c>
      <c r="G154" s="73" t="str">
        <f>G153</f>
        <v>8th Floor (Part Refuge Area)</v>
      </c>
      <c r="H154" s="73"/>
      <c r="I154" s="35"/>
      <c r="J154" s="62">
        <f t="shared" si="31"/>
        <v>1.7421719087316843</v>
      </c>
      <c r="N154" s="35"/>
    </row>
    <row r="155" spans="1:14" s="68" customFormat="1" x14ac:dyDescent="0.25">
      <c r="A155" s="73">
        <f>A154+1</f>
        <v>814</v>
      </c>
      <c r="B155" s="73"/>
      <c r="C155" s="67" t="s">
        <v>207</v>
      </c>
      <c r="D155" s="67">
        <f t="shared" si="35"/>
        <v>368.50554</v>
      </c>
      <c r="E155" s="67">
        <v>0</v>
      </c>
      <c r="F155" s="67">
        <v>642</v>
      </c>
      <c r="G155" s="73" t="str">
        <f>G154</f>
        <v>8th Floor (Part Refuge Area)</v>
      </c>
      <c r="H155" s="73"/>
      <c r="I155" s="35"/>
      <c r="J155" s="62">
        <f t="shared" si="31"/>
        <v>1.7421719087316843</v>
      </c>
      <c r="N155" s="35"/>
    </row>
    <row r="156" spans="1:14" s="68" customFormat="1" x14ac:dyDescent="0.25">
      <c r="A156" s="73">
        <f t="shared" ref="A156:A157" si="36">A155+1</f>
        <v>815</v>
      </c>
      <c r="B156" s="73"/>
      <c r="C156" s="67" t="s">
        <v>207</v>
      </c>
      <c r="D156" s="67">
        <f t="shared" si="35"/>
        <v>368.50554</v>
      </c>
      <c r="E156" s="67">
        <v>0</v>
      </c>
      <c r="F156" s="67">
        <v>642</v>
      </c>
      <c r="G156" s="73" t="str">
        <f>G155</f>
        <v>8th Floor (Part Refuge Area)</v>
      </c>
      <c r="H156" s="73"/>
      <c r="I156" s="35"/>
      <c r="J156" s="62">
        <f t="shared" si="31"/>
        <v>1.7421719087316843</v>
      </c>
      <c r="N156" s="35"/>
    </row>
    <row r="157" spans="1:14" s="68" customFormat="1" x14ac:dyDescent="0.25">
      <c r="A157" s="73">
        <f t="shared" si="36"/>
        <v>816</v>
      </c>
      <c r="B157" s="73"/>
      <c r="C157" s="77" t="s">
        <v>228</v>
      </c>
      <c r="D157" s="78"/>
      <c r="E157" s="78"/>
      <c r="F157" s="79"/>
      <c r="G157" s="73" t="str">
        <f>G150</f>
        <v>8th Floor (Part Refuge Area)</v>
      </c>
      <c r="H157" s="73"/>
      <c r="I157" s="35"/>
      <c r="J157" s="62" t="e">
        <f t="shared" si="31"/>
        <v>#DIV/0!</v>
      </c>
      <c r="N157" s="35"/>
    </row>
    <row r="158" spans="1:14" s="68" customFormat="1" x14ac:dyDescent="0.25">
      <c r="A158" s="80" t="s">
        <v>229</v>
      </c>
      <c r="B158" s="80"/>
      <c r="C158" s="80"/>
      <c r="D158" s="80"/>
      <c r="E158" s="80"/>
      <c r="F158" s="80"/>
      <c r="G158" s="80"/>
      <c r="H158" s="80"/>
      <c r="I158" s="35"/>
      <c r="L158" s="81"/>
      <c r="M158" s="81"/>
    </row>
    <row r="159" spans="1:14" s="68" customFormat="1" x14ac:dyDescent="0.25">
      <c r="A159" s="73">
        <f>LEFT(A158,SUM(LEN(A158)-LEN(SUBSTITUTE(A158,{"0","1","2","3","4","5","6","7","8","9"},""))))*100+1</f>
        <v>901</v>
      </c>
      <c r="B159" s="73"/>
      <c r="C159" s="67" t="s">
        <v>207</v>
      </c>
      <c r="D159" s="67">
        <f>(32.585+0.6*2.75)*10.764</f>
        <v>368.50554</v>
      </c>
      <c r="E159" s="67">
        <v>0</v>
      </c>
      <c r="F159" s="67">
        <v>642</v>
      </c>
      <c r="G159" s="73" t="str">
        <f>A158</f>
        <v>9th Floor</v>
      </c>
      <c r="H159" s="73"/>
      <c r="I159" s="50"/>
      <c r="J159" s="62">
        <f t="shared" ref="J159:J174" si="37">F159/D159</f>
        <v>1.7421719087316843</v>
      </c>
      <c r="N159" s="35"/>
    </row>
    <row r="160" spans="1:14" s="68" customFormat="1" x14ac:dyDescent="0.25">
      <c r="A160" s="73">
        <f t="shared" ref="A160:A170" si="38">A159+1</f>
        <v>902</v>
      </c>
      <c r="B160" s="73"/>
      <c r="C160" s="67" t="s">
        <v>207</v>
      </c>
      <c r="D160" s="67">
        <f t="shared" ref="D160:D168" si="39">(32.585+0.6*2.75)*10.764</f>
        <v>368.50554</v>
      </c>
      <c r="E160" s="67">
        <v>0</v>
      </c>
      <c r="F160" s="67">
        <v>642</v>
      </c>
      <c r="G160" s="73" t="str">
        <f t="shared" ref="G160:G169" si="40">G159</f>
        <v>9th Floor</v>
      </c>
      <c r="H160" s="73"/>
      <c r="I160" s="35"/>
      <c r="J160" s="62">
        <f t="shared" si="37"/>
        <v>1.7421719087316843</v>
      </c>
      <c r="N160" s="35"/>
    </row>
    <row r="161" spans="1:14" s="68" customFormat="1" x14ac:dyDescent="0.25">
      <c r="A161" s="73">
        <f t="shared" si="38"/>
        <v>903</v>
      </c>
      <c r="B161" s="73"/>
      <c r="C161" s="67" t="s">
        <v>208</v>
      </c>
      <c r="D161" s="67">
        <f>(47.305+(0.6*(2.75)))*10.764</f>
        <v>526.95161999999993</v>
      </c>
      <c r="E161" s="67">
        <v>0</v>
      </c>
      <c r="F161" s="67">
        <v>915</v>
      </c>
      <c r="G161" s="73" t="str">
        <f t="shared" si="40"/>
        <v>9th Floor</v>
      </c>
      <c r="H161" s="73"/>
      <c r="I161" s="35"/>
      <c r="J161" s="62">
        <f t="shared" si="37"/>
        <v>1.7364022905935845</v>
      </c>
      <c r="N161" s="35"/>
    </row>
    <row r="162" spans="1:14" s="68" customFormat="1" x14ac:dyDescent="0.25">
      <c r="A162" s="73">
        <f t="shared" si="38"/>
        <v>904</v>
      </c>
      <c r="B162" s="73"/>
      <c r="C162" s="67" t="s">
        <v>208</v>
      </c>
      <c r="D162" s="67">
        <f>(47.305+(0.6*(2.75)))*10.764</f>
        <v>526.95161999999993</v>
      </c>
      <c r="E162" s="67">
        <v>0</v>
      </c>
      <c r="F162" s="67">
        <v>915</v>
      </c>
      <c r="G162" s="73" t="str">
        <f t="shared" si="40"/>
        <v>9th Floor</v>
      </c>
      <c r="H162" s="73"/>
      <c r="I162" s="35"/>
      <c r="J162" s="62">
        <f t="shared" si="37"/>
        <v>1.7364022905935845</v>
      </c>
      <c r="N162" s="35"/>
    </row>
    <row r="163" spans="1:14" s="68" customFormat="1" x14ac:dyDescent="0.25">
      <c r="A163" s="73">
        <f t="shared" si="38"/>
        <v>905</v>
      </c>
      <c r="B163" s="73"/>
      <c r="C163" s="67" t="s">
        <v>207</v>
      </c>
      <c r="D163" s="67">
        <f t="shared" si="39"/>
        <v>368.50554</v>
      </c>
      <c r="E163" s="67">
        <v>0</v>
      </c>
      <c r="F163" s="67">
        <v>642</v>
      </c>
      <c r="G163" s="73" t="str">
        <f t="shared" si="40"/>
        <v>9th Floor</v>
      </c>
      <c r="H163" s="73"/>
      <c r="I163" s="35"/>
      <c r="J163" s="62">
        <f t="shared" si="37"/>
        <v>1.7421719087316843</v>
      </c>
      <c r="N163" s="35"/>
    </row>
    <row r="164" spans="1:14" s="68" customFormat="1" x14ac:dyDescent="0.25">
      <c r="A164" s="73">
        <f t="shared" si="38"/>
        <v>906</v>
      </c>
      <c r="B164" s="73"/>
      <c r="C164" s="67" t="s">
        <v>207</v>
      </c>
      <c r="D164" s="67">
        <f t="shared" si="39"/>
        <v>368.50554</v>
      </c>
      <c r="E164" s="67">
        <v>0</v>
      </c>
      <c r="F164" s="67">
        <v>642</v>
      </c>
      <c r="G164" s="73" t="str">
        <f t="shared" si="40"/>
        <v>9th Floor</v>
      </c>
      <c r="H164" s="73"/>
      <c r="I164" s="35"/>
      <c r="J164" s="62">
        <f t="shared" si="37"/>
        <v>1.7421719087316843</v>
      </c>
      <c r="N164" s="35"/>
    </row>
    <row r="165" spans="1:14" s="68" customFormat="1" x14ac:dyDescent="0.25">
      <c r="A165" s="73">
        <f t="shared" si="38"/>
        <v>907</v>
      </c>
      <c r="B165" s="73"/>
      <c r="C165" s="67" t="s">
        <v>207</v>
      </c>
      <c r="D165" s="67">
        <f t="shared" si="39"/>
        <v>368.50554</v>
      </c>
      <c r="E165" s="67">
        <v>0</v>
      </c>
      <c r="F165" s="67">
        <v>642</v>
      </c>
      <c r="G165" s="73" t="str">
        <f t="shared" si="40"/>
        <v>9th Floor</v>
      </c>
      <c r="H165" s="73"/>
      <c r="I165" s="35"/>
      <c r="J165" s="62">
        <f t="shared" si="37"/>
        <v>1.7421719087316843</v>
      </c>
      <c r="N165" s="35"/>
    </row>
    <row r="166" spans="1:14" s="68" customFormat="1" x14ac:dyDescent="0.25">
      <c r="A166" s="73">
        <f t="shared" si="38"/>
        <v>908</v>
      </c>
      <c r="B166" s="73"/>
      <c r="C166" s="67" t="s">
        <v>207</v>
      </c>
      <c r="D166" s="67">
        <f t="shared" si="39"/>
        <v>368.50554</v>
      </c>
      <c r="E166" s="67">
        <v>0</v>
      </c>
      <c r="F166" s="67">
        <v>642</v>
      </c>
      <c r="G166" s="73" t="str">
        <f t="shared" si="40"/>
        <v>9th Floor</v>
      </c>
      <c r="H166" s="73"/>
      <c r="I166" s="35"/>
      <c r="J166" s="62">
        <f t="shared" si="37"/>
        <v>1.7421719087316843</v>
      </c>
      <c r="N166" s="35"/>
    </row>
    <row r="167" spans="1:14" s="68" customFormat="1" x14ac:dyDescent="0.25">
      <c r="A167" s="73">
        <f t="shared" si="38"/>
        <v>909</v>
      </c>
      <c r="B167" s="73"/>
      <c r="C167" s="67" t="s">
        <v>207</v>
      </c>
      <c r="D167" s="67">
        <f t="shared" si="39"/>
        <v>368.50554</v>
      </c>
      <c r="E167" s="67">
        <v>0</v>
      </c>
      <c r="F167" s="67">
        <v>642</v>
      </c>
      <c r="G167" s="73" t="str">
        <f t="shared" si="40"/>
        <v>9th Floor</v>
      </c>
      <c r="H167" s="73"/>
      <c r="I167" s="35"/>
      <c r="J167" s="62">
        <f t="shared" si="37"/>
        <v>1.7421719087316843</v>
      </c>
      <c r="N167" s="35"/>
    </row>
    <row r="168" spans="1:14" s="68" customFormat="1" x14ac:dyDescent="0.25">
      <c r="A168" s="73">
        <f t="shared" si="38"/>
        <v>910</v>
      </c>
      <c r="B168" s="73"/>
      <c r="C168" s="67" t="s">
        <v>207</v>
      </c>
      <c r="D168" s="67">
        <f t="shared" si="39"/>
        <v>368.50554</v>
      </c>
      <c r="E168" s="67">
        <v>0</v>
      </c>
      <c r="F168" s="67">
        <v>642</v>
      </c>
      <c r="G168" s="73" t="str">
        <f t="shared" si="40"/>
        <v>9th Floor</v>
      </c>
      <c r="H168" s="73"/>
      <c r="I168" s="35">
        <f>3030000/F168</f>
        <v>4719.6261682242994</v>
      </c>
      <c r="J168" s="62">
        <f t="shared" si="37"/>
        <v>1.7421719087316843</v>
      </c>
      <c r="N168" s="35"/>
    </row>
    <row r="169" spans="1:14" s="68" customFormat="1" x14ac:dyDescent="0.25">
      <c r="A169" s="73">
        <f t="shared" si="38"/>
        <v>911</v>
      </c>
      <c r="B169" s="73"/>
      <c r="C169" s="67" t="s">
        <v>208</v>
      </c>
      <c r="D169" s="67">
        <f>(47.305+(0.6*(2.75)))*10.764</f>
        <v>526.95161999999993</v>
      </c>
      <c r="E169" s="67">
        <v>0</v>
      </c>
      <c r="F169" s="67">
        <v>915</v>
      </c>
      <c r="G169" s="73" t="str">
        <f t="shared" si="40"/>
        <v>9th Floor</v>
      </c>
      <c r="H169" s="73"/>
      <c r="I169" s="35">
        <f>4230000/F169</f>
        <v>4622.9508196721308</v>
      </c>
      <c r="J169" s="62">
        <f t="shared" si="37"/>
        <v>1.7364022905935845</v>
      </c>
      <c r="N169" s="35"/>
    </row>
    <row r="170" spans="1:14" s="68" customFormat="1" x14ac:dyDescent="0.25">
      <c r="A170" s="73">
        <f t="shared" si="38"/>
        <v>912</v>
      </c>
      <c r="B170" s="73"/>
      <c r="C170" s="67" t="s">
        <v>208</v>
      </c>
      <c r="D170" s="67">
        <f>(47.305+(0.6*(2.75)))*10.764</f>
        <v>526.95161999999993</v>
      </c>
      <c r="E170" s="67">
        <v>0</v>
      </c>
      <c r="F170" s="67">
        <v>915</v>
      </c>
      <c r="G170" s="73" t="str">
        <f>G163</f>
        <v>9th Floor</v>
      </c>
      <c r="H170" s="73"/>
      <c r="I170" s="35"/>
      <c r="J170" s="62">
        <f t="shared" si="37"/>
        <v>1.7364022905935845</v>
      </c>
      <c r="N170" s="35"/>
    </row>
    <row r="171" spans="1:14" s="68" customFormat="1" x14ac:dyDescent="0.25">
      <c r="A171" s="73">
        <f>A170+1</f>
        <v>913</v>
      </c>
      <c r="B171" s="73"/>
      <c r="C171" s="67" t="s">
        <v>207</v>
      </c>
      <c r="D171" s="67">
        <f t="shared" ref="D171:D174" si="41">(32.585+0.6*2.75)*10.764</f>
        <v>368.50554</v>
      </c>
      <c r="E171" s="67">
        <v>0</v>
      </c>
      <c r="F171" s="67">
        <v>642</v>
      </c>
      <c r="G171" s="73" t="str">
        <f>G170</f>
        <v>9th Floor</v>
      </c>
      <c r="H171" s="73"/>
      <c r="I171" s="35"/>
      <c r="J171" s="62">
        <f t="shared" si="37"/>
        <v>1.7421719087316843</v>
      </c>
      <c r="N171" s="35"/>
    </row>
    <row r="172" spans="1:14" s="68" customFormat="1" x14ac:dyDescent="0.25">
      <c r="A172" s="73">
        <f>A171+1</f>
        <v>914</v>
      </c>
      <c r="B172" s="73"/>
      <c r="C172" s="67" t="s">
        <v>207</v>
      </c>
      <c r="D172" s="67">
        <f t="shared" si="41"/>
        <v>368.50554</v>
      </c>
      <c r="E172" s="67">
        <v>0</v>
      </c>
      <c r="F172" s="67">
        <v>642</v>
      </c>
      <c r="G172" s="73" t="str">
        <f>G171</f>
        <v>9th Floor</v>
      </c>
      <c r="H172" s="73"/>
      <c r="I172" s="35"/>
      <c r="J172" s="62">
        <f t="shared" si="37"/>
        <v>1.7421719087316843</v>
      </c>
      <c r="N172" s="35"/>
    </row>
    <row r="173" spans="1:14" s="68" customFormat="1" x14ac:dyDescent="0.25">
      <c r="A173" s="73">
        <f t="shared" ref="A173:A174" si="42">A172+1</f>
        <v>915</v>
      </c>
      <c r="B173" s="73"/>
      <c r="C173" s="67" t="s">
        <v>207</v>
      </c>
      <c r="D173" s="67">
        <f t="shared" si="41"/>
        <v>368.50554</v>
      </c>
      <c r="E173" s="67">
        <v>0</v>
      </c>
      <c r="F173" s="67">
        <v>642</v>
      </c>
      <c r="G173" s="73" t="str">
        <f>G172</f>
        <v>9th Floor</v>
      </c>
      <c r="H173" s="73"/>
      <c r="I173" s="35"/>
      <c r="J173" s="62">
        <f t="shared" si="37"/>
        <v>1.7421719087316843</v>
      </c>
      <c r="N173" s="35"/>
    </row>
    <row r="174" spans="1:14" s="68" customFormat="1" x14ac:dyDescent="0.25">
      <c r="A174" s="73">
        <f t="shared" si="42"/>
        <v>916</v>
      </c>
      <c r="B174" s="73"/>
      <c r="C174" s="67" t="s">
        <v>207</v>
      </c>
      <c r="D174" s="67">
        <f t="shared" si="41"/>
        <v>368.50554</v>
      </c>
      <c r="E174" s="67">
        <v>0</v>
      </c>
      <c r="F174" s="67">
        <v>642</v>
      </c>
      <c r="G174" s="73" t="str">
        <f>G167</f>
        <v>9th Floor</v>
      </c>
      <c r="H174" s="73"/>
      <c r="I174" s="35"/>
      <c r="J174" s="62">
        <f t="shared" si="37"/>
        <v>1.7421719087316843</v>
      </c>
      <c r="N174" s="35"/>
    </row>
    <row r="175" spans="1:14" s="1" customFormat="1" x14ac:dyDescent="0.25">
      <c r="A175" s="151" t="s">
        <v>76</v>
      </c>
      <c r="B175" s="151"/>
      <c r="C175" s="151"/>
      <c r="D175" s="151"/>
      <c r="E175" s="151"/>
      <c r="F175" s="151"/>
      <c r="G175" s="151"/>
      <c r="H175" s="151"/>
    </row>
    <row r="176" spans="1:14" s="1" customFormat="1" x14ac:dyDescent="0.25">
      <c r="A176" s="40">
        <v>1</v>
      </c>
      <c r="B176" s="70" t="s">
        <v>239</v>
      </c>
      <c r="C176" s="71"/>
      <c r="D176" s="71"/>
      <c r="E176" s="71"/>
      <c r="F176" s="71"/>
      <c r="G176" s="71"/>
      <c r="H176" s="72"/>
    </row>
    <row r="177" spans="1:8" s="1" customFormat="1" x14ac:dyDescent="0.25">
      <c r="A177" s="40">
        <f t="shared" ref="A177:A183" si="43">A176+1</f>
        <v>2</v>
      </c>
      <c r="B177" s="70" t="s">
        <v>216</v>
      </c>
      <c r="C177" s="71"/>
      <c r="D177" s="71"/>
      <c r="E177" s="71"/>
      <c r="F177" s="71"/>
      <c r="G177" s="71"/>
      <c r="H177" s="72"/>
    </row>
    <row r="178" spans="1:8" s="1" customFormat="1" x14ac:dyDescent="0.25">
      <c r="A178" s="40">
        <f t="shared" si="43"/>
        <v>3</v>
      </c>
      <c r="B178" s="74" t="s">
        <v>165</v>
      </c>
      <c r="C178" s="75"/>
      <c r="D178" s="75"/>
      <c r="E178" s="75"/>
      <c r="F178" s="75"/>
      <c r="G178" s="75"/>
      <c r="H178" s="76"/>
    </row>
    <row r="179" spans="1:8" s="1" customFormat="1" x14ac:dyDescent="0.25">
      <c r="A179" s="40">
        <f t="shared" si="43"/>
        <v>4</v>
      </c>
      <c r="B179" s="74" t="s">
        <v>226</v>
      </c>
      <c r="C179" s="75"/>
      <c r="D179" s="75"/>
      <c r="E179" s="75"/>
      <c r="F179" s="75"/>
      <c r="G179" s="75"/>
      <c r="H179" s="76"/>
    </row>
    <row r="180" spans="1:8" s="1" customFormat="1" x14ac:dyDescent="0.25">
      <c r="A180" s="40">
        <f t="shared" si="43"/>
        <v>5</v>
      </c>
      <c r="B180" s="74" t="s">
        <v>166</v>
      </c>
      <c r="C180" s="75"/>
      <c r="D180" s="75"/>
      <c r="E180" s="75"/>
      <c r="F180" s="75"/>
      <c r="G180" s="75"/>
      <c r="H180" s="76"/>
    </row>
    <row r="181" spans="1:8" s="1" customFormat="1" x14ac:dyDescent="0.25">
      <c r="A181" s="40">
        <f t="shared" si="43"/>
        <v>6</v>
      </c>
      <c r="B181" s="74" t="s">
        <v>167</v>
      </c>
      <c r="C181" s="75"/>
      <c r="D181" s="75"/>
      <c r="E181" s="75"/>
      <c r="F181" s="75"/>
      <c r="G181" s="75"/>
      <c r="H181" s="76"/>
    </row>
    <row r="182" spans="1:8" s="1" customFormat="1" x14ac:dyDescent="0.25">
      <c r="A182" s="40">
        <f t="shared" si="43"/>
        <v>7</v>
      </c>
      <c r="B182" s="70" t="s">
        <v>237</v>
      </c>
      <c r="C182" s="71"/>
      <c r="D182" s="71"/>
      <c r="E182" s="71"/>
      <c r="F182" s="71"/>
      <c r="G182" s="71"/>
      <c r="H182" s="72"/>
    </row>
    <row r="183" spans="1:8" s="1" customFormat="1" x14ac:dyDescent="0.25">
      <c r="A183" s="69">
        <f t="shared" si="43"/>
        <v>8</v>
      </c>
      <c r="B183" s="70" t="s">
        <v>232</v>
      </c>
      <c r="C183" s="71"/>
      <c r="D183" s="71"/>
      <c r="E183" s="71"/>
      <c r="F183" s="71"/>
      <c r="G183" s="71"/>
      <c r="H183" s="72"/>
    </row>
    <row r="184" spans="1:8" x14ac:dyDescent="0.25">
      <c r="A184" s="152" t="s">
        <v>69</v>
      </c>
      <c r="B184" s="152"/>
      <c r="C184" s="152"/>
      <c r="D184" s="152"/>
      <c r="E184" s="152"/>
      <c r="F184" s="152"/>
      <c r="G184" s="152"/>
      <c r="H184" s="152"/>
    </row>
    <row r="185" spans="1:8" x14ac:dyDescent="0.25">
      <c r="A185" s="83" t="s">
        <v>70</v>
      </c>
      <c r="B185" s="83"/>
      <c r="C185" s="83"/>
      <c r="D185" s="83"/>
      <c r="E185" s="83"/>
      <c r="F185" s="83"/>
      <c r="G185" s="83"/>
      <c r="H185" s="83"/>
    </row>
    <row r="186" spans="1:8" ht="15.75" customHeight="1" x14ac:dyDescent="0.25">
      <c r="A186" s="166" t="s">
        <v>71</v>
      </c>
      <c r="B186" s="166"/>
      <c r="C186" s="166"/>
      <c r="D186" s="166"/>
      <c r="E186" s="166"/>
      <c r="F186" s="166"/>
      <c r="G186" s="166"/>
      <c r="H186" s="166"/>
    </row>
    <row r="187" spans="1:8" x14ac:dyDescent="0.25">
      <c r="A187" s="83" t="s">
        <v>72</v>
      </c>
      <c r="B187" s="83"/>
      <c r="C187" s="83"/>
      <c r="D187" s="83"/>
      <c r="E187" s="83"/>
      <c r="F187" s="83"/>
      <c r="G187" s="83"/>
      <c r="H187" s="83"/>
    </row>
    <row r="188" spans="1:8" x14ac:dyDescent="0.25">
      <c r="A188" s="83" t="s">
        <v>73</v>
      </c>
      <c r="B188" s="83"/>
      <c r="C188" s="83"/>
      <c r="D188" s="83"/>
      <c r="E188" s="83"/>
      <c r="F188" s="83"/>
      <c r="G188" s="83"/>
      <c r="H188" s="83"/>
    </row>
    <row r="189" spans="1:8" x14ac:dyDescent="0.25">
      <c r="A189" s="83" t="s">
        <v>168</v>
      </c>
      <c r="B189" s="83"/>
      <c r="C189" s="83"/>
      <c r="D189" s="83"/>
      <c r="E189" s="83"/>
      <c r="F189" s="83"/>
      <c r="G189" s="83"/>
      <c r="H189" s="83"/>
    </row>
    <row r="190" spans="1:8" ht="35.25" customHeight="1" x14ac:dyDescent="0.25">
      <c r="A190" s="111" t="s">
        <v>169</v>
      </c>
      <c r="B190" s="111"/>
      <c r="C190" s="111"/>
      <c r="D190" s="111"/>
      <c r="E190" s="111"/>
      <c r="F190" s="111"/>
      <c r="G190" s="111"/>
      <c r="H190" s="111"/>
    </row>
    <row r="191" spans="1:8" x14ac:dyDescent="0.25">
      <c r="A191" s="147" t="s">
        <v>109</v>
      </c>
      <c r="B191" s="147"/>
      <c r="C191" s="147" t="s">
        <v>204</v>
      </c>
      <c r="D191" s="147"/>
      <c r="E191" s="147" t="s">
        <v>145</v>
      </c>
      <c r="F191" s="147"/>
      <c r="G191" s="147" t="s">
        <v>238</v>
      </c>
      <c r="H191" s="147"/>
    </row>
    <row r="192" spans="1:8" x14ac:dyDescent="0.25">
      <c r="A192" s="146" t="s">
        <v>111</v>
      </c>
      <c r="B192" s="146"/>
      <c r="C192" s="146"/>
      <c r="D192" s="146"/>
      <c r="E192" s="146"/>
      <c r="F192" s="146"/>
      <c r="G192" s="146"/>
      <c r="H192" s="146"/>
    </row>
    <row r="193" spans="1:8" x14ac:dyDescent="0.25">
      <c r="A193" s="146"/>
      <c r="B193" s="146"/>
      <c r="C193" s="146"/>
      <c r="D193" s="146"/>
      <c r="E193" s="146"/>
      <c r="F193" s="146"/>
      <c r="G193" s="146"/>
      <c r="H193" s="146"/>
    </row>
    <row r="194" spans="1:8" x14ac:dyDescent="0.25">
      <c r="A194" s="146"/>
      <c r="B194" s="146"/>
      <c r="C194" s="146"/>
      <c r="D194" s="146"/>
      <c r="E194" s="146"/>
      <c r="F194" s="146"/>
      <c r="G194" s="146"/>
      <c r="H194" s="146"/>
    </row>
    <row r="195" spans="1:8" x14ac:dyDescent="0.25">
      <c r="A195" s="146"/>
      <c r="B195" s="146"/>
      <c r="C195" s="146"/>
      <c r="D195" s="146"/>
      <c r="E195" s="146"/>
      <c r="F195" s="146"/>
      <c r="G195" s="146"/>
      <c r="H195" s="146"/>
    </row>
    <row r="196" spans="1:8" x14ac:dyDescent="0.25">
      <c r="A196" s="14" t="s">
        <v>74</v>
      </c>
      <c r="B196" s="15"/>
      <c r="C196" s="15"/>
      <c r="D196" s="14" t="str">
        <f>E8</f>
        <v>Arihant Anant</v>
      </c>
      <c r="F196" s="15"/>
      <c r="G196" s="15"/>
      <c r="H196" s="15"/>
    </row>
    <row r="197" spans="1:8" x14ac:dyDescent="0.25">
      <c r="A197" s="15"/>
      <c r="B197" s="15"/>
      <c r="C197" s="15"/>
      <c r="D197" s="15"/>
      <c r="E197" s="15"/>
      <c r="F197" s="15"/>
      <c r="G197" s="15"/>
      <c r="H197" s="15"/>
    </row>
    <row r="198" spans="1:8" x14ac:dyDescent="0.25">
      <c r="A198" s="15"/>
      <c r="B198" s="15"/>
      <c r="C198" s="15"/>
      <c r="D198" s="15"/>
      <c r="E198" s="15"/>
      <c r="F198" s="15"/>
      <c r="G198" s="15"/>
      <c r="H198" s="15"/>
    </row>
    <row r="199" spans="1:8" ht="15" customHeight="1" x14ac:dyDescent="0.25"/>
    <row r="237" spans="1:1" x14ac:dyDescent="0.25">
      <c r="A237" s="17" t="s">
        <v>75</v>
      </c>
    </row>
  </sheetData>
  <mergeCells count="371">
    <mergeCell ref="G118:H118"/>
    <mergeCell ref="A131:B131"/>
    <mergeCell ref="G131:H131"/>
    <mergeCell ref="A132:B132"/>
    <mergeCell ref="G132:H132"/>
    <mergeCell ref="A120:B120"/>
    <mergeCell ref="G120:H120"/>
    <mergeCell ref="A138:B138"/>
    <mergeCell ref="G138:H138"/>
    <mergeCell ref="A121:B121"/>
    <mergeCell ref="G121:H121"/>
    <mergeCell ref="A122:B122"/>
    <mergeCell ref="G122:H122"/>
    <mergeCell ref="A123:B123"/>
    <mergeCell ref="G123:H123"/>
    <mergeCell ref="A118:B118"/>
    <mergeCell ref="A139:B139"/>
    <mergeCell ref="G139:H139"/>
    <mergeCell ref="A140:B140"/>
    <mergeCell ref="G140:H140"/>
    <mergeCell ref="A133:B133"/>
    <mergeCell ref="G133:H133"/>
    <mergeCell ref="A134:B134"/>
    <mergeCell ref="G134:H134"/>
    <mergeCell ref="A135:B135"/>
    <mergeCell ref="G135:H135"/>
    <mergeCell ref="A136:B136"/>
    <mergeCell ref="G136:H136"/>
    <mergeCell ref="A137:B137"/>
    <mergeCell ref="G137:H137"/>
    <mergeCell ref="E39:H39"/>
    <mergeCell ref="A39:D39"/>
    <mergeCell ref="A189:H189"/>
    <mergeCell ref="A119:B119"/>
    <mergeCell ref="A186:H186"/>
    <mergeCell ref="G128:H128"/>
    <mergeCell ref="A108:B108"/>
    <mergeCell ref="A94:B94"/>
    <mergeCell ref="G106:H106"/>
    <mergeCell ref="A68:B68"/>
    <mergeCell ref="F77:H77"/>
    <mergeCell ref="A74:H74"/>
    <mergeCell ref="A75:B75"/>
    <mergeCell ref="A76:H76"/>
    <mergeCell ref="G92:H92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184:H184"/>
    <mergeCell ref="A185:H185"/>
    <mergeCell ref="E94:F94"/>
    <mergeCell ref="E91:F91"/>
    <mergeCell ref="A73:E73"/>
    <mergeCell ref="F73:H73"/>
    <mergeCell ref="A96:H96"/>
    <mergeCell ref="G110:H110"/>
    <mergeCell ref="A91:B91"/>
    <mergeCell ref="F84:H84"/>
    <mergeCell ref="C91:D91"/>
    <mergeCell ref="F80:H80"/>
    <mergeCell ref="G126:H126"/>
    <mergeCell ref="F87:H87"/>
    <mergeCell ref="F85:H85"/>
    <mergeCell ref="A97:H97"/>
    <mergeCell ref="G91:H91"/>
    <mergeCell ref="A86:E86"/>
    <mergeCell ref="C92:D92"/>
    <mergeCell ref="E92:F92"/>
    <mergeCell ref="G109:H109"/>
    <mergeCell ref="C75:H75"/>
    <mergeCell ref="F81:H81"/>
    <mergeCell ref="B176:H176"/>
    <mergeCell ref="A192:H195"/>
    <mergeCell ref="A191:B191"/>
    <mergeCell ref="E191:F191"/>
    <mergeCell ref="C191:D191"/>
    <mergeCell ref="G191:H191"/>
    <mergeCell ref="A90:H90"/>
    <mergeCell ref="A88:E88"/>
    <mergeCell ref="F88:H88"/>
    <mergeCell ref="A89:E89"/>
    <mergeCell ref="F89:H89"/>
    <mergeCell ref="A107:H107"/>
    <mergeCell ref="A95:B95"/>
    <mergeCell ref="A92:B92"/>
    <mergeCell ref="A187:H187"/>
    <mergeCell ref="A93:H93"/>
    <mergeCell ref="A190:H190"/>
    <mergeCell ref="A188:H188"/>
    <mergeCell ref="A175:H175"/>
    <mergeCell ref="G127:H127"/>
    <mergeCell ref="A124:H124"/>
    <mergeCell ref="G103:H103"/>
    <mergeCell ref="G104:H104"/>
    <mergeCell ref="B181:H181"/>
    <mergeCell ref="B182:H182"/>
    <mergeCell ref="A63:B63"/>
    <mergeCell ref="G62:H62"/>
    <mergeCell ref="A61:B61"/>
    <mergeCell ref="A59:B59"/>
    <mergeCell ref="C59:H59"/>
    <mergeCell ref="A67:B67"/>
    <mergeCell ref="A57:C57"/>
    <mergeCell ref="D57:H57"/>
    <mergeCell ref="C61:H61"/>
    <mergeCell ref="A64:B64"/>
    <mergeCell ref="A66:B66"/>
    <mergeCell ref="E62:F62"/>
    <mergeCell ref="D55:H55"/>
    <mergeCell ref="E63:F72"/>
    <mergeCell ref="G63:H72"/>
    <mergeCell ref="A71:B71"/>
    <mergeCell ref="A72:B72"/>
    <mergeCell ref="D56:H5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69:B69"/>
    <mergeCell ref="A62:B62"/>
    <mergeCell ref="A65:B65"/>
    <mergeCell ref="A58:C58"/>
    <mergeCell ref="D58:H5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A55:C55"/>
    <mergeCell ref="A56:C56"/>
    <mergeCell ref="A70:B70"/>
    <mergeCell ref="C95:D95"/>
    <mergeCell ref="E95:F95"/>
    <mergeCell ref="G95:H95"/>
    <mergeCell ref="F83:H83"/>
    <mergeCell ref="A77:E77"/>
    <mergeCell ref="A99:H99"/>
    <mergeCell ref="G98:H98"/>
    <mergeCell ref="A80:E80"/>
    <mergeCell ref="A82:E82"/>
    <mergeCell ref="F82:H82"/>
    <mergeCell ref="A83:E83"/>
    <mergeCell ref="A85:E85"/>
    <mergeCell ref="F79:H79"/>
    <mergeCell ref="A84:E84"/>
    <mergeCell ref="F78:H78"/>
    <mergeCell ref="A78:E78"/>
    <mergeCell ref="A87:E87"/>
    <mergeCell ref="A79:E79"/>
    <mergeCell ref="C94:D94"/>
    <mergeCell ref="G94:H94"/>
    <mergeCell ref="A81:E81"/>
    <mergeCell ref="L104:M104"/>
    <mergeCell ref="L103:M103"/>
    <mergeCell ref="L102:M102"/>
    <mergeCell ref="L101:M101"/>
    <mergeCell ref="L100:M100"/>
    <mergeCell ref="L107:M107"/>
    <mergeCell ref="A105:H105"/>
    <mergeCell ref="A130:B130"/>
    <mergeCell ref="G130:H130"/>
    <mergeCell ref="A112:B112"/>
    <mergeCell ref="A109:B109"/>
    <mergeCell ref="A110:B110"/>
    <mergeCell ref="A125:B125"/>
    <mergeCell ref="A126:B126"/>
    <mergeCell ref="A127:B127"/>
    <mergeCell ref="A111:B111"/>
    <mergeCell ref="G112:H112"/>
    <mergeCell ref="G129:H129"/>
    <mergeCell ref="G125:H125"/>
    <mergeCell ref="A128:B128"/>
    <mergeCell ref="A129:B129"/>
    <mergeCell ref="G119:H119"/>
    <mergeCell ref="A100:B100"/>
    <mergeCell ref="A114:B114"/>
    <mergeCell ref="G114:H114"/>
    <mergeCell ref="A115:B115"/>
    <mergeCell ref="G115:H115"/>
    <mergeCell ref="G102:H102"/>
    <mergeCell ref="G100:H100"/>
    <mergeCell ref="G101:H101"/>
    <mergeCell ref="G116:H116"/>
    <mergeCell ref="A117:B117"/>
    <mergeCell ref="G117:H117"/>
    <mergeCell ref="A116:B116"/>
    <mergeCell ref="F86:H86"/>
    <mergeCell ref="G111:H111"/>
    <mergeCell ref="G108:H108"/>
    <mergeCell ref="A101:B101"/>
    <mergeCell ref="A102:B102"/>
    <mergeCell ref="A103:B103"/>
    <mergeCell ref="A104:B104"/>
    <mergeCell ref="A113:B113"/>
    <mergeCell ref="G113:H113"/>
    <mergeCell ref="A141:H141"/>
    <mergeCell ref="L141:M141"/>
    <mergeCell ref="A142:B142"/>
    <mergeCell ref="G142:H142"/>
    <mergeCell ref="A143:B143"/>
    <mergeCell ref="G143:H143"/>
    <mergeCell ref="A144:B144"/>
    <mergeCell ref="G144:H144"/>
    <mergeCell ref="A145:B145"/>
    <mergeCell ref="G145:H145"/>
    <mergeCell ref="A146:B146"/>
    <mergeCell ref="G146:H146"/>
    <mergeCell ref="A147:B147"/>
    <mergeCell ref="G147:H147"/>
    <mergeCell ref="A148:B148"/>
    <mergeCell ref="G148:H148"/>
    <mergeCell ref="A149:B149"/>
    <mergeCell ref="G149:H149"/>
    <mergeCell ref="A150:B150"/>
    <mergeCell ref="G150:H150"/>
    <mergeCell ref="A151:B151"/>
    <mergeCell ref="G151:H151"/>
    <mergeCell ref="A152:B152"/>
    <mergeCell ref="G152:H152"/>
    <mergeCell ref="A153:B153"/>
    <mergeCell ref="G153:H153"/>
    <mergeCell ref="A154:B154"/>
    <mergeCell ref="G154:H154"/>
    <mergeCell ref="A155:B155"/>
    <mergeCell ref="G155:H155"/>
    <mergeCell ref="A156:B156"/>
    <mergeCell ref="G156:H156"/>
    <mergeCell ref="A157:B157"/>
    <mergeCell ref="G157:H157"/>
    <mergeCell ref="C157:F157"/>
    <mergeCell ref="A158:H158"/>
    <mergeCell ref="L158:M158"/>
    <mergeCell ref="A159:B159"/>
    <mergeCell ref="G159:H159"/>
    <mergeCell ref="A160:B160"/>
    <mergeCell ref="G160:H160"/>
    <mergeCell ref="A161:B161"/>
    <mergeCell ref="G161:H161"/>
    <mergeCell ref="A162:B162"/>
    <mergeCell ref="G162:H162"/>
    <mergeCell ref="A163:B163"/>
    <mergeCell ref="G163:H163"/>
    <mergeCell ref="A164:B164"/>
    <mergeCell ref="G164:H164"/>
    <mergeCell ref="A165:B165"/>
    <mergeCell ref="G165:H165"/>
    <mergeCell ref="A166:B166"/>
    <mergeCell ref="G166:H166"/>
    <mergeCell ref="A167:B167"/>
    <mergeCell ref="G167:H167"/>
    <mergeCell ref="A168:B168"/>
    <mergeCell ref="G168:H168"/>
    <mergeCell ref="A169:B169"/>
    <mergeCell ref="G169:H169"/>
    <mergeCell ref="B183:H183"/>
    <mergeCell ref="A170:B170"/>
    <mergeCell ref="G170:H170"/>
    <mergeCell ref="A171:B171"/>
    <mergeCell ref="G171:H171"/>
    <mergeCell ref="A172:B172"/>
    <mergeCell ref="G172:H172"/>
    <mergeCell ref="A173:B173"/>
    <mergeCell ref="G173:H173"/>
    <mergeCell ref="A174:B174"/>
    <mergeCell ref="G174:H174"/>
    <mergeCell ref="B177:H177"/>
    <mergeCell ref="B178:H178"/>
    <mergeCell ref="B179:H179"/>
    <mergeCell ref="B180:H18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&amp;P</oddFooter>
  </headerFooter>
  <rowBreaks count="2" manualBreakCount="2">
    <brk id="195" max="16383" man="1"/>
    <brk id="23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70"/>
      <c r="D2" s="170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71" t="s">
        <v>80</v>
      </c>
      <c r="D4" s="171"/>
      <c r="E4" s="171"/>
      <c r="F4" s="6"/>
      <c r="G4" s="171" t="s">
        <v>81</v>
      </c>
      <c r="H4" s="171"/>
      <c r="I4" s="171"/>
      <c r="J4" s="171" t="s">
        <v>82</v>
      </c>
      <c r="K4" s="171"/>
      <c r="L4" s="171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115" zoomScaleNormal="115" workbookViewId="0">
      <selection activeCell="H7" sqref="H7"/>
    </sheetView>
  </sheetViews>
  <sheetFormatPr defaultColWidth="8.7109375" defaultRowHeight="15" x14ac:dyDescent="0.25"/>
  <cols>
    <col min="1" max="1" width="8.710937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7109375" style="23"/>
  </cols>
  <sheetData>
    <row r="1" spans="1:9" ht="15" customHeight="1" x14ac:dyDescent="0.25"/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172" t="s">
        <v>146</v>
      </c>
      <c r="C3" s="172"/>
      <c r="D3" s="172"/>
      <c r="E3" s="172"/>
      <c r="F3" s="172"/>
      <c r="G3" s="172"/>
      <c r="H3" s="172"/>
    </row>
    <row r="4" spans="1:9" x14ac:dyDescent="0.25">
      <c r="A4" s="24"/>
      <c r="B4" s="25" t="s">
        <v>147</v>
      </c>
      <c r="C4" s="25" t="s">
        <v>148</v>
      </c>
      <c r="D4" s="25" t="s">
        <v>78</v>
      </c>
      <c r="E4" s="25" t="s">
        <v>149</v>
      </c>
      <c r="F4" s="25" t="s">
        <v>155</v>
      </c>
      <c r="G4" s="25" t="s">
        <v>156</v>
      </c>
      <c r="H4" s="25" t="s">
        <v>150</v>
      </c>
    </row>
    <row r="5" spans="1:9" ht="15" customHeight="1" x14ac:dyDescent="0.25">
      <c r="A5" s="24"/>
      <c r="B5" s="27" t="s">
        <v>151</v>
      </c>
      <c r="C5" s="28"/>
      <c r="D5" s="27" t="s">
        <v>207</v>
      </c>
      <c r="E5" s="27">
        <v>369</v>
      </c>
      <c r="F5" s="29">
        <f>E5*1.6</f>
        <v>590.4</v>
      </c>
      <c r="G5" s="29">
        <v>7000</v>
      </c>
      <c r="H5" s="30">
        <v>3030000</v>
      </c>
    </row>
    <row r="6" spans="1:9" x14ac:dyDescent="0.25">
      <c r="A6" s="24"/>
      <c r="B6" s="27" t="s">
        <v>151</v>
      </c>
      <c r="C6" s="31"/>
      <c r="D6" s="27" t="s">
        <v>208</v>
      </c>
      <c r="E6" s="27">
        <v>547</v>
      </c>
      <c r="F6" s="29">
        <f t="shared" ref="F6:F11" si="0">E6*1.6</f>
        <v>875.2</v>
      </c>
      <c r="G6" s="29">
        <v>7000</v>
      </c>
      <c r="H6" s="30">
        <v>4230000</v>
      </c>
    </row>
    <row r="7" spans="1:9" ht="15" customHeight="1" x14ac:dyDescent="0.25">
      <c r="A7" s="24"/>
      <c r="B7" s="27" t="s">
        <v>151</v>
      </c>
      <c r="C7" s="28"/>
      <c r="D7" s="27"/>
      <c r="E7" s="27"/>
      <c r="F7" s="29">
        <f t="shared" si="0"/>
        <v>0</v>
      </c>
      <c r="G7" s="29" t="e">
        <f t="shared" ref="G7:G11" si="1">H7/F7</f>
        <v>#DIV/0!</v>
      </c>
      <c r="H7" s="30"/>
    </row>
    <row r="8" spans="1:9" x14ac:dyDescent="0.25">
      <c r="A8" s="24"/>
      <c r="B8" s="27" t="s">
        <v>151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151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25">
      <c r="A10" s="24"/>
      <c r="B10" s="27" t="s">
        <v>152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25">
      <c r="A11" s="24"/>
      <c r="B11" s="27" t="s">
        <v>152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25">
      <c r="A12" s="24"/>
      <c r="B12" s="32" t="s">
        <v>153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B13" s="32" t="s">
        <v>154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2025-07-09T11:56:14Z</cp:lastPrinted>
  <dcterms:created xsi:type="dcterms:W3CDTF">2019-07-16T09:29:46Z</dcterms:created>
  <dcterms:modified xsi:type="dcterms:W3CDTF">2025-07-09T11:56:15Z</dcterms:modified>
</cp:coreProperties>
</file>