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9" i="1" l="1"/>
  <c r="D138" i="1"/>
  <c r="D137" i="1"/>
  <c r="D128" i="1"/>
  <c r="D133" i="1"/>
  <c r="D132" i="1"/>
  <c r="D131" i="1"/>
  <c r="D130" i="1"/>
  <c r="D129" i="1"/>
  <c r="D126" i="1"/>
  <c r="D124" i="1"/>
  <c r="D123" i="1"/>
  <c r="D122" i="1"/>
  <c r="L126" i="1"/>
  <c r="L124" i="1"/>
  <c r="L123" i="1"/>
  <c r="L122" i="1"/>
  <c r="K138" i="1"/>
  <c r="L133" i="1"/>
  <c r="L132" i="1"/>
  <c r="L131" i="1"/>
  <c r="L130" i="1"/>
  <c r="E112" i="1" l="1"/>
  <c r="E111" i="1"/>
  <c r="C111" i="1"/>
  <c r="L128" i="1"/>
  <c r="L129" i="1"/>
  <c r="I137" i="1"/>
  <c r="K122" i="1" l="1"/>
  <c r="I122" i="1"/>
  <c r="K137" i="1"/>
  <c r="J125" i="1"/>
  <c r="L137" i="1" l="1"/>
  <c r="J128" i="1"/>
  <c r="J127" i="1" s="1"/>
  <c r="C15" i="1"/>
  <c r="C112" i="1" l="1"/>
  <c r="F133" i="1"/>
  <c r="J137" i="1"/>
  <c r="K139" i="1"/>
  <c r="J139" i="1" s="1"/>
  <c r="G137" i="1"/>
  <c r="C113" i="1" l="1"/>
  <c r="C114" i="1" s="1"/>
  <c r="F122" i="1"/>
  <c r="E113" i="1" l="1"/>
  <c r="E114" i="1" s="1"/>
  <c r="I42" i="1"/>
  <c r="G50" i="1"/>
  <c r="G51" i="1" s="1"/>
  <c r="Z12" i="1" l="1"/>
  <c r="I14" i="1"/>
  <c r="E43" i="1" l="1"/>
  <c r="E44" i="1" s="1"/>
  <c r="E30" i="1" l="1"/>
  <c r="F123" i="1" l="1"/>
  <c r="F124" i="1"/>
  <c r="N124" i="1" s="1"/>
  <c r="F126" i="1"/>
  <c r="A123" i="1"/>
  <c r="G121" i="1"/>
  <c r="A124" i="1" l="1"/>
  <c r="A126" i="1" s="1"/>
  <c r="F108" i="1"/>
  <c r="B142" i="1" l="1"/>
  <c r="F139" i="1" l="1"/>
  <c r="F138" i="1"/>
  <c r="F137" i="1"/>
  <c r="F132" i="1"/>
  <c r="F131" i="1"/>
  <c r="F129" i="1"/>
  <c r="F128" i="1"/>
  <c r="F130" i="1"/>
  <c r="G112" i="1" l="1"/>
  <c r="G111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1" i="1"/>
  <c r="G128" i="1"/>
  <c r="A129" i="1"/>
  <c r="A130" i="1" s="1"/>
  <c r="A131" i="1" s="1"/>
  <c r="A132" i="1" s="1"/>
  <c r="A133" i="1" s="1"/>
  <c r="C81" i="1"/>
  <c r="B82" i="1" s="1"/>
  <c r="C67" i="1"/>
  <c r="B68" i="1" s="1"/>
  <c r="D55" i="1"/>
  <c r="C50" i="1"/>
  <c r="C51" i="1" s="1"/>
  <c r="E27" i="1"/>
  <c r="E25" i="1"/>
  <c r="E7" i="1"/>
  <c r="E3" i="1"/>
  <c r="G113" i="1" l="1"/>
  <c r="G114" i="1" s="1"/>
  <c r="D61" i="1"/>
  <c r="H82" i="1"/>
  <c r="H68" i="1"/>
  <c r="J86" i="1" l="1"/>
  <c r="J84" i="1"/>
  <c r="J87" i="1"/>
  <c r="J88" i="1" s="1"/>
  <c r="J93" i="1" s="1"/>
  <c r="J81" i="1"/>
  <c r="J83" i="1" s="1"/>
  <c r="D89" i="1"/>
  <c r="D91" i="1"/>
  <c r="D94" i="1"/>
  <c r="D88" i="1"/>
  <c r="D92" i="1"/>
  <c r="D93" i="1"/>
  <c r="D90" i="1"/>
  <c r="J85" i="1"/>
  <c r="D80" i="1"/>
  <c r="D78" i="1"/>
  <c r="D77" i="1"/>
  <c r="D74" i="1"/>
  <c r="D76" i="1"/>
  <c r="J73" i="1"/>
  <c r="J74" i="1" s="1"/>
  <c r="J79" i="1" s="1"/>
  <c r="D79" i="1"/>
  <c r="J67" i="1"/>
  <c r="J69" i="1" s="1"/>
  <c r="D75" i="1"/>
  <c r="J71" i="1"/>
  <c r="J72" i="1"/>
  <c r="C71" i="1" s="1"/>
  <c r="D71" i="1" s="1"/>
  <c r="J70" i="1"/>
  <c r="J89" i="1"/>
  <c r="J90" i="1" s="1"/>
  <c r="J91" i="1" s="1"/>
  <c r="J92" i="1" s="1"/>
  <c r="J75" i="1"/>
  <c r="J76" i="1" s="1"/>
  <c r="J77" i="1" s="1"/>
  <c r="J78" i="1" s="1"/>
  <c r="D87" i="1"/>
  <c r="D73" i="1"/>
  <c r="C85" i="1" l="1"/>
  <c r="D85" i="1" s="1"/>
  <c r="J80" i="1"/>
  <c r="C72" i="1" s="1"/>
  <c r="G71" i="1" s="1"/>
  <c r="D65" i="1" s="1"/>
  <c r="D66" i="1" s="1"/>
  <c r="J94" i="1"/>
  <c r="C86" i="1" s="1"/>
  <c r="J82" i="1" l="1"/>
  <c r="J68" i="1"/>
  <c r="D72" i="1"/>
  <c r="I68" i="1" s="1"/>
  <c r="I69" i="1" s="1"/>
  <c r="E71" i="1"/>
  <c r="F66" i="1"/>
  <c r="E85" i="1"/>
  <c r="G85" i="1"/>
  <c r="D86" i="1"/>
  <c r="I82" i="1" s="1"/>
  <c r="I83" i="1" s="1"/>
  <c r="I67" i="1" l="1"/>
  <c r="C69" i="1" s="1"/>
  <c r="I81" i="1"/>
  <c r="C83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<sst xmlns="http://schemas.openxmlformats.org/spreadsheetml/2006/main" count="417" uniqueCount="284">
  <si>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</si>
  <si>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</si>
  <si>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</si>
  <si>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</si>
  <si>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</si>
  <si>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</si>
  <si>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</si>
  <si>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</si>
  <si>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</si>
  <si>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</si>
  <si>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</si>
  <si>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</si>
  <si>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</si>
  <si>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</si>
  <si>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</si>
  <si>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</si>
  <si>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</si>
  <si>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</si>
  <si>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</si>
  <si>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</si>
  <si>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</si>
  <si>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</si>
  <si>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</si>
  <si>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</si>
  <si>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</si>
  <si>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</si>
  <si>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</si>
  <si>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</si>
  <si>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</si>
  <si>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</si>
  <si>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</si>
  <si>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</si>
  <si>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</si>
  <si>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</si>
  <si>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</si>
  <si>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</si>
  <si>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</si>
  <si>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</si>
  <si>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</si>
  <si>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</si>
  <si>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</si>
  <si>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</si>
  <si>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</si>
  <si>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</si>
  <si>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</si>
  <si>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</si>
  <si>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</si>
  <si>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</si>
  <si>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</si>
  <si>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</si>
  <si>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</si>
  <si>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</si>
  <si>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</si>
  <si>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</si>
  <si>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</si>
  <si>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</si>
  <si>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</si>
  <si>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</si>
  <si>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</si>
  <si>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</si>
  <si>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</si>
  <si>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</si>
  <si>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</si>
  <si>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</si>
  <si>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</si>
  <si>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</si>
  <si>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</si>
  <si>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</si>
  <si>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</si>
  <si>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</si>
  <si>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</si>
  <si>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</si>
  <si>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</si>
  <si>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</si>
  <si>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</si>
  <si>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</si>
  <si>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</si>
  <si>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</si>
  <si>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</si>
  <si>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</si>
  <si>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</si>
  <si>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</si>
  <si>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</si>
  <si>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</si>
  <si>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</si>
  <si>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</si>
  <si>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</si>
  <si>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</si>
  <si>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</si>
  <si>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</si>
  <si>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</si>
  <si>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</si>
  <si>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</si>
  <si>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</si>
  <si>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</si>
  <si>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</si>
  <si>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</si>
  <si>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</si>
  <si>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</si>
  <si>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</si>
  <si>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</si>
  <si>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</si>
  <si>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</si>
  <si>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</si>
  <si>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</si>
  <si>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</si>
  <si>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</si>
  <si>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</si>
  <si>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</si>
  <si>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</si>
  <si>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</si>
  <si>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</si>
  <si>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</si>
  <si>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</si>
  <si>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</si>
  <si>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</si>
  <si>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</si>
  <si>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</si>
  <si>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</si>
  <si>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</si>
  <si>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</si>
  <si>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</si>
  <si>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</si>
  <si>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</si>
  <si>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</si>
  <si>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</si>
  <si>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</si>
  <si>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</si>
  <si>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</si>
  <si>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</si>
  <si>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</si>
  <si>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</si>
  <si>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</si>
  <si>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</si>
  <si>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</si>
  <si>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</si>
  <si>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</si>
  <si>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</si>
  <si>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</si>
  <si>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</si>
  <si>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</si>
  <si>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</si>
  <si>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</si>
  <si>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</si>
  <si>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</si>
  <si>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</si>
  <si>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</si>
  <si>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</si>
  <si>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</si>
  <si>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</si>
  <si>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</si>
  <si>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</si>
  <si>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</si>
  <si>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</si>
  <si>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</si>
  <si>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</si>
  <si>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</si>
  <si>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</si>
  <si>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</si>
  <si>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</si>
  <si>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</si>
  <si>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</si>
  <si>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</si>
  <si>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</si>
  <si>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</si>
  <si>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</si>
  <si>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</si>
  <si>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</si>
  <si>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</si>
  <si>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</si>
  <si>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</si>
  <si>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>Floor Rise Rate from    Floor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</si>
  <si>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</si>
  <si>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</si>
  <si>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</si>
  <si>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</si>
  <si>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</si>
  <si>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</si>
  <si>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</si>
  <si>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</si>
  <si>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</si>
  <si>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</si>
  <si>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</si>
  <si>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</si>
  <si>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</si>
  <si>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</si>
  <si>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</si>
  <si>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</si>
  <si>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</si>
  <si>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</si>
  <si>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</si>
  <si>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</si>
  <si>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</si>
  <si>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</si>
  <si>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</si>
  <si>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</si>
  <si>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</si>
  <si>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</si>
  <si>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</si>
  <si>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</si>
  <si>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</si>
  <si>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</si>
  <si>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</si>
  <si>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</si>
  <si>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</si>
  <si>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</si>
  <si>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</si>
  <si>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</si>
  <si>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</si>
  <si>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</si>
  <si>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</si>
  <si>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</si>
  <si>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</si>
  <si>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</si>
  <si>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</si>
  <si>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</si>
  <si>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</si>
  <si>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</si>
  <si>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</si>
  <si>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</si>
  <si>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</si>
  <si>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</si>
  <si>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</si>
  <si>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</si>
  <si>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</si>
  <si>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</si>
  <si>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Badlapur</t>
  </si>
  <si>
    <t xml:space="preserve">Jagani developers </t>
  </si>
  <si>
    <t>Flower Valley</t>
  </si>
  <si>
    <t>Survey No</t>
  </si>
  <si>
    <t>Kongaon</t>
  </si>
  <si>
    <t>Building No.1 &amp; 2</t>
  </si>
  <si>
    <t>https://goo.gl/maps/QpZHa4oQNJLzr2So6</t>
  </si>
  <si>
    <t>Vasudev Patil Nagar</t>
  </si>
  <si>
    <t>Kalyan West</t>
  </si>
  <si>
    <t>Shree Saidham Complex</t>
  </si>
  <si>
    <t>Open Plot</t>
  </si>
  <si>
    <t>Houses</t>
  </si>
  <si>
    <t>Existing Road 6.0M Wide</t>
  </si>
  <si>
    <t>Other Plot</t>
  </si>
  <si>
    <t>D.P Road</t>
  </si>
  <si>
    <t>Mumbai Metropolitan Region Development Authority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</si>
  <si>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</si>
  <si>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Electrical Meter Room, Sub-Station, Receiving Station, Fire Fighting System, Internal Roads, Open Parking, Sewage Treatment Plant, Storm Water Drains, Street Lighting, Water Conservation, Rain water Harvesting, 24 HourWater Supply, Closed Car Parking etc.</t>
  </si>
  <si>
    <t>https://www.proptiger.com/mumbai/kalyan-west/jagani-developers-flower-valley-2055323</t>
  </si>
  <si>
    <t xml:space="preserve">Mr. Sanjay Bhanushali 9867223333
</t>
  </si>
  <si>
    <t>10 Hissa No.3, S. No.15 Hissa No.1/A &amp; S. No.15 Hissa No.12</t>
  </si>
  <si>
    <t>Sai Krupa Apartment</t>
  </si>
  <si>
    <t>P51700024317</t>
  </si>
  <si>
    <t>Building No. 1</t>
  </si>
  <si>
    <t xml:space="preserve">Ground Floor For Residential, Society Room, Entrance Lobby &amp; Parking </t>
  </si>
  <si>
    <t>2BHK</t>
  </si>
  <si>
    <t>1BHK</t>
  </si>
  <si>
    <t>1st to 7th Floor</t>
  </si>
  <si>
    <t>Building No. 2</t>
  </si>
  <si>
    <t>Ground Floor For Entrance Lobby &amp; Parking</t>
  </si>
  <si>
    <t>1st to 4th Floor For Residential</t>
  </si>
  <si>
    <t>1RK</t>
  </si>
  <si>
    <t xml:space="preserve">Building No.1 </t>
  </si>
  <si>
    <t>Building No.2</t>
  </si>
  <si>
    <t>Building No.1 = Gr/Stilt+ 1st to 7th Floor
Building No.2 = Gr/Stilt + 1st to 4th Floor</t>
  </si>
  <si>
    <t>Building No.1 = Gr/Stilt+ 1st to 7th Floor</t>
  </si>
  <si>
    <t>Building No.2 = Gr/Stilt + 1st to 4th Floor</t>
  </si>
  <si>
    <t>Flats - 58</t>
  </si>
  <si>
    <t>Mangesh Laxman Bapardekar</t>
  </si>
  <si>
    <t xml:space="preserve">Details of Residential in Building   </t>
  </si>
  <si>
    <t>SROT/BSNA/2501/BP/Kon-66/Rev-CC/1476/2022</t>
  </si>
  <si>
    <t>19.244456,73.106312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</si>
  <si>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</si>
  <si>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Old Grampanchayat Road /
Sai Krupa Apartment</t>
  </si>
  <si>
    <t>02 Buildings</t>
  </si>
  <si>
    <t>-</t>
  </si>
  <si>
    <t>Parking</t>
  </si>
  <si>
    <t>Entrance Lobby &amp; Society Room</t>
  </si>
  <si>
    <t>We considered Gross carpet area = Net carpet + Enclose balcony + Balcony.</t>
  </si>
  <si>
    <t>Approved Plans, CC.</t>
  </si>
  <si>
    <t>Old Grampanchayat Road</t>
  </si>
  <si>
    <t>Building No.1 = (Pt)Stilt/(Pt)Gr + 1st to 7 Upper Floor
Building No.2 = Stilt + 1st to 4 Upper Floor</t>
  </si>
  <si>
    <t>6.0 KM from Kalyan Railway Station</t>
  </si>
  <si>
    <t>Building No.1 &amp; 2 = Construction work is in process at the time of Visit.</t>
  </si>
  <si>
    <t>As per RERA, completion period of project Flower Valley is expired on 08/11/2024 but still project is under construction.</t>
  </si>
  <si>
    <t>As per RERA - 08/11/2025</t>
  </si>
  <si>
    <t>Miss. Jagruti 9867223333</t>
  </si>
  <si>
    <t>Shruti Tathare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</si>
</sst>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5" xfId="0" applyFont="1" applyFill="1" applyBorder="1"/>
    <xf numFmtId="0" fontId="25" fillId="0" borderId="26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4" fontId="7" fillId="0" borderId="0" xfId="1" applyNumberFormat="1" applyFont="1"/>
    <xf numFmtId="0" fontId="26" fillId="0" borderId="0" xfId="10"/>
    <xf numFmtId="1" fontId="7" fillId="0" borderId="0" xfId="1" applyNumberFormat="1" applyFont="1" applyBorder="1" applyAlignment="1">
      <alignment horizontal="center" vertical="center"/>
    </xf>
    <xf numFmtId="1" fontId="6" fillId="0" borderId="0" xfId="1" applyNumberFormat="1" applyFont="1" applyBorder="1" applyAlignment="1" applyProtection="1">
      <alignment horizontal="left" vertical="center" wrapText="1" indent="6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2" fontId="7" fillId="0" borderId="0" xfId="1" applyNumberFormat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/>
    <xf numFmtId="1" fontId="7" fillId="0" borderId="0" xfId="1" applyNumberFormat="1" applyFont="1" applyAlignment="1">
      <alignment horizontal="center"/>
    </xf>
    <xf numFmtId="1" fontId="7" fillId="0" borderId="0" xfId="1" applyNumberFormat="1" applyFont="1" applyBorder="1" applyAlignment="1">
      <alignment horizont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24" fillId="2" borderId="12" xfId="0" applyFont="1" applyFill="1" applyBorder="1"/>
    <xf numFmtId="0" fontId="25" fillId="0" borderId="8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18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1" fontId="10" fillId="0" borderId="13" xfId="0" applyNumberFormat="1" applyFont="1" applyBorder="1" applyAlignment="1" applyProtection="1">
      <alignment horizontal="center" vertical="top" wrapText="1"/>
      <protection locked="0"/>
    </xf>
    <xf numFmtId="0" fontId="10" fillId="0" borderId="13" xfId="0" applyFont="1" applyBorder="1" applyAlignment="1" applyProtection="1">
      <alignment horizontal="center" vertical="top" wrapText="1"/>
      <protection locked="0"/>
    </xf>
    <xf numFmtId="1" fontId="8" fillId="0" borderId="13" xfId="0" applyNumberFormat="1" applyFont="1" applyBorder="1" applyAlignment="1" applyProtection="1">
      <alignment horizontal="center" vertical="top" wrapText="1"/>
      <protection locked="0"/>
    </xf>
    <xf numFmtId="1" fontId="8" fillId="0" borderId="29" xfId="0" applyNumberFormat="1" applyFont="1" applyBorder="1" applyAlignment="1" applyProtection="1">
      <alignment horizontal="center" vertical="top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30" xfId="0" applyNumberFormat="1" applyFont="1" applyBorder="1" applyAlignment="1" applyProtection="1">
      <alignment horizontal="center" vertical="center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10" fillId="0" borderId="31" xfId="0" applyNumberFormat="1" applyFont="1" applyBorder="1" applyAlignment="1" applyProtection="1">
      <alignment horizontal="center" vertical="top" wrapText="1"/>
      <protection locked="0"/>
    </xf>
    <xf numFmtId="0" fontId="10" fillId="0" borderId="31" xfId="0" applyFont="1" applyBorder="1" applyAlignment="1" applyProtection="1">
      <alignment horizontal="center" vertical="top" wrapText="1"/>
      <protection locked="0"/>
    </xf>
    <xf numFmtId="1" fontId="8" fillId="0" borderId="31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33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27" xfId="1" applyFont="1" applyBorder="1" applyAlignment="1" applyProtection="1">
      <alignment horizontal="left" vertical="top" wrapText="1"/>
      <protection locked="0"/>
    </xf>
    <xf numFmtId="0" fontId="8" fillId="0" borderId="34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18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18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18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8" xfId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10" fillId="0" borderId="31" xfId="0" applyNumberFormat="1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18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7" fillId="0" borderId="2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1" fontId="29" fillId="0" borderId="7" xfId="0" applyNumberFormat="1" applyFont="1" applyBorder="1" applyAlignment="1" applyProtection="1">
      <alignment horizontal="left" vertical="top" wrapText="1"/>
      <protection locked="0"/>
    </xf>
    <xf numFmtId="1" fontId="29" fillId="0" borderId="18" xfId="0" applyNumberFormat="1" applyFont="1" applyBorder="1" applyAlignment="1" applyProtection="1">
      <alignment horizontal="left" vertical="top" wrapText="1"/>
      <protection locked="0"/>
    </xf>
    <xf numFmtId="1" fontId="29" fillId="0" borderId="8" xfId="0" applyNumberFormat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386600</xdr:colOff>
      <xdr:row>264</xdr:row>
      <xdr:rowOff>123264</xdr:rowOff>
    </xdr:from>
    <xdr:to>
      <xdr:col>7</xdr:col>
      <xdr:colOff>319636</xdr:colOff>
      <xdr:row>287</xdr:row>
      <xdr:rowOff>139802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6600" y="56307157"/>
          <a:ext cx="5580000" cy="4711002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21</xdr:col>
      <xdr:colOff>35819</xdr:colOff>
      <xdr:row>389</xdr:row>
      <xdr:rowOff>45760</xdr:rowOff>
    </xdr:from>
    <xdr:to>
      <xdr:col>21</xdr:col>
      <xdr:colOff>35819</xdr:colOff>
      <xdr:row>398</xdr:row>
      <xdr:rowOff>160291</xdr:rowOff>
    </xdr:to>
    <xdr:grpSp>
      <xdr:nvGrpSpPr>
        <xdr:cNvPr id="17" name="Group 16"/>
        <xdr:cNvGrpSpPr/>
      </xdr:nvGrpSpPr>
      <xdr:grpSpPr>
        <a:xfrm>
          <a:off x="15847319" y="79741435"/>
          <a:ext cx="0" cy="1914756"/>
          <a:chOff x="8534380" y="67942059"/>
          <a:chExt cx="0" cy="5939803"/>
        </a:xfrm>
      </xdr:grpSpPr>
      <xdr:cxnSp macro="">
        <xdr:nvCxnSpPr>
          <xdr:cNvPr id="18" name="Straight Connector 17"/>
          <xdr:cNvCxnSpPr/>
        </xdr:nvCxnSpPr>
        <xdr:spPr>
          <a:xfrm>
            <a:off x="8534380" y="70114764"/>
            <a:ext cx="0" cy="544202"/>
          </a:xfrm>
          <a:prstGeom prst="line">
            <a:avLst/>
          </a:prstGeom>
          <a:ln w="571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9" name="Group 18"/>
          <xdr:cNvGrpSpPr/>
        </xdr:nvGrpSpPr>
        <xdr:grpSpPr>
          <a:xfrm>
            <a:off x="8534380" y="67942059"/>
            <a:ext cx="0" cy="5939803"/>
            <a:chOff x="8534380" y="67942059"/>
            <a:chExt cx="0" cy="5939803"/>
          </a:xfrm>
        </xdr:grpSpPr>
        <xdr:cxnSp macro="">
          <xdr:nvCxnSpPr>
            <xdr:cNvPr id="20" name="Straight Connector 19"/>
            <xdr:cNvCxnSpPr/>
          </xdr:nvCxnSpPr>
          <xdr:spPr>
            <a:xfrm>
              <a:off x="8534380" y="71495453"/>
              <a:ext cx="0" cy="1896053"/>
            </a:xfrm>
            <a:prstGeom prst="line">
              <a:avLst/>
            </a:prstGeom>
            <a:ln w="57150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Straight Connector 20"/>
            <xdr:cNvCxnSpPr/>
          </xdr:nvCxnSpPr>
          <xdr:spPr>
            <a:xfrm>
              <a:off x="8534380" y="70175476"/>
              <a:ext cx="0" cy="1386458"/>
            </a:xfrm>
            <a:prstGeom prst="line">
              <a:avLst/>
            </a:prstGeom>
            <a:ln w="57150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22" name="Group 21"/>
            <xdr:cNvGrpSpPr/>
          </xdr:nvGrpSpPr>
          <xdr:grpSpPr>
            <a:xfrm>
              <a:off x="8534380" y="67942059"/>
              <a:ext cx="0" cy="5939803"/>
              <a:chOff x="8534380" y="67942059"/>
              <a:chExt cx="0" cy="5939803"/>
            </a:xfrm>
          </xdr:grpSpPr>
          <xdr:cxnSp macro="">
            <xdr:nvCxnSpPr>
              <xdr:cNvPr id="23" name="Straight Connector 22"/>
              <xdr:cNvCxnSpPr/>
            </xdr:nvCxnSpPr>
            <xdr:spPr>
              <a:xfrm flipV="1">
                <a:off x="8534380" y="72230553"/>
                <a:ext cx="0" cy="786391"/>
              </a:xfrm>
              <a:prstGeom prst="line">
                <a:avLst/>
              </a:prstGeom>
              <a:ln w="5715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4" name="Straight Connector 23"/>
              <xdr:cNvCxnSpPr/>
            </xdr:nvCxnSpPr>
            <xdr:spPr>
              <a:xfrm>
                <a:off x="8534380" y="69673382"/>
                <a:ext cx="0" cy="4208480"/>
              </a:xfrm>
              <a:prstGeom prst="line">
                <a:avLst/>
              </a:prstGeom>
              <a:ln w="5715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" name="Straight Connector 24"/>
              <xdr:cNvCxnSpPr/>
            </xdr:nvCxnSpPr>
            <xdr:spPr>
              <a:xfrm>
                <a:off x="8534380" y="68740929"/>
                <a:ext cx="0" cy="5124179"/>
              </a:xfrm>
              <a:prstGeom prst="line">
                <a:avLst/>
              </a:prstGeom>
              <a:ln w="5715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6" name="Straight Connector 25"/>
              <xdr:cNvCxnSpPr/>
            </xdr:nvCxnSpPr>
            <xdr:spPr>
              <a:xfrm>
                <a:off x="8534380" y="70105720"/>
                <a:ext cx="0" cy="811755"/>
              </a:xfrm>
              <a:prstGeom prst="line">
                <a:avLst/>
              </a:prstGeom>
              <a:ln w="5715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7" name="Straight Connector 26"/>
              <xdr:cNvCxnSpPr/>
            </xdr:nvCxnSpPr>
            <xdr:spPr>
              <a:xfrm>
                <a:off x="8534380" y="67942059"/>
                <a:ext cx="0" cy="3679754"/>
              </a:xfrm>
              <a:prstGeom prst="line">
                <a:avLst/>
              </a:prstGeom>
              <a:ln w="5715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8" name="Straight Connector 27"/>
              <xdr:cNvCxnSpPr/>
            </xdr:nvCxnSpPr>
            <xdr:spPr>
              <a:xfrm>
                <a:off x="8534380" y="69589901"/>
                <a:ext cx="0" cy="1057145"/>
              </a:xfrm>
              <a:prstGeom prst="line">
                <a:avLst/>
              </a:prstGeom>
              <a:ln w="5715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" name="Straight Connector 28"/>
              <xdr:cNvCxnSpPr/>
            </xdr:nvCxnSpPr>
            <xdr:spPr>
              <a:xfrm>
                <a:off x="8534380" y="69094972"/>
                <a:ext cx="0" cy="167469"/>
              </a:xfrm>
              <a:prstGeom prst="line">
                <a:avLst/>
              </a:prstGeom>
              <a:ln w="5715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" name="Straight Connector 29"/>
              <xdr:cNvCxnSpPr/>
            </xdr:nvCxnSpPr>
            <xdr:spPr>
              <a:xfrm>
                <a:off x="8534380" y="68316922"/>
                <a:ext cx="0" cy="2472485"/>
              </a:xfrm>
              <a:prstGeom prst="line">
                <a:avLst/>
              </a:prstGeom>
              <a:ln w="5715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18</xdr:col>
      <xdr:colOff>383202</xdr:colOff>
      <xdr:row>361</xdr:row>
      <xdr:rowOff>81452</xdr:rowOff>
    </xdr:from>
    <xdr:to>
      <xdr:col>18</xdr:col>
      <xdr:colOff>383202</xdr:colOff>
      <xdr:row>370</xdr:row>
      <xdr:rowOff>195983</xdr:rowOff>
    </xdr:to>
    <xdr:grpSp>
      <xdr:nvGrpSpPr>
        <xdr:cNvPr id="31" name="Group 30"/>
        <xdr:cNvGrpSpPr/>
      </xdr:nvGrpSpPr>
      <xdr:grpSpPr>
        <a:xfrm>
          <a:off x="14365902" y="74176427"/>
          <a:ext cx="0" cy="1914756"/>
          <a:chOff x="7716351" y="63706235"/>
          <a:chExt cx="0" cy="5939803"/>
        </a:xfrm>
      </xdr:grpSpPr>
      <xdr:cxnSp macro="">
        <xdr:nvCxnSpPr>
          <xdr:cNvPr id="32" name="Straight Connector 31"/>
          <xdr:cNvCxnSpPr/>
        </xdr:nvCxnSpPr>
        <xdr:spPr>
          <a:xfrm>
            <a:off x="7716351" y="65878940"/>
            <a:ext cx="0" cy="544202"/>
          </a:xfrm>
          <a:prstGeom prst="line">
            <a:avLst/>
          </a:prstGeom>
          <a:ln w="571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3" name="Group 32"/>
          <xdr:cNvGrpSpPr/>
        </xdr:nvGrpSpPr>
        <xdr:grpSpPr>
          <a:xfrm>
            <a:off x="7716351" y="63706235"/>
            <a:ext cx="0" cy="5939803"/>
            <a:chOff x="7716351" y="63706235"/>
            <a:chExt cx="0" cy="5939803"/>
          </a:xfrm>
        </xdr:grpSpPr>
        <xdr:cxnSp macro="">
          <xdr:nvCxnSpPr>
            <xdr:cNvPr id="34" name="Straight Connector 33"/>
            <xdr:cNvCxnSpPr/>
          </xdr:nvCxnSpPr>
          <xdr:spPr>
            <a:xfrm>
              <a:off x="7716351" y="67259629"/>
              <a:ext cx="0" cy="1896053"/>
            </a:xfrm>
            <a:prstGeom prst="line">
              <a:avLst/>
            </a:prstGeom>
            <a:ln w="57150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Straight Connector 34"/>
            <xdr:cNvCxnSpPr/>
          </xdr:nvCxnSpPr>
          <xdr:spPr>
            <a:xfrm>
              <a:off x="7716351" y="65939652"/>
              <a:ext cx="0" cy="1386458"/>
            </a:xfrm>
            <a:prstGeom prst="line">
              <a:avLst/>
            </a:prstGeom>
            <a:ln w="57150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36" name="Group 35"/>
            <xdr:cNvGrpSpPr/>
          </xdr:nvGrpSpPr>
          <xdr:grpSpPr>
            <a:xfrm>
              <a:off x="7716351" y="63706235"/>
              <a:ext cx="0" cy="5939803"/>
              <a:chOff x="7716351" y="63706235"/>
              <a:chExt cx="0" cy="5939803"/>
            </a:xfrm>
          </xdr:grpSpPr>
          <xdr:cxnSp macro="">
            <xdr:nvCxnSpPr>
              <xdr:cNvPr id="37" name="Straight Connector 36"/>
              <xdr:cNvCxnSpPr/>
            </xdr:nvCxnSpPr>
            <xdr:spPr>
              <a:xfrm flipV="1">
                <a:off x="7716351" y="67994729"/>
                <a:ext cx="0" cy="786391"/>
              </a:xfrm>
              <a:prstGeom prst="line">
                <a:avLst/>
              </a:prstGeom>
              <a:ln w="5715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8" name="Straight Connector 37"/>
              <xdr:cNvCxnSpPr/>
            </xdr:nvCxnSpPr>
            <xdr:spPr>
              <a:xfrm>
                <a:off x="7716351" y="65437558"/>
                <a:ext cx="0" cy="4208480"/>
              </a:xfrm>
              <a:prstGeom prst="line">
                <a:avLst/>
              </a:prstGeom>
              <a:ln w="5715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9" name="Straight Connector 38"/>
              <xdr:cNvCxnSpPr/>
            </xdr:nvCxnSpPr>
            <xdr:spPr>
              <a:xfrm>
                <a:off x="7716351" y="64505105"/>
                <a:ext cx="0" cy="5124179"/>
              </a:xfrm>
              <a:prstGeom prst="line">
                <a:avLst/>
              </a:prstGeom>
              <a:ln w="5715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0" name="Straight Connector 39"/>
              <xdr:cNvCxnSpPr/>
            </xdr:nvCxnSpPr>
            <xdr:spPr>
              <a:xfrm>
                <a:off x="7716351" y="65869896"/>
                <a:ext cx="0" cy="811755"/>
              </a:xfrm>
              <a:prstGeom prst="line">
                <a:avLst/>
              </a:prstGeom>
              <a:ln w="5715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1" name="Straight Connector 40"/>
              <xdr:cNvCxnSpPr/>
            </xdr:nvCxnSpPr>
            <xdr:spPr>
              <a:xfrm>
                <a:off x="7716351" y="63706235"/>
                <a:ext cx="0" cy="3679754"/>
              </a:xfrm>
              <a:prstGeom prst="line">
                <a:avLst/>
              </a:prstGeom>
              <a:ln w="5715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2" name="Straight Connector 41"/>
              <xdr:cNvCxnSpPr/>
            </xdr:nvCxnSpPr>
            <xdr:spPr>
              <a:xfrm>
                <a:off x="7716351" y="65354077"/>
                <a:ext cx="0" cy="1057145"/>
              </a:xfrm>
              <a:prstGeom prst="line">
                <a:avLst/>
              </a:prstGeom>
              <a:ln w="5715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3" name="Straight Connector 42"/>
              <xdr:cNvCxnSpPr/>
            </xdr:nvCxnSpPr>
            <xdr:spPr>
              <a:xfrm>
                <a:off x="7716351" y="64859148"/>
                <a:ext cx="0" cy="167469"/>
              </a:xfrm>
              <a:prstGeom prst="line">
                <a:avLst/>
              </a:prstGeom>
              <a:ln w="5715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4" name="Straight Connector 43"/>
              <xdr:cNvCxnSpPr/>
            </xdr:nvCxnSpPr>
            <xdr:spPr>
              <a:xfrm>
                <a:off x="7716351" y="64081098"/>
                <a:ext cx="0" cy="2472485"/>
              </a:xfrm>
              <a:prstGeom prst="line">
                <a:avLst/>
              </a:prstGeom>
              <a:ln w="5715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3</xdr:col>
      <xdr:colOff>552450</xdr:colOff>
      <xdr:row>271</xdr:row>
      <xdr:rowOff>180975</xdr:rowOff>
    </xdr:from>
    <xdr:to>
      <xdr:col>4</xdr:col>
      <xdr:colOff>725143</xdr:colOff>
      <xdr:row>280</xdr:row>
      <xdr:rowOff>114300</xdr:rowOff>
    </xdr:to>
    <xdr:grpSp>
      <xdr:nvGrpSpPr>
        <xdr:cNvPr id="45" name="Group 44"/>
        <xdr:cNvGrpSpPr/>
      </xdr:nvGrpSpPr>
      <xdr:grpSpPr>
        <a:xfrm>
          <a:off x="2886075" y="56273700"/>
          <a:ext cx="1115668" cy="1733550"/>
          <a:chOff x="775847" y="-2675612"/>
          <a:chExt cx="6701209" cy="13164462"/>
        </a:xfrm>
      </xdr:grpSpPr>
      <xdr:cxnSp macro="">
        <xdr:nvCxnSpPr>
          <xdr:cNvPr id="46" name="Straight Connector 45"/>
          <xdr:cNvCxnSpPr/>
        </xdr:nvCxnSpPr>
        <xdr:spPr>
          <a:xfrm flipH="1">
            <a:off x="2933290" y="2054475"/>
            <a:ext cx="602827" cy="1529123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7" name="Group 46"/>
          <xdr:cNvGrpSpPr/>
        </xdr:nvGrpSpPr>
        <xdr:grpSpPr>
          <a:xfrm>
            <a:off x="775847" y="-2675612"/>
            <a:ext cx="6701209" cy="13164462"/>
            <a:chOff x="775847" y="-2675612"/>
            <a:chExt cx="6701209" cy="13164462"/>
          </a:xfrm>
        </xdr:grpSpPr>
        <xdr:cxnSp macro="">
          <xdr:nvCxnSpPr>
            <xdr:cNvPr id="48" name="Straight Connector 47"/>
            <xdr:cNvCxnSpPr/>
          </xdr:nvCxnSpPr>
          <xdr:spPr>
            <a:xfrm>
              <a:off x="1774837" y="6842435"/>
              <a:ext cx="423383" cy="3646415"/>
            </a:xfrm>
            <a:prstGeom prst="line">
              <a:avLst/>
            </a:prstGeom>
            <a:ln w="38100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Straight Connector 48"/>
            <xdr:cNvCxnSpPr/>
          </xdr:nvCxnSpPr>
          <xdr:spPr>
            <a:xfrm flipH="1">
              <a:off x="7153767" y="2823851"/>
              <a:ext cx="210346" cy="1414001"/>
            </a:xfrm>
            <a:prstGeom prst="line">
              <a:avLst/>
            </a:prstGeom>
            <a:ln w="38100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50" name="Group 49"/>
            <xdr:cNvGrpSpPr/>
          </xdr:nvGrpSpPr>
          <xdr:grpSpPr>
            <a:xfrm>
              <a:off x="775847" y="-2675612"/>
              <a:ext cx="6701209" cy="13088570"/>
              <a:chOff x="775847" y="-2675612"/>
              <a:chExt cx="6701209" cy="13088570"/>
            </a:xfrm>
          </xdr:grpSpPr>
          <xdr:cxnSp macro="">
            <xdr:nvCxnSpPr>
              <xdr:cNvPr id="51" name="Straight Connector 50"/>
              <xdr:cNvCxnSpPr/>
            </xdr:nvCxnSpPr>
            <xdr:spPr>
              <a:xfrm flipV="1">
                <a:off x="2136110" y="8564090"/>
                <a:ext cx="4918196" cy="1848868"/>
              </a:xfrm>
              <a:prstGeom prst="line">
                <a:avLst/>
              </a:prstGeom>
              <a:ln w="3810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2" name="Straight Connector 51"/>
              <xdr:cNvCxnSpPr/>
            </xdr:nvCxnSpPr>
            <xdr:spPr>
              <a:xfrm flipH="1">
                <a:off x="6972981" y="4220057"/>
                <a:ext cx="183302" cy="4331171"/>
              </a:xfrm>
              <a:prstGeom prst="line">
                <a:avLst/>
              </a:prstGeom>
              <a:ln w="3810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3" name="Straight Connector 52"/>
              <xdr:cNvCxnSpPr/>
            </xdr:nvCxnSpPr>
            <xdr:spPr>
              <a:xfrm flipH="1">
                <a:off x="1827572" y="3422216"/>
                <a:ext cx="1112825" cy="3550450"/>
              </a:xfrm>
              <a:prstGeom prst="line">
                <a:avLst/>
              </a:prstGeom>
              <a:ln w="3810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4" name="Straight Connector 53"/>
              <xdr:cNvCxnSpPr/>
            </xdr:nvCxnSpPr>
            <xdr:spPr>
              <a:xfrm>
                <a:off x="6135887" y="2050620"/>
                <a:ext cx="1341169" cy="697337"/>
              </a:xfrm>
              <a:prstGeom prst="line">
                <a:avLst/>
              </a:prstGeom>
              <a:ln w="3810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5" name="Straight Connector 54"/>
              <xdr:cNvCxnSpPr/>
            </xdr:nvCxnSpPr>
            <xdr:spPr>
              <a:xfrm>
                <a:off x="1932250" y="-2561634"/>
                <a:ext cx="4179806" cy="4612256"/>
              </a:xfrm>
              <a:prstGeom prst="line">
                <a:avLst/>
              </a:prstGeom>
              <a:ln w="3810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6" name="Straight Connector 55"/>
              <xdr:cNvCxnSpPr/>
            </xdr:nvCxnSpPr>
            <xdr:spPr>
              <a:xfrm>
                <a:off x="775847" y="888935"/>
                <a:ext cx="2806092" cy="1165540"/>
              </a:xfrm>
              <a:prstGeom prst="line">
                <a:avLst/>
              </a:prstGeom>
              <a:ln w="3810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7" name="Straight Connector 56"/>
              <xdr:cNvCxnSpPr/>
            </xdr:nvCxnSpPr>
            <xdr:spPr>
              <a:xfrm flipV="1">
                <a:off x="1015749" y="-2675612"/>
                <a:ext cx="962328" cy="170968"/>
              </a:xfrm>
              <a:prstGeom prst="line">
                <a:avLst/>
              </a:prstGeom>
              <a:ln w="3810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8" name="Straight Connector 57"/>
              <xdr:cNvCxnSpPr/>
            </xdr:nvCxnSpPr>
            <xdr:spPr>
              <a:xfrm flipH="1">
                <a:off x="786630" y="-2618626"/>
                <a:ext cx="183297" cy="3647298"/>
              </a:xfrm>
              <a:prstGeom prst="line">
                <a:avLst/>
              </a:prstGeom>
              <a:ln w="38100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4</xdr:col>
      <xdr:colOff>49498</xdr:colOff>
      <xdr:row>274</xdr:row>
      <xdr:rowOff>110092</xdr:rowOff>
    </xdr:from>
    <xdr:to>
      <xdr:col>4</xdr:col>
      <xdr:colOff>520145</xdr:colOff>
      <xdr:row>280</xdr:row>
      <xdr:rowOff>9004</xdr:rowOff>
    </xdr:to>
    <xdr:sp macro="" textlink="">
      <xdr:nvSpPr>
        <xdr:cNvPr id="86" name="TextBox 85"/>
        <xdr:cNvSpPr txBox="1"/>
      </xdr:nvSpPr>
      <xdr:spPr>
        <a:xfrm rot="17650303">
          <a:off x="3260101" y="60492871"/>
          <a:ext cx="1109148" cy="4706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0000CC"/>
              </a:solidFill>
            </a:rPr>
            <a:t>Building</a:t>
          </a:r>
          <a:r>
            <a:rPr lang="en-IN" sz="1100" b="1" baseline="0">
              <a:solidFill>
                <a:srgbClr val="0000CC"/>
              </a:solidFill>
            </a:rPr>
            <a:t> No. 1</a:t>
          </a:r>
          <a:endParaRPr lang="en-IN" sz="1100" b="1">
            <a:solidFill>
              <a:srgbClr val="0000CC"/>
            </a:solidFill>
          </a:endParaRPr>
        </a:p>
      </xdr:txBody>
    </xdr:sp>
    <xdr:clientData/>
  </xdr:twoCellAnchor>
  <xdr:twoCellAnchor>
    <xdr:from>
      <xdr:col>3</xdr:col>
      <xdr:colOff>443834</xdr:colOff>
      <xdr:row>273</xdr:row>
      <xdr:rowOff>61798</xdr:rowOff>
    </xdr:from>
    <xdr:to>
      <xdr:col>4</xdr:col>
      <xdr:colOff>520414</xdr:colOff>
      <xdr:row>274</xdr:row>
      <xdr:rowOff>160936</xdr:rowOff>
    </xdr:to>
    <xdr:sp macro="" textlink="">
      <xdr:nvSpPr>
        <xdr:cNvPr id="119" name="TextBox 118"/>
        <xdr:cNvSpPr txBox="1"/>
      </xdr:nvSpPr>
      <xdr:spPr>
        <a:xfrm rot="2197289">
          <a:off x="2958434" y="59135848"/>
          <a:ext cx="1086230" cy="299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0000CC"/>
              </a:solidFill>
            </a:rPr>
            <a:t>Building No.2</a:t>
          </a:r>
        </a:p>
      </xdr:txBody>
    </xdr:sp>
    <xdr:clientData/>
  </xdr:twoCellAnchor>
  <xdr:twoCellAnchor editAs="oneCell">
    <xdr:from>
      <xdr:col>0</xdr:col>
      <xdr:colOff>371473</xdr:colOff>
      <xdr:row>247</xdr:row>
      <xdr:rowOff>123825</xdr:rowOff>
    </xdr:from>
    <xdr:to>
      <xdr:col>7</xdr:col>
      <xdr:colOff>304509</xdr:colOff>
      <xdr:row>263</xdr:row>
      <xdr:rowOff>53519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3" y="52837896"/>
          <a:ext cx="5580000" cy="3195409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532839</xdr:colOff>
      <xdr:row>204</xdr:row>
      <xdr:rowOff>191036</xdr:rowOff>
    </xdr:from>
    <xdr:to>
      <xdr:col>7</xdr:col>
      <xdr:colOff>237563</xdr:colOff>
      <xdr:row>238</xdr:row>
      <xdr:rowOff>36419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839" y="45933448"/>
          <a:ext cx="5800724" cy="6703383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2</xdr:col>
      <xdr:colOff>434403</xdr:colOff>
      <xdr:row>208</xdr:row>
      <xdr:rowOff>50566</xdr:rowOff>
    </xdr:from>
    <xdr:to>
      <xdr:col>3</xdr:col>
      <xdr:colOff>691578</xdr:colOff>
      <xdr:row>209</xdr:row>
      <xdr:rowOff>101279</xdr:rowOff>
    </xdr:to>
    <xdr:sp macro="" textlink="">
      <xdr:nvSpPr>
        <xdr:cNvPr id="152" name="TextBox 151"/>
        <xdr:cNvSpPr txBox="1"/>
      </xdr:nvSpPr>
      <xdr:spPr>
        <a:xfrm rot="1304406" flipH="1">
          <a:off x="1920303" y="43903666"/>
          <a:ext cx="1104900" cy="25073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>
              <a:ln>
                <a:solidFill>
                  <a:srgbClr val="0000CC"/>
                </a:solidFill>
              </a:ln>
              <a:solidFill>
                <a:srgbClr val="FFFF00"/>
              </a:solidFill>
            </a:rPr>
            <a:t>Buildning</a:t>
          </a:r>
          <a:r>
            <a:rPr lang="en-IN" sz="1100" baseline="0">
              <a:ln>
                <a:solidFill>
                  <a:srgbClr val="0000CC"/>
                </a:solidFill>
              </a:ln>
              <a:solidFill>
                <a:srgbClr val="FFFF00"/>
              </a:solidFill>
            </a:rPr>
            <a:t> No. 2</a:t>
          </a:r>
          <a:endParaRPr lang="en-IN" sz="1100">
            <a:ln>
              <a:solidFill>
                <a:srgbClr val="0000CC"/>
              </a:solidFill>
            </a:ln>
            <a:solidFill>
              <a:srgbClr val="FFFF00"/>
            </a:solidFill>
          </a:endParaRPr>
        </a:p>
      </xdr:txBody>
    </xdr:sp>
    <xdr:clientData/>
  </xdr:twoCellAnchor>
  <xdr:twoCellAnchor>
    <xdr:from>
      <xdr:col>4</xdr:col>
      <xdr:colOff>142876</xdr:colOff>
      <xdr:row>214</xdr:row>
      <xdr:rowOff>180975</xdr:rowOff>
    </xdr:from>
    <xdr:to>
      <xdr:col>5</xdr:col>
      <xdr:colOff>371476</xdr:colOff>
      <xdr:row>216</xdr:row>
      <xdr:rowOff>38100</xdr:rowOff>
    </xdr:to>
    <xdr:sp macro="" textlink="">
      <xdr:nvSpPr>
        <xdr:cNvPr id="153" name="TextBox 152"/>
        <xdr:cNvSpPr txBox="1"/>
      </xdr:nvSpPr>
      <xdr:spPr>
        <a:xfrm rot="12281524" flipH="1" flipV="1">
          <a:off x="3667126" y="47253525"/>
          <a:ext cx="1219200" cy="2571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>
              <a:ln>
                <a:solidFill>
                  <a:srgbClr val="0000CC"/>
                </a:solidFill>
              </a:ln>
              <a:solidFill>
                <a:srgbClr val="FFFF00"/>
              </a:solidFill>
            </a:rPr>
            <a:t>Building No.1</a:t>
          </a:r>
        </a:p>
      </xdr:txBody>
    </xdr:sp>
    <xdr:clientData/>
  </xdr:twoCellAnchor>
  <xdr:twoCellAnchor>
    <xdr:from>
      <xdr:col>13</xdr:col>
      <xdr:colOff>736600</xdr:colOff>
      <xdr:row>161</xdr:row>
      <xdr:rowOff>155575</xdr:rowOff>
    </xdr:from>
    <xdr:to>
      <xdr:col>15</xdr:col>
      <xdr:colOff>403673</xdr:colOff>
      <xdr:row>163</xdr:row>
      <xdr:rowOff>132841</xdr:rowOff>
    </xdr:to>
    <xdr:sp macro="" textlink="">
      <xdr:nvSpPr>
        <xdr:cNvPr id="81" name="TextBox 204"/>
        <xdr:cNvSpPr txBox="1"/>
      </xdr:nvSpPr>
      <xdr:spPr>
        <a:xfrm>
          <a:off x="11223625" y="34216975"/>
          <a:ext cx="1162498" cy="3773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 2</a:t>
          </a:r>
          <a:endParaRPr lang="en-IN" b="0" cap="none" spc="0">
            <a:ln w="0"/>
            <a:solidFill>
              <a:sysClr val="windowText" lastClr="00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123825</xdr:colOff>
      <xdr:row>163</xdr:row>
      <xdr:rowOff>101600</xdr:rowOff>
    </xdr:from>
    <xdr:to>
      <xdr:col>10</xdr:col>
      <xdr:colOff>530673</xdr:colOff>
      <xdr:row>165</xdr:row>
      <xdr:rowOff>88391</xdr:rowOff>
    </xdr:to>
    <xdr:sp macro="" textlink="">
      <xdr:nvSpPr>
        <xdr:cNvPr id="82" name="TextBox 204"/>
        <xdr:cNvSpPr txBox="1"/>
      </xdr:nvSpPr>
      <xdr:spPr>
        <a:xfrm>
          <a:off x="7648575" y="34563050"/>
          <a:ext cx="1168848" cy="3773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 1</a:t>
          </a:r>
          <a:endParaRPr lang="en-IN" b="0" cap="none" spc="0">
            <a:ln w="0"/>
            <a:solidFill>
              <a:sysClr val="windowText" lastClr="00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0</xdr:col>
      <xdr:colOff>333375</xdr:colOff>
      <xdr:row>161</xdr:row>
      <xdr:rowOff>85725</xdr:rowOff>
    </xdr:from>
    <xdr:to>
      <xdr:col>7</xdr:col>
      <xdr:colOff>254058</xdr:colOff>
      <xdr:row>202</xdr:row>
      <xdr:rowOff>83550</xdr:rowOff>
    </xdr:to>
    <xdr:grpSp>
      <xdr:nvGrpSpPr>
        <xdr:cNvPr id="5" name="Group 4"/>
        <xdr:cNvGrpSpPr/>
      </xdr:nvGrpSpPr>
      <xdr:grpSpPr>
        <a:xfrm>
          <a:off x="333375" y="34185225"/>
          <a:ext cx="5578533" cy="8189325"/>
          <a:chOff x="333375" y="34147125"/>
          <a:chExt cx="5578533" cy="8189325"/>
        </a:xfrm>
      </xdr:grpSpPr>
      <xdr:grpSp>
        <xdr:nvGrpSpPr>
          <xdr:cNvPr id="4" name="Group 3"/>
          <xdr:cNvGrpSpPr/>
        </xdr:nvGrpSpPr>
        <xdr:grpSpPr>
          <a:xfrm>
            <a:off x="333375" y="34147125"/>
            <a:ext cx="5578533" cy="8189325"/>
            <a:chOff x="333375" y="34147125"/>
            <a:chExt cx="5578533" cy="8189325"/>
          </a:xfrm>
        </xdr:grpSpPr>
        <xdr:pic>
          <xdr:nvPicPr>
            <xdr:cNvPr id="74" name="Picture 73" descr="https://vsjcllp.vsjadon.com/upload/insp-240019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24125" y="40671016"/>
              <a:ext cx="1247775" cy="166543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6" name="Picture 75" descr="https://vsjcllp.vsjadon.com/upload/insp-240019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57375" y="38660386"/>
              <a:ext cx="2535086" cy="19028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7" name="Picture 76" descr="https://vsjcllp.vsjadon.com/upload/insp-240019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86275" y="38671499"/>
              <a:ext cx="1425633" cy="19028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8" name="Picture 77" descr="https://vsjcllp.vsjadon.com/upload/insp-240019-86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19125" y="34147125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3" name="Picture 82" descr="https://vsjcllp.vsjadon.com/upload/insp-240019-86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19125" y="36404550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4" name="Picture 83" descr="https://vsjcllp.vsjadon.com/upload/insp-240019-86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43150" y="36404550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5" name="Picture 84" descr="https://vsjcllp.vsjadon.com/upload/insp-240019-87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3375" y="38661974"/>
              <a:ext cx="1425633" cy="19028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7" name="Picture 86" descr="https://vsjcllp.vsjadon.com/upload/insp-240019-102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33625" y="34147125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8" name="Picture 87" descr="https://vsjcllp.vsjadon.com/upload/insp-240019-916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67175" y="36404550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9" name="Picture 88" descr="https://vsjcllp.vsjadon.com/upload/insp-240019-928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48125" y="34147125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90" name="TextBox 204"/>
          <xdr:cNvSpPr txBox="1"/>
        </xdr:nvSpPr>
        <xdr:spPr>
          <a:xfrm>
            <a:off x="685800" y="34185225"/>
            <a:ext cx="1168848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 1</a:t>
            </a:r>
            <a:endPara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91" name="TextBox 204"/>
          <xdr:cNvSpPr txBox="1"/>
        </xdr:nvSpPr>
        <xdr:spPr>
          <a:xfrm>
            <a:off x="3028950" y="34156650"/>
            <a:ext cx="1168848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 2</a:t>
            </a:r>
            <a:endPara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www.proptiger.com/mumbai/kalyan-west/jagani-developers-flower-valley-2055323" TargetMode="External"/><Relationship Id="rId1" Type="http://schemas.openxmlformats.org/officeDocument/2006/relationships/hyperlink" Target="https://goo.gl/maps/QpZHa4oQNJLzr2So6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47"/>
  <sheetViews>
    <sheetView tabSelected="1" view="pageBreakPreview" zoomScaleNormal="100" zoomScaleSheetLayoutView="100" zoomScalePageLayoutView="85" workbookViewId="0">
      <selection activeCell="K11" sqref="K11"/>
    </sheetView>
  </sheetViews>
  <sheetFormatPr defaultColWidth="9.140625" defaultRowHeight="15.75" x14ac:dyDescent="0.25"/>
  <cols>
    <col min="1" max="1" width="11.42578125" style="39" customWidth="1"/>
    <col min="2" max="2" width="10.85546875" style="39" customWidth="1"/>
    <col min="3" max="3" width="12.7109375" style="39" customWidth="1"/>
    <col min="4" max="4" width="14.140625" style="39" customWidth="1"/>
    <col min="5" max="5" width="12.5703125" style="39" customWidth="1"/>
    <col min="6" max="6" width="11.7109375" style="39" customWidth="1"/>
    <col min="7" max="7" width="11.42578125" style="39" customWidth="1"/>
    <col min="8" max="8" width="10.5703125" style="39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26" ht="46.5" customHeight="1" x14ac:dyDescent="0.25">
      <c r="A1" s="196" t="s">
        <v>268</v>
      </c>
      <c r="B1" s="196"/>
      <c r="C1" s="196"/>
      <c r="D1" s="196"/>
      <c r="E1" s="196"/>
      <c r="F1" s="196"/>
      <c r="G1" s="196"/>
      <c r="H1" s="196"/>
    </row>
    <row r="2" spans="1:26" ht="16.5" customHeight="1" x14ac:dyDescent="0.25">
      <c r="A2" s="129" t="s">
        <v>0</v>
      </c>
      <c r="B2" s="129"/>
      <c r="C2" s="129"/>
      <c r="D2" s="129"/>
      <c r="E2" s="129"/>
      <c r="F2" s="129"/>
      <c r="G2" s="129"/>
      <c r="H2" s="129"/>
    </row>
    <row r="3" spans="1:26" x14ac:dyDescent="0.25">
      <c r="A3" s="184" t="s">
        <v>1</v>
      </c>
      <c r="B3" s="184"/>
      <c r="C3" s="184"/>
      <c r="D3" s="184"/>
      <c r="E3" s="184" t="str">
        <f ca="1">TEXT(TODAY(),"DD/MM/YYYY")</f>
        <v>11/07/2025</v>
      </c>
      <c r="F3" s="184"/>
      <c r="G3" s="184"/>
      <c r="H3" s="184"/>
    </row>
    <row r="4" spans="1:26" ht="15" customHeight="1" x14ac:dyDescent="0.25">
      <c r="A4" s="184" t="s">
        <v>2</v>
      </c>
      <c r="B4" s="184"/>
      <c r="C4" s="184"/>
      <c r="D4" s="184"/>
      <c r="E4" s="162" t="s">
        <v>226</v>
      </c>
      <c r="F4" s="162"/>
      <c r="G4" s="162"/>
      <c r="H4" s="162"/>
    </row>
    <row r="5" spans="1:26" x14ac:dyDescent="0.25">
      <c r="A5" s="184" t="s">
        <v>3</v>
      </c>
      <c r="B5" s="184"/>
      <c r="C5" s="184"/>
      <c r="D5" s="184"/>
      <c r="E5" s="197">
        <v>45848</v>
      </c>
      <c r="F5" s="184"/>
      <c r="G5" s="184"/>
      <c r="H5" s="184"/>
    </row>
    <row r="6" spans="1:26" ht="16.5" customHeight="1" x14ac:dyDescent="0.25">
      <c r="A6" s="184" t="s">
        <v>4</v>
      </c>
      <c r="B6" s="184"/>
      <c r="C6" s="184"/>
      <c r="D6" s="184"/>
      <c r="E6" s="184" t="s">
        <v>227</v>
      </c>
      <c r="F6" s="184"/>
      <c r="G6" s="184"/>
      <c r="H6" s="184"/>
    </row>
    <row r="7" spans="1:26" ht="15" customHeight="1" x14ac:dyDescent="0.25">
      <c r="A7" s="184" t="s">
        <v>5</v>
      </c>
      <c r="B7" s="184"/>
      <c r="C7" s="184"/>
      <c r="D7" s="184"/>
      <c r="E7" s="184" t="str">
        <f>E6</f>
        <v xml:space="preserve">Jagani developers </v>
      </c>
      <c r="F7" s="184"/>
      <c r="G7" s="184"/>
      <c r="H7" s="184"/>
    </row>
    <row r="8" spans="1:26" x14ac:dyDescent="0.25">
      <c r="A8" s="184" t="s">
        <v>6</v>
      </c>
      <c r="B8" s="184"/>
      <c r="C8" s="184"/>
      <c r="D8" s="184"/>
      <c r="E8" s="103" t="s">
        <v>228</v>
      </c>
      <c r="F8" s="103"/>
      <c r="G8" s="103"/>
      <c r="H8" s="103"/>
    </row>
    <row r="9" spans="1:26" x14ac:dyDescent="0.25">
      <c r="A9" s="184" t="s">
        <v>165</v>
      </c>
      <c r="B9" s="184"/>
      <c r="C9" s="184"/>
      <c r="D9" s="184"/>
      <c r="E9" s="165" t="s">
        <v>245</v>
      </c>
      <c r="F9" s="184"/>
      <c r="G9" s="184"/>
      <c r="H9" s="184"/>
    </row>
    <row r="10" spans="1:26" x14ac:dyDescent="0.25">
      <c r="A10" s="184" t="s">
        <v>166</v>
      </c>
      <c r="B10" s="184"/>
      <c r="C10" s="184"/>
      <c r="D10" s="184"/>
      <c r="E10" s="184" t="s">
        <v>282</v>
      </c>
      <c r="F10" s="184"/>
      <c r="G10" s="184"/>
      <c r="H10" s="184"/>
    </row>
    <row r="11" spans="1:26" x14ac:dyDescent="0.25">
      <c r="A11" s="184" t="s">
        <v>7</v>
      </c>
      <c r="B11" s="184"/>
      <c r="C11" s="184"/>
      <c r="D11" s="184"/>
      <c r="E11" s="184" t="s">
        <v>231</v>
      </c>
      <c r="F11" s="184"/>
      <c r="G11" s="184"/>
      <c r="H11" s="184"/>
    </row>
    <row r="12" spans="1:26" hidden="1" x14ac:dyDescent="0.25">
      <c r="A12" s="184" t="s">
        <v>168</v>
      </c>
      <c r="B12" s="184"/>
      <c r="C12" s="184"/>
      <c r="D12" s="184"/>
      <c r="E12" s="184" t="s">
        <v>29</v>
      </c>
      <c r="F12" s="184"/>
      <c r="G12" s="184"/>
      <c r="H12" s="184"/>
      <c r="S12" s="55" t="s">
        <v>173</v>
      </c>
      <c r="T12" s="55" t="s">
        <v>183</v>
      </c>
      <c r="U12" s="55" t="s">
        <v>169</v>
      </c>
      <c r="V12" s="55" t="s">
        <v>188</v>
      </c>
      <c r="W12" s="55" t="s">
        <v>206</v>
      </c>
      <c r="X12"/>
      <c r="Y12" t="s">
        <v>188</v>
      </c>
      <c r="Z12" t="e">
        <f ca="1">OFFSET($S$12,1,MATCH($G19,$S$12:$W$12,0)-1,15,1)</f>
        <v>#VALUE!</v>
      </c>
    </row>
    <row r="13" spans="1:26" x14ac:dyDescent="0.25">
      <c r="A13" s="101" t="s">
        <v>8</v>
      </c>
      <c r="B13" s="101"/>
      <c r="C13" s="101"/>
      <c r="D13" s="101"/>
      <c r="E13" s="194" t="s">
        <v>275</v>
      </c>
      <c r="F13" s="194"/>
      <c r="G13" s="194"/>
      <c r="H13" s="194"/>
      <c r="S13" s="55" t="s">
        <v>174</v>
      </c>
      <c r="T13" s="55" t="s">
        <v>181</v>
      </c>
      <c r="U13" s="55" t="s">
        <v>203</v>
      </c>
      <c r="V13" s="55" t="s">
        <v>189</v>
      </c>
      <c r="W13" s="55" t="s">
        <v>207</v>
      </c>
      <c r="X13"/>
      <c r="Y13"/>
      <c r="Z13"/>
    </row>
    <row r="14" spans="1:26" x14ac:dyDescent="0.25">
      <c r="A14" s="101" t="s">
        <v>9</v>
      </c>
      <c r="B14" s="101"/>
      <c r="C14" s="101"/>
      <c r="D14" s="101"/>
      <c r="E14" s="165" t="s">
        <v>248</v>
      </c>
      <c r="F14" s="184"/>
      <c r="G14" s="184"/>
      <c r="H14" s="184"/>
      <c r="I14" s="218" t="e">
        <f ca="1">OFFSET($D$4,1,MATCH($J12,$D$4:$H$4,0)-1,15,1)</f>
        <v>#N/A</v>
      </c>
      <c r="J14" s="219"/>
      <c r="K14" s="219"/>
      <c r="L14" s="219"/>
      <c r="M14" s="219"/>
      <c r="N14" s="219"/>
      <c r="O14" s="219"/>
      <c r="P14" s="219"/>
      <c r="S14" s="55" t="s">
        <v>175</v>
      </c>
      <c r="T14" s="55" t="s">
        <v>182</v>
      </c>
      <c r="U14" s="55" t="s">
        <v>204</v>
      </c>
      <c r="V14" s="55" t="s">
        <v>190</v>
      </c>
      <c r="W14" s="55" t="s">
        <v>220</v>
      </c>
      <c r="X14"/>
      <c r="Y14"/>
      <c r="Z14"/>
    </row>
    <row r="15" spans="1:26" ht="50.25" customHeight="1" x14ac:dyDescent="0.25">
      <c r="A15" s="175" t="s">
        <v>10</v>
      </c>
      <c r="B15" s="175"/>
      <c r="C15" s="17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Flower Valley, Survey No.10 Hissa No.3, S. No.15 Hissa No.1/A &amp; S. No.15 Hissa No.12, near Sai Krupa Apartment, Old Grampanchayat Road, Vasudev Patil Nagar, Kongaon, Kalyan West, Bhiwandi, Thane  - 421311.</v>
      </c>
      <c r="D15" s="175"/>
      <c r="E15" s="175"/>
      <c r="F15" s="175"/>
      <c r="G15" s="175"/>
      <c r="H15" s="175"/>
      <c r="S15" s="55" t="s">
        <v>176</v>
      </c>
      <c r="T15" s="55" t="s">
        <v>184</v>
      </c>
      <c r="U15" s="55" t="s">
        <v>205</v>
      </c>
      <c r="V15" s="55" t="s">
        <v>191</v>
      </c>
      <c r="W15" s="55" t="s">
        <v>208</v>
      </c>
      <c r="X15"/>
      <c r="Y15"/>
      <c r="Z15"/>
    </row>
    <row r="16" spans="1:26" x14ac:dyDescent="0.25">
      <c r="A16" s="194" t="s">
        <v>229</v>
      </c>
      <c r="B16" s="194"/>
      <c r="C16" s="194" t="s">
        <v>246</v>
      </c>
      <c r="D16" s="194"/>
      <c r="E16" s="194"/>
      <c r="F16" s="194"/>
      <c r="G16" s="194"/>
      <c r="H16" s="194"/>
      <c r="S16" s="55" t="s">
        <v>177</v>
      </c>
      <c r="T16" s="55" t="s">
        <v>185</v>
      </c>
      <c r="U16" s="55"/>
      <c r="V16" s="55" t="s">
        <v>192</v>
      </c>
      <c r="W16" s="55" t="s">
        <v>209</v>
      </c>
      <c r="X16"/>
      <c r="Y16"/>
      <c r="Z16"/>
    </row>
    <row r="17" spans="1:26" ht="15.75" customHeight="1" x14ac:dyDescent="0.25">
      <c r="A17" s="165" t="s">
        <v>161</v>
      </c>
      <c r="B17" s="165"/>
      <c r="C17" s="165" t="s">
        <v>233</v>
      </c>
      <c r="D17" s="165"/>
      <c r="E17" s="165"/>
      <c r="F17" s="165"/>
      <c r="G17" s="165"/>
      <c r="H17" s="165"/>
      <c r="S17" s="55" t="s">
        <v>178</v>
      </c>
      <c r="T17" s="55" t="s">
        <v>183</v>
      </c>
      <c r="U17" s="55"/>
      <c r="V17" s="55" t="s">
        <v>193</v>
      </c>
      <c r="W17" s="55" t="s">
        <v>210</v>
      </c>
      <c r="X17"/>
      <c r="Y17"/>
      <c r="Z17"/>
    </row>
    <row r="18" spans="1:26" ht="15.75" customHeight="1" x14ac:dyDescent="0.25">
      <c r="A18" s="175" t="s">
        <v>11</v>
      </c>
      <c r="B18" s="175"/>
      <c r="C18" s="184" t="s">
        <v>276</v>
      </c>
      <c r="D18" s="184"/>
      <c r="E18" s="175" t="s">
        <v>73</v>
      </c>
      <c r="F18" s="175"/>
      <c r="G18" s="165" t="s">
        <v>230</v>
      </c>
      <c r="H18" s="165"/>
      <c r="S18" s="55" t="s">
        <v>179</v>
      </c>
      <c r="T18" s="55" t="s">
        <v>186</v>
      </c>
      <c r="U18" s="55"/>
      <c r="V18" s="55" t="s">
        <v>194</v>
      </c>
      <c r="W18" s="55" t="s">
        <v>211</v>
      </c>
      <c r="X18"/>
      <c r="Y18"/>
      <c r="Z18"/>
    </row>
    <row r="19" spans="1:26" x14ac:dyDescent="0.25">
      <c r="A19" s="101" t="s">
        <v>13</v>
      </c>
      <c r="B19" s="101"/>
      <c r="C19" s="194" t="s">
        <v>234</v>
      </c>
      <c r="D19" s="194"/>
      <c r="E19" s="194" t="s">
        <v>12</v>
      </c>
      <c r="F19" s="194"/>
      <c r="G19" s="195" t="s">
        <v>173</v>
      </c>
      <c r="H19" s="195"/>
      <c r="S19" s="55" t="s">
        <v>180</v>
      </c>
      <c r="T19" s="55" t="s">
        <v>187</v>
      </c>
      <c r="U19" s="55"/>
      <c r="V19" s="55" t="s">
        <v>195</v>
      </c>
      <c r="W19" s="55" t="s">
        <v>212</v>
      </c>
      <c r="X19"/>
      <c r="Y19"/>
      <c r="Z19"/>
    </row>
    <row r="20" spans="1:26" x14ac:dyDescent="0.25">
      <c r="A20" s="101" t="s">
        <v>74</v>
      </c>
      <c r="B20" s="101"/>
      <c r="C20" s="194" t="s">
        <v>177</v>
      </c>
      <c r="D20" s="194"/>
      <c r="E20" s="194" t="s">
        <v>14</v>
      </c>
      <c r="F20" s="194"/>
      <c r="G20" s="194">
        <v>421311</v>
      </c>
      <c r="H20" s="194"/>
      <c r="S20" s="55"/>
      <c r="T20" s="55"/>
      <c r="U20" s="55"/>
      <c r="V20" s="55" t="s">
        <v>196</v>
      </c>
      <c r="W20" s="55" t="s">
        <v>213</v>
      </c>
      <c r="X20"/>
      <c r="Y20"/>
      <c r="Z20"/>
    </row>
    <row r="21" spans="1:26" ht="36.75" customHeight="1" x14ac:dyDescent="0.25">
      <c r="A21" s="101" t="s">
        <v>120</v>
      </c>
      <c r="B21" s="101"/>
      <c r="C21" s="194" t="s">
        <v>247</v>
      </c>
      <c r="D21" s="194"/>
      <c r="E21" s="194" t="s">
        <v>15</v>
      </c>
      <c r="F21" s="194"/>
      <c r="G21" s="194" t="s">
        <v>278</v>
      </c>
      <c r="H21" s="194"/>
      <c r="S21" s="55"/>
      <c r="T21" s="55"/>
      <c r="U21" s="55"/>
      <c r="V21" s="55" t="s">
        <v>197</v>
      </c>
      <c r="W21" s="55" t="s">
        <v>214</v>
      </c>
      <c r="X21"/>
      <c r="Y21"/>
      <c r="Z21"/>
    </row>
    <row r="22" spans="1:26" ht="15" customHeight="1" x14ac:dyDescent="0.25">
      <c r="A22" s="175" t="s">
        <v>75</v>
      </c>
      <c r="B22" s="175"/>
      <c r="C22" s="175"/>
      <c r="D22" s="175"/>
      <c r="E22" s="184" t="s">
        <v>16</v>
      </c>
      <c r="F22" s="184"/>
      <c r="G22" s="184"/>
      <c r="H22" s="184"/>
      <c r="S22" s="55"/>
      <c r="T22" s="55"/>
      <c r="U22" s="55"/>
      <c r="V22" s="55" t="s">
        <v>198</v>
      </c>
      <c r="W22" s="55" t="s">
        <v>215</v>
      </c>
      <c r="X22"/>
      <c r="Y22"/>
      <c r="Z22"/>
    </row>
    <row r="23" spans="1:26" ht="18.75" customHeight="1" x14ac:dyDescent="0.25">
      <c r="A23" s="175"/>
      <c r="B23" s="175"/>
      <c r="C23" s="175"/>
      <c r="D23" s="175"/>
      <c r="E23" s="184"/>
      <c r="F23" s="184"/>
      <c r="G23" s="184"/>
      <c r="H23" s="184"/>
      <c r="S23" s="55"/>
      <c r="T23" s="55"/>
      <c r="U23" s="55"/>
      <c r="V23" s="55" t="s">
        <v>199</v>
      </c>
      <c r="W23" s="55" t="s">
        <v>216</v>
      </c>
      <c r="X23"/>
      <c r="Y23"/>
      <c r="Z23"/>
    </row>
    <row r="24" spans="1:26" ht="15" customHeight="1" x14ac:dyDescent="0.25">
      <c r="A24" s="175" t="s">
        <v>17</v>
      </c>
      <c r="B24" s="175"/>
      <c r="C24" s="175"/>
      <c r="D24" s="175"/>
      <c r="E24" s="165" t="s">
        <v>18</v>
      </c>
      <c r="F24" s="165"/>
      <c r="G24" s="165"/>
      <c r="H24" s="165"/>
      <c r="S24" s="55"/>
      <c r="T24" s="55"/>
      <c r="U24" s="55"/>
      <c r="V24" s="55" t="s">
        <v>200</v>
      </c>
      <c r="W24" s="55" t="s">
        <v>217</v>
      </c>
      <c r="X24"/>
      <c r="Y24"/>
      <c r="Z24"/>
    </row>
    <row r="25" spans="1:26" ht="15" customHeight="1" x14ac:dyDescent="0.25">
      <c r="A25" s="101" t="s">
        <v>19</v>
      </c>
      <c r="B25" s="101"/>
      <c r="C25" s="101"/>
      <c r="D25" s="101"/>
      <c r="E25" s="165" t="str">
        <f>IF(AND(G19="Mumbai"),"Upper Class","Middle Class")</f>
        <v>Middle Class</v>
      </c>
      <c r="F25" s="165"/>
      <c r="G25" s="165"/>
      <c r="H25" s="165"/>
      <c r="S25" s="55"/>
      <c r="T25" s="55"/>
      <c r="U25" s="55"/>
      <c r="V25" s="55" t="s">
        <v>201</v>
      </c>
      <c r="W25" s="55" t="s">
        <v>218</v>
      </c>
      <c r="X25"/>
      <c r="Y25"/>
      <c r="Z25"/>
    </row>
    <row r="26" spans="1:26" x14ac:dyDescent="0.25">
      <c r="A26" s="101" t="s">
        <v>20</v>
      </c>
      <c r="B26" s="101"/>
      <c r="C26" s="101"/>
      <c r="D26" s="101"/>
      <c r="E26" s="165" t="s">
        <v>21</v>
      </c>
      <c r="F26" s="165"/>
      <c r="G26" s="165"/>
      <c r="H26" s="165"/>
      <c r="S26" s="55"/>
      <c r="T26" s="55"/>
      <c r="U26" s="55"/>
      <c r="V26" s="55" t="s">
        <v>202</v>
      </c>
      <c r="W26" s="55" t="s">
        <v>219</v>
      </c>
      <c r="X26"/>
      <c r="Y26"/>
      <c r="Z26"/>
    </row>
    <row r="27" spans="1:26" ht="15.75" customHeight="1" x14ac:dyDescent="0.25">
      <c r="A27" s="101" t="s">
        <v>22</v>
      </c>
      <c r="B27" s="101"/>
      <c r="C27" s="101"/>
      <c r="D27" s="101"/>
      <c r="E27" s="165" t="str">
        <f>IF(AND(G19="Mumbai"),"Developed","Developing")</f>
        <v>Developing</v>
      </c>
      <c r="F27" s="165"/>
      <c r="G27" s="165"/>
      <c r="H27" s="165"/>
    </row>
    <row r="28" spans="1:26" x14ac:dyDescent="0.25">
      <c r="A28" s="101" t="s">
        <v>23</v>
      </c>
      <c r="B28" s="101"/>
      <c r="C28" s="101"/>
      <c r="D28" s="101"/>
      <c r="E28" s="165" t="s">
        <v>24</v>
      </c>
      <c r="F28" s="165"/>
      <c r="G28" s="165"/>
      <c r="H28" s="165"/>
    </row>
    <row r="29" spans="1:26" ht="15.75" customHeight="1" x14ac:dyDescent="0.25">
      <c r="A29" s="101" t="s">
        <v>80</v>
      </c>
      <c r="B29" s="101"/>
      <c r="C29" s="101"/>
      <c r="D29" s="101"/>
      <c r="E29" s="165" t="s">
        <v>81</v>
      </c>
      <c r="F29" s="165"/>
      <c r="G29" s="165"/>
      <c r="H29" s="165"/>
    </row>
    <row r="30" spans="1:26" ht="15" customHeight="1" x14ac:dyDescent="0.25">
      <c r="A30" s="101" t="s">
        <v>32</v>
      </c>
      <c r="B30" s="101"/>
      <c r="C30" s="101"/>
      <c r="D30" s="101"/>
      <c r="E30" s="165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165"/>
      <c r="G30" s="165"/>
      <c r="H30" s="165"/>
    </row>
    <row r="31" spans="1:26" ht="15.75" customHeight="1" x14ac:dyDescent="0.25">
      <c r="A31" s="101" t="s">
        <v>92</v>
      </c>
      <c r="B31" s="101"/>
      <c r="C31" s="101"/>
      <c r="D31" s="101"/>
      <c r="E31" s="165" t="s">
        <v>33</v>
      </c>
      <c r="F31" s="165"/>
      <c r="G31" s="165"/>
      <c r="H31" s="165"/>
    </row>
    <row r="32" spans="1:26" s="21" customFormat="1" x14ac:dyDescent="0.25">
      <c r="A32" s="193" t="s">
        <v>93</v>
      </c>
      <c r="B32" s="193"/>
      <c r="C32" s="187" t="s">
        <v>170</v>
      </c>
      <c r="D32" s="188"/>
      <c r="E32" s="189"/>
      <c r="F32" s="187" t="s">
        <v>30</v>
      </c>
      <c r="G32" s="188"/>
      <c r="H32" s="189"/>
    </row>
    <row r="33" spans="1:9" s="21" customFormat="1" x14ac:dyDescent="0.25">
      <c r="A33" s="185" t="s">
        <v>25</v>
      </c>
      <c r="B33" s="185" t="s">
        <v>29</v>
      </c>
      <c r="C33" s="170" t="s">
        <v>239</v>
      </c>
      <c r="D33" s="171"/>
      <c r="E33" s="172"/>
      <c r="F33" s="170" t="s">
        <v>236</v>
      </c>
      <c r="G33" s="171"/>
      <c r="H33" s="172"/>
    </row>
    <row r="34" spans="1:9" x14ac:dyDescent="0.25">
      <c r="A34" s="185" t="s">
        <v>26</v>
      </c>
      <c r="B34" s="185" t="s">
        <v>29</v>
      </c>
      <c r="C34" s="170" t="s">
        <v>239</v>
      </c>
      <c r="D34" s="171"/>
      <c r="E34" s="172"/>
      <c r="F34" s="170" t="s">
        <v>237</v>
      </c>
      <c r="G34" s="171"/>
      <c r="H34" s="172"/>
    </row>
    <row r="35" spans="1:9" s="21" customFormat="1" ht="33.75" customHeight="1" x14ac:dyDescent="0.25">
      <c r="A35" s="223" t="s">
        <v>28</v>
      </c>
      <c r="B35" s="223" t="s">
        <v>29</v>
      </c>
      <c r="C35" s="176" t="s">
        <v>238</v>
      </c>
      <c r="D35" s="177"/>
      <c r="E35" s="178"/>
      <c r="F35" s="190" t="s">
        <v>269</v>
      </c>
      <c r="G35" s="191"/>
      <c r="H35" s="192"/>
    </row>
    <row r="36" spans="1:9" x14ac:dyDescent="0.25">
      <c r="A36" s="185" t="s">
        <v>27</v>
      </c>
      <c r="B36" s="185" t="s">
        <v>29</v>
      </c>
      <c r="C36" s="170" t="s">
        <v>240</v>
      </c>
      <c r="D36" s="171"/>
      <c r="E36" s="172"/>
      <c r="F36" s="170" t="s">
        <v>235</v>
      </c>
      <c r="G36" s="171"/>
      <c r="H36" s="172"/>
    </row>
    <row r="37" spans="1:9" x14ac:dyDescent="0.25">
      <c r="A37" s="101" t="s">
        <v>31</v>
      </c>
      <c r="B37" s="101"/>
      <c r="C37" s="101"/>
      <c r="D37" s="101"/>
      <c r="E37" s="101"/>
      <c r="F37" s="101"/>
      <c r="G37" s="101"/>
      <c r="H37" s="101"/>
    </row>
    <row r="38" spans="1:9" ht="15.75" customHeight="1" x14ac:dyDescent="0.25">
      <c r="A38" s="173" t="s">
        <v>163</v>
      </c>
      <c r="B38" s="173"/>
      <c r="C38" s="101" t="s">
        <v>267</v>
      </c>
      <c r="D38" s="101"/>
      <c r="E38" s="101"/>
      <c r="F38" s="101"/>
      <c r="G38" s="101"/>
      <c r="H38" s="101"/>
    </row>
    <row r="39" spans="1:9" x14ac:dyDescent="0.25">
      <c r="A39" s="173" t="s">
        <v>160</v>
      </c>
      <c r="B39" s="173"/>
      <c r="C39" s="183" t="s">
        <v>232</v>
      </c>
      <c r="D39" s="165"/>
      <c r="E39" s="165"/>
      <c r="F39" s="165"/>
      <c r="G39" s="165"/>
      <c r="H39" s="165"/>
    </row>
    <row r="40" spans="1:9" x14ac:dyDescent="0.25">
      <c r="A40" s="173" t="s">
        <v>34</v>
      </c>
      <c r="B40" s="173"/>
      <c r="C40" s="173"/>
      <c r="D40" s="173"/>
      <c r="E40" s="173"/>
      <c r="F40" s="173"/>
      <c r="G40" s="173"/>
      <c r="H40" s="173"/>
    </row>
    <row r="41" spans="1:9" x14ac:dyDescent="0.25">
      <c r="A41" s="101" t="s">
        <v>35</v>
      </c>
      <c r="B41" s="101"/>
      <c r="C41" s="101"/>
      <c r="D41" s="101"/>
      <c r="E41" s="186">
        <v>1519.73</v>
      </c>
      <c r="F41" s="186"/>
      <c r="G41" s="186"/>
      <c r="H41" s="186"/>
    </row>
    <row r="42" spans="1:9" x14ac:dyDescent="0.25">
      <c r="A42" s="101" t="s">
        <v>36</v>
      </c>
      <c r="B42" s="101"/>
      <c r="C42" s="101"/>
      <c r="D42" s="101"/>
      <c r="E42" s="168">
        <v>1.1000000000000001</v>
      </c>
      <c r="F42" s="168"/>
      <c r="G42" s="168"/>
      <c r="H42" s="168"/>
      <c r="I42" s="58">
        <f>1671.7/1519.73</f>
        <v>1.0999980259651385</v>
      </c>
    </row>
    <row r="43" spans="1:9" x14ac:dyDescent="0.25">
      <c r="A43" s="101" t="s">
        <v>37</v>
      </c>
      <c r="B43" s="101"/>
      <c r="C43" s="101"/>
      <c r="D43" s="101"/>
      <c r="E43" s="168">
        <f>E45/E41-E42</f>
        <v>0.9368749712119917</v>
      </c>
      <c r="F43" s="168"/>
      <c r="G43" s="168"/>
      <c r="H43" s="168"/>
    </row>
    <row r="44" spans="1:9" x14ac:dyDescent="0.25">
      <c r="A44" s="101" t="s">
        <v>38</v>
      </c>
      <c r="B44" s="101"/>
      <c r="C44" s="101"/>
      <c r="D44" s="101"/>
      <c r="E44" s="168">
        <f>E42+E43</f>
        <v>2.0368749712119918</v>
      </c>
      <c r="F44" s="168"/>
      <c r="G44" s="168"/>
      <c r="H44" s="168"/>
    </row>
    <row r="45" spans="1:9" x14ac:dyDescent="0.25">
      <c r="A45" s="101" t="s">
        <v>91</v>
      </c>
      <c r="B45" s="101"/>
      <c r="C45" s="101"/>
      <c r="D45" s="101"/>
      <c r="E45" s="169">
        <v>3095.5</v>
      </c>
      <c r="F45" s="169"/>
      <c r="G45" s="169"/>
      <c r="H45" s="169"/>
    </row>
    <row r="46" spans="1:9" x14ac:dyDescent="0.25">
      <c r="A46" s="184" t="s">
        <v>39</v>
      </c>
      <c r="B46" s="184"/>
      <c r="C46" s="184"/>
      <c r="D46" s="184"/>
      <c r="E46" s="162" t="s">
        <v>270</v>
      </c>
      <c r="F46" s="162"/>
      <c r="G46" s="162"/>
      <c r="H46" s="162"/>
    </row>
    <row r="47" spans="1:9" x14ac:dyDescent="0.25">
      <c r="A47" s="173" t="s">
        <v>40</v>
      </c>
      <c r="B47" s="173"/>
      <c r="C47" s="173"/>
      <c r="D47" s="173"/>
      <c r="E47" s="173"/>
      <c r="F47" s="173"/>
      <c r="G47" s="173"/>
      <c r="H47" s="173"/>
    </row>
    <row r="48" spans="1:9" ht="33.75" customHeight="1" x14ac:dyDescent="0.25">
      <c r="A48" s="87" t="s">
        <v>149</v>
      </c>
      <c r="B48" s="88"/>
      <c r="C48" s="89" t="s">
        <v>241</v>
      </c>
      <c r="D48" s="90"/>
      <c r="E48" s="90"/>
      <c r="F48" s="90"/>
      <c r="G48" s="90"/>
      <c r="H48" s="91"/>
    </row>
    <row r="49" spans="1:14" ht="30" customHeight="1" x14ac:dyDescent="0.25">
      <c r="A49" s="87" t="s">
        <v>41</v>
      </c>
      <c r="B49" s="88"/>
      <c r="C49" s="87" t="s">
        <v>266</v>
      </c>
      <c r="D49" s="151"/>
      <c r="E49" s="88"/>
      <c r="F49" s="17" t="s">
        <v>42</v>
      </c>
      <c r="G49" s="112">
        <v>44886</v>
      </c>
      <c r="H49" s="88"/>
      <c r="I49" s="58"/>
    </row>
    <row r="50" spans="1:14" ht="35.25" customHeight="1" x14ac:dyDescent="0.25">
      <c r="A50" s="87" t="s">
        <v>43</v>
      </c>
      <c r="B50" s="88"/>
      <c r="C50" s="87" t="str">
        <f>C49</f>
        <v>SROT/BSNA/2501/BP/Kon-66/Rev-CC/1476/2022</v>
      </c>
      <c r="D50" s="151"/>
      <c r="E50" s="88"/>
      <c r="F50" s="17" t="s">
        <v>42</v>
      </c>
      <c r="G50" s="112">
        <f>G49</f>
        <v>44886</v>
      </c>
      <c r="H50" s="88"/>
    </row>
    <row r="51" spans="1:14" s="22" customFormat="1" ht="30" customHeight="1" x14ac:dyDescent="0.25">
      <c r="A51" s="179" t="s">
        <v>153</v>
      </c>
      <c r="B51" s="180"/>
      <c r="C51" s="87" t="str">
        <f>C50</f>
        <v>SROT/BSNA/2501/BP/Kon-66/Rev-CC/1476/2022</v>
      </c>
      <c r="D51" s="151"/>
      <c r="E51" s="88"/>
      <c r="F51" s="17" t="s">
        <v>42</v>
      </c>
      <c r="G51" s="112">
        <f>G50</f>
        <v>44886</v>
      </c>
      <c r="H51" s="88"/>
    </row>
    <row r="52" spans="1:14" s="22" customFormat="1" ht="33.75" customHeight="1" x14ac:dyDescent="0.25">
      <c r="A52" s="181"/>
      <c r="B52" s="182"/>
      <c r="C52" s="87" t="s">
        <v>277</v>
      </c>
      <c r="D52" s="151"/>
      <c r="E52" s="151"/>
      <c r="F52" s="151"/>
      <c r="G52" s="151"/>
      <c r="H52" s="88"/>
    </row>
    <row r="53" spans="1:14" x14ac:dyDescent="0.25">
      <c r="A53" s="220" t="s">
        <v>44</v>
      </c>
      <c r="B53" s="221"/>
      <c r="C53" s="220" t="s">
        <v>105</v>
      </c>
      <c r="D53" s="222"/>
      <c r="E53" s="221"/>
      <c r="F53" s="44" t="s">
        <v>42</v>
      </c>
      <c r="G53" s="163" t="s">
        <v>29</v>
      </c>
      <c r="H53" s="164"/>
    </row>
    <row r="54" spans="1:14" x14ac:dyDescent="0.25">
      <c r="A54" s="174" t="s">
        <v>46</v>
      </c>
      <c r="B54" s="174"/>
      <c r="C54" s="174"/>
      <c r="D54" s="174"/>
      <c r="E54" s="174"/>
      <c r="F54" s="174"/>
      <c r="G54" s="174"/>
      <c r="H54" s="174"/>
    </row>
    <row r="55" spans="1:14" x14ac:dyDescent="0.25">
      <c r="A55" s="175" t="s">
        <v>90</v>
      </c>
      <c r="B55" s="175"/>
      <c r="C55" s="175"/>
      <c r="D55" s="101">
        <f>E45</f>
        <v>3095.5</v>
      </c>
      <c r="E55" s="101"/>
      <c r="F55" s="101"/>
      <c r="G55" s="101"/>
      <c r="H55" s="101"/>
    </row>
    <row r="56" spans="1:14" x14ac:dyDescent="0.25">
      <c r="A56" s="165" t="s">
        <v>47</v>
      </c>
      <c r="B56" s="184"/>
      <c r="C56" s="184"/>
      <c r="D56" s="162" t="s">
        <v>263</v>
      </c>
      <c r="E56" s="162"/>
      <c r="F56" s="162"/>
      <c r="G56" s="162"/>
      <c r="H56" s="162"/>
      <c r="I56" s="23"/>
    </row>
    <row r="57" spans="1:14" ht="31.5" customHeight="1" x14ac:dyDescent="0.25">
      <c r="A57" s="109" t="s">
        <v>48</v>
      </c>
      <c r="B57" s="110"/>
      <c r="C57" s="111"/>
      <c r="D57" s="107" t="s">
        <v>260</v>
      </c>
      <c r="E57" s="108"/>
      <c r="F57" s="108"/>
      <c r="G57" s="108"/>
      <c r="H57" s="108"/>
    </row>
    <row r="58" spans="1:14" ht="15.75" customHeight="1" x14ac:dyDescent="0.25">
      <c r="A58" s="109" t="s">
        <v>88</v>
      </c>
      <c r="B58" s="110"/>
      <c r="C58" s="110"/>
      <c r="D58" s="162" t="s">
        <v>261</v>
      </c>
      <c r="E58" s="162"/>
      <c r="F58" s="162"/>
      <c r="G58" s="162"/>
      <c r="H58" s="162"/>
    </row>
    <row r="59" spans="1:14" ht="15.75" customHeight="1" x14ac:dyDescent="0.25">
      <c r="A59" s="227"/>
      <c r="B59" s="228"/>
      <c r="C59" s="228"/>
      <c r="D59" s="162" t="s">
        <v>262</v>
      </c>
      <c r="E59" s="162"/>
      <c r="F59" s="162"/>
      <c r="G59" s="162"/>
      <c r="H59" s="162"/>
    </row>
    <row r="60" spans="1:14" ht="15.75" customHeight="1" x14ac:dyDescent="0.25">
      <c r="A60" s="101" t="s">
        <v>45</v>
      </c>
      <c r="B60" s="101"/>
      <c r="C60" s="101"/>
      <c r="D60" s="166" t="s">
        <v>281</v>
      </c>
      <c r="E60" s="166"/>
      <c r="F60" s="166"/>
      <c r="G60" s="166"/>
      <c r="H60" s="166"/>
      <c r="J60" s="24"/>
      <c r="K60" s="23"/>
      <c r="N60" s="23"/>
    </row>
    <row r="61" spans="1:14" ht="15.75" customHeight="1" x14ac:dyDescent="0.25">
      <c r="A61" s="101" t="s">
        <v>86</v>
      </c>
      <c r="B61" s="101"/>
      <c r="C61" s="101"/>
      <c r="D61" s="167" t="str">
        <f>(IF(G53="NA","60 Years After Completion",IF(G53&lt;&gt;"NA",""&amp;60-ROUNDDOWN((E3-G53)/360,0)&amp;" Years"," ")))</f>
        <v>60 Years After Completion</v>
      </c>
      <c r="E61" s="167"/>
      <c r="F61" s="167"/>
      <c r="G61" s="167"/>
      <c r="H61" s="167"/>
      <c r="N61" s="23"/>
    </row>
    <row r="62" spans="1:14" ht="15.75" customHeight="1" x14ac:dyDescent="0.25">
      <c r="A62" s="101" t="s">
        <v>87</v>
      </c>
      <c r="B62" s="101"/>
      <c r="C62" s="101"/>
      <c r="D62" s="175" t="s">
        <v>24</v>
      </c>
      <c r="E62" s="175"/>
      <c r="F62" s="175"/>
      <c r="G62" s="175"/>
      <c r="H62" s="175"/>
      <c r="J62" s="25"/>
      <c r="K62" s="25"/>
    </row>
    <row r="63" spans="1:14" ht="63" customHeight="1" x14ac:dyDescent="0.25">
      <c r="A63" s="162" t="s">
        <v>242</v>
      </c>
      <c r="B63" s="162"/>
      <c r="C63" s="162"/>
      <c r="D63" s="199" t="s">
        <v>243</v>
      </c>
      <c r="E63" s="199"/>
      <c r="F63" s="199"/>
      <c r="G63" s="199"/>
      <c r="H63" s="199"/>
      <c r="I63" s="59" t="s">
        <v>244</v>
      </c>
    </row>
    <row r="64" spans="1:14" x14ac:dyDescent="0.25">
      <c r="A64" s="175" t="s">
        <v>146</v>
      </c>
      <c r="B64" s="175"/>
      <c r="C64" s="175"/>
      <c r="D64" s="175" t="s">
        <v>29</v>
      </c>
      <c r="E64" s="175"/>
      <c r="F64" s="175"/>
      <c r="G64" s="175"/>
      <c r="H64" s="175"/>
      <c r="I64" s="26"/>
      <c r="J64" s="26"/>
      <c r="K64" s="26"/>
      <c r="L64" s="26"/>
      <c r="M64" s="26"/>
      <c r="N64" s="26"/>
    </row>
    <row r="65" spans="1:10" ht="15.75" customHeight="1" x14ac:dyDescent="0.25">
      <c r="A65" s="101" t="s">
        <v>85</v>
      </c>
      <c r="B65" s="101"/>
      <c r="C65" s="101"/>
      <c r="D65" s="165" t="str">
        <f ca="1">(IF(G71&gt;95%,"Nothing",IF(G71&gt;0%,"Cement, Aggregate, Steel, etc",IF(G71=0%,"Work not yet Started"))))</f>
        <v>Cement, Aggregate, Steel, etc</v>
      </c>
      <c r="E65" s="165"/>
      <c r="F65" s="165"/>
      <c r="G65" s="165"/>
      <c r="H65" s="165"/>
      <c r="J65" s="25"/>
    </row>
    <row r="66" spans="1:10" ht="33.75" customHeight="1" thickBot="1" x14ac:dyDescent="0.3">
      <c r="A66" s="175" t="s">
        <v>118</v>
      </c>
      <c r="B66" s="175"/>
      <c r="C66" s="175"/>
      <c r="D66" s="165" t="str">
        <f ca="1">(IF(D65="Nothing","Yes",IF(D65="Cement, Aggregate, Steel, etc","Under Construction",IF(D65="Work not yet Started","Work not yet Started"))))</f>
        <v>Under Construction</v>
      </c>
      <c r="E66" s="165"/>
      <c r="F66" s="165" t="str">
        <f ca="1">(IF(D65="Nothing","Yes",IF(D65="Cement, Aggregate, Steel, etc","Under Construction",IF(D65="Work not yet Started","Work not yet Started"))))</f>
        <v>Under Construction</v>
      </c>
      <c r="G66" s="165"/>
      <c r="H66" s="165"/>
    </row>
    <row r="67" spans="1:10" ht="15.75" customHeight="1" x14ac:dyDescent="0.25">
      <c r="A67" s="198" t="s">
        <v>138</v>
      </c>
      <c r="B67" s="198"/>
      <c r="C67" s="198" t="str">
        <f>D58</f>
        <v>Building No.1 = Gr/Stilt+ 1st to 7th Floor</v>
      </c>
      <c r="D67" s="198"/>
      <c r="E67" s="198"/>
      <c r="F67" s="198"/>
      <c r="G67" s="198"/>
      <c r="H67" s="198"/>
      <c r="I67" s="80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 Completed, External Plaster upto 6 Floor, Flooring upto 3 Floor Completed</v>
      </c>
      <c r="J67" s="49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External Plaster upto 6 Floor, Flooring upto 3 Floor</v>
      </c>
    </row>
    <row r="68" spans="1:10" x14ac:dyDescent="0.25">
      <c r="A68" s="52" t="s">
        <v>140</v>
      </c>
      <c r="B68" s="52">
        <f>IF(AND(ISNUMBER(SEARCH("1B",C67))),1,IF(AND(ISNUMBER(SEARCH("2B",C67))),2,IF(AND(ISNUMBER(SEARCH("3B",C67))),3,IF(AND(ISNUMBER(SEARCH("4B",C67))),4,IF(ISNUMBER(SEARCH("5B",C67)),5,0)))))</f>
        <v>0</v>
      </c>
      <c r="C68" s="52" t="s">
        <v>72</v>
      </c>
      <c r="D68" s="52">
        <v>1</v>
      </c>
      <c r="E68" s="52" t="s">
        <v>71</v>
      </c>
      <c r="F68" s="65">
        <v>0</v>
      </c>
      <c r="G68" s="47" t="s">
        <v>79</v>
      </c>
      <c r="H68" s="52">
        <f ca="1">--TRIM(RIGHT(SUBSTITUTE(LEFT(C67,_xlfn.AGGREGATE(16,6,FIND({0,1,2,3,4,5,6,7,8,9},C67,ROW(INDIRECT("1:"&amp;LEN(C67)))),1))," ",REPT(" ",LEN(C67))),LEN(C67)))</f>
        <v>7</v>
      </c>
      <c r="I68" s="81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</v>
      </c>
      <c r="J68" s="51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1.5" customHeight="1" x14ac:dyDescent="0.25">
      <c r="A69" s="103" t="s">
        <v>89</v>
      </c>
      <c r="B69" s="103"/>
      <c r="C69" s="104" t="str">
        <f ca="1">I67</f>
        <v>Excavation, Plinth, RCC Slab, Brickwork, Internal Plaster Completed, External Plaster upto 6 Floor, Flooring upto 3 Floor Completed</v>
      </c>
      <c r="D69" s="104"/>
      <c r="E69" s="104"/>
      <c r="F69" s="104"/>
      <c r="G69" s="104"/>
      <c r="H69" s="104"/>
      <c r="I69" s="81" t="str">
        <f ca="1">IF(I68&lt;&gt;""," Completed","")</f>
        <v xml:space="preserve"> Completed</v>
      </c>
      <c r="J69" s="51" t="str">
        <f ca="1">IF(J67&lt;&gt;"","Completed","")</f>
        <v>Completed</v>
      </c>
    </row>
    <row r="70" spans="1:10" ht="15.75" customHeight="1" x14ac:dyDescent="0.25">
      <c r="A70" s="99" t="s">
        <v>49</v>
      </c>
      <c r="B70" s="99"/>
      <c r="C70" s="79" t="s">
        <v>137</v>
      </c>
      <c r="D70" s="79" t="s">
        <v>82</v>
      </c>
      <c r="E70" s="99" t="s">
        <v>84</v>
      </c>
      <c r="F70" s="99"/>
      <c r="G70" s="99" t="s">
        <v>83</v>
      </c>
      <c r="H70" s="99"/>
      <c r="I70" s="13" t="s">
        <v>139</v>
      </c>
      <c r="J70" s="27">
        <f ca="1">H68*25%</f>
        <v>1.75</v>
      </c>
    </row>
    <row r="71" spans="1:10" x14ac:dyDescent="0.25">
      <c r="A71" s="99" t="s">
        <v>126</v>
      </c>
      <c r="B71" s="99"/>
      <c r="C71" s="79">
        <f ca="1">J72</f>
        <v>7</v>
      </c>
      <c r="D71" s="18">
        <f ca="1">((100/H68)*C71)/100</f>
        <v>1</v>
      </c>
      <c r="E71" s="200">
        <f ca="1">(((C72/H68*10)+(40/(D68+F68+H68)*C73)+(7.5/(H68)*C74)+(7.5/(H68)*C75)+(10/H68*C76)+(10/H68*C77)+(5/H68*C78)+(5/H68*C79)+(5/H68*C80))/100)</f>
        <v>0.77857142857142858</v>
      </c>
      <c r="F71" s="200"/>
      <c r="G71" s="200">
        <f ca="1">((((C71/H68)*20)+((C72/H68)*25)+(30/(H68+F68+D68)*C73)+(5/H68*C74)+(5/H68*C75)+(5/H68*C76)+(5/H68*C77)+(0/H68*C78)+(0/H68*C79)+(5/H68*C80))/100)</f>
        <v>0.91428571428571426</v>
      </c>
      <c r="H71" s="200"/>
      <c r="I71" s="13" t="s">
        <v>100</v>
      </c>
      <c r="J71" s="28">
        <f ca="1">H68*50%</f>
        <v>3.5</v>
      </c>
    </row>
    <row r="72" spans="1:10" x14ac:dyDescent="0.25">
      <c r="A72" s="99" t="s">
        <v>50</v>
      </c>
      <c r="B72" s="99"/>
      <c r="C72" s="79">
        <f ca="1">J80</f>
        <v>7</v>
      </c>
      <c r="D72" s="18">
        <f ca="1">((100/H68)*C72)/100</f>
        <v>1</v>
      </c>
      <c r="E72" s="200"/>
      <c r="F72" s="200"/>
      <c r="G72" s="200"/>
      <c r="H72" s="200"/>
      <c r="I72" s="13" t="s">
        <v>101</v>
      </c>
      <c r="J72" s="28">
        <f ca="1">H68</f>
        <v>7</v>
      </c>
    </row>
    <row r="73" spans="1:10" ht="15.75" customHeight="1" x14ac:dyDescent="0.25">
      <c r="A73" s="99" t="s">
        <v>127</v>
      </c>
      <c r="B73" s="99"/>
      <c r="C73" s="79">
        <v>8</v>
      </c>
      <c r="D73" s="18">
        <f ca="1">((100/(D68+F68+H68))*C73)/100</f>
        <v>1</v>
      </c>
      <c r="E73" s="200"/>
      <c r="F73" s="200"/>
      <c r="G73" s="200"/>
      <c r="H73" s="200"/>
      <c r="I73" s="13" t="s">
        <v>102</v>
      </c>
      <c r="J73" s="29">
        <f ca="1">(IF(B68&gt;1,(H68/(B68+2)),H68/4))</f>
        <v>1.75</v>
      </c>
    </row>
    <row r="74" spans="1:10" ht="15.75" customHeight="1" x14ac:dyDescent="0.25">
      <c r="A74" s="99" t="s">
        <v>134</v>
      </c>
      <c r="B74" s="99" t="s">
        <v>128</v>
      </c>
      <c r="C74" s="79">
        <v>7</v>
      </c>
      <c r="D74" s="18">
        <f ca="1">((100/H68)*C74)/100</f>
        <v>1</v>
      </c>
      <c r="E74" s="200"/>
      <c r="F74" s="200"/>
      <c r="G74" s="200"/>
      <c r="H74" s="200"/>
      <c r="I74" s="13" t="s">
        <v>103</v>
      </c>
      <c r="J74" s="29">
        <f ca="1">(IF(B68&gt;1,(H68/(B68+2)+J73),H68/4+J73))</f>
        <v>3.5</v>
      </c>
    </row>
    <row r="75" spans="1:10" ht="15.75" customHeight="1" x14ac:dyDescent="0.25">
      <c r="A75" s="99" t="s">
        <v>135</v>
      </c>
      <c r="B75" s="99" t="s">
        <v>128</v>
      </c>
      <c r="C75" s="79">
        <v>7</v>
      </c>
      <c r="D75" s="18">
        <f ca="1">((100/H68)*C75)/100</f>
        <v>1</v>
      </c>
      <c r="E75" s="200"/>
      <c r="F75" s="200"/>
      <c r="G75" s="200"/>
      <c r="H75" s="200"/>
      <c r="I75" s="13" t="s">
        <v>144</v>
      </c>
      <c r="J75" s="29">
        <f>(IF(B68&gt;1,(H68/(B68+2)+J74),0))</f>
        <v>0</v>
      </c>
    </row>
    <row r="76" spans="1:10" ht="15" customHeight="1" x14ac:dyDescent="0.25">
      <c r="A76" s="99" t="s">
        <v>133</v>
      </c>
      <c r="B76" s="99" t="s">
        <v>130</v>
      </c>
      <c r="C76" s="79">
        <v>6</v>
      </c>
      <c r="D76" s="18">
        <f ca="1">((100/(H68))*C76)/100</f>
        <v>0.85714285714285721</v>
      </c>
      <c r="E76" s="200"/>
      <c r="F76" s="200"/>
      <c r="G76" s="200"/>
      <c r="H76" s="200"/>
      <c r="I76" s="13" t="s">
        <v>141</v>
      </c>
      <c r="J76" s="29">
        <f>(IF(B68&gt;2,(H68/(B68+2)+J75),0))</f>
        <v>0</v>
      </c>
    </row>
    <row r="77" spans="1:10" ht="15.75" customHeight="1" x14ac:dyDescent="0.25">
      <c r="A77" s="99" t="s">
        <v>129</v>
      </c>
      <c r="B77" s="99" t="s">
        <v>129</v>
      </c>
      <c r="C77" s="79">
        <v>3</v>
      </c>
      <c r="D77" s="18">
        <f ca="1">((100/H68)*C77)/100</f>
        <v>0.4285714285714286</v>
      </c>
      <c r="E77" s="200"/>
      <c r="F77" s="200"/>
      <c r="G77" s="200"/>
      <c r="H77" s="200"/>
      <c r="I77" s="13" t="s">
        <v>142</v>
      </c>
      <c r="J77" s="30">
        <f>(IF(B68&gt;3,(H68/(B68+2)+J76),0))</f>
        <v>0</v>
      </c>
    </row>
    <row r="78" spans="1:10" ht="15.75" customHeight="1" x14ac:dyDescent="0.25">
      <c r="A78" s="99" t="s">
        <v>136</v>
      </c>
      <c r="B78" s="99"/>
      <c r="C78" s="79">
        <v>0</v>
      </c>
      <c r="D78" s="18">
        <f ca="1">((100/H68)*C78)/100</f>
        <v>0</v>
      </c>
      <c r="E78" s="200"/>
      <c r="F78" s="200"/>
      <c r="G78" s="200"/>
      <c r="H78" s="200"/>
      <c r="I78" s="13" t="s">
        <v>143</v>
      </c>
      <c r="J78" s="29">
        <f>(IF(B68&gt;4,(H68/(B68+2)+J77),0))</f>
        <v>0</v>
      </c>
    </row>
    <row r="79" spans="1:10" ht="15.75" customHeight="1" x14ac:dyDescent="0.25">
      <c r="A79" s="99" t="s">
        <v>131</v>
      </c>
      <c r="B79" s="99" t="s">
        <v>131</v>
      </c>
      <c r="C79" s="79">
        <v>0</v>
      </c>
      <c r="D79" s="18">
        <f ca="1">((100/(H68))*C79)/100</f>
        <v>0</v>
      </c>
      <c r="E79" s="200"/>
      <c r="F79" s="200"/>
      <c r="G79" s="200"/>
      <c r="H79" s="200"/>
      <c r="I79" s="13" t="s">
        <v>145</v>
      </c>
      <c r="J79" s="29">
        <f ca="1">(IF(B68=1,(H68/(B68+3)+J74),IF(B68=0,(H68/4+J74),IF(B68&gt;1,0))))</f>
        <v>5.25</v>
      </c>
    </row>
    <row r="80" spans="1:10" ht="16.5" thickBot="1" x14ac:dyDescent="0.3">
      <c r="A80" s="99" t="s">
        <v>132</v>
      </c>
      <c r="B80" s="99"/>
      <c r="C80" s="79">
        <v>0</v>
      </c>
      <c r="D80" s="18">
        <f ca="1">((100/(H68))*C80)/100</f>
        <v>0</v>
      </c>
      <c r="E80" s="200"/>
      <c r="F80" s="200"/>
      <c r="G80" s="200"/>
      <c r="H80" s="200"/>
      <c r="I80" s="14" t="s">
        <v>104</v>
      </c>
      <c r="J80" s="31">
        <f ca="1">(IF(B68&gt;1.5,(H68/(B68+2)+J74+MAX(0,J75-J74)+MAX(0,J76-J75)+MAX(0,J77-J76)+MAX(0,J78-J77)+MAX(0,J79-J78)),IF(B68=1,(H68/(B68+3)+J79),IF(B68=0,H68/4+J79))))</f>
        <v>7</v>
      </c>
    </row>
    <row r="81" spans="1:10" ht="15.75" customHeight="1" x14ac:dyDescent="0.25">
      <c r="A81" s="157" t="s">
        <v>138</v>
      </c>
      <c r="B81" s="158"/>
      <c r="C81" s="159" t="str">
        <f>D59</f>
        <v>Building No.2 = Gr/Stilt + 1st to 4th Floor</v>
      </c>
      <c r="D81" s="160"/>
      <c r="E81" s="160"/>
      <c r="F81" s="160"/>
      <c r="G81" s="160"/>
      <c r="H81" s="161"/>
      <c r="I81" s="48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 Completed, External Plaster upto 2 Floor Completed</v>
      </c>
      <c r="J81" s="49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External Plaster upto 2 Floor</v>
      </c>
    </row>
    <row r="82" spans="1:10" x14ac:dyDescent="0.25">
      <c r="A82" s="15" t="s">
        <v>140</v>
      </c>
      <c r="B82" s="52">
        <f>IF(AND(ISNUMBER(SEARCH("1B",C81))),1,IF(AND(ISNUMBER(SEARCH("2B",C81))),2,IF(AND(ISNUMBER(SEARCH("3B",C81))),3,IF(AND(ISNUMBER(SEARCH("4B",C81))),4,IF(ISNUMBER(SEARCH("5B",C81)),5,0)))))</f>
        <v>0</v>
      </c>
      <c r="C82" s="46" t="s">
        <v>72</v>
      </c>
      <c r="D82" s="46">
        <v>1</v>
      </c>
      <c r="E82" s="46" t="s">
        <v>71</v>
      </c>
      <c r="F82" s="65">
        <v>0</v>
      </c>
      <c r="G82" s="47" t="s">
        <v>79</v>
      </c>
      <c r="H82" s="16">
        <f ca="1">--TRIM(RIGHT(SUBSTITUTE(LEFT(C81,_xlfn.AGGREGATE(16,6,FIND({0,1,2,3,4,5,6,7,8,9},C81,ROW(INDIRECT("1:"&amp;LEN(C81)))),1))," ",REPT(" ",LEN(C81))),LEN(C81)))</f>
        <v>4</v>
      </c>
      <c r="I82" s="50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</v>
      </c>
      <c r="J82" s="51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3" customHeight="1" x14ac:dyDescent="0.25">
      <c r="A83" s="102" t="s">
        <v>89</v>
      </c>
      <c r="B83" s="103"/>
      <c r="C83" s="104" t="str">
        <f ca="1">(IF($G$53="NA",I81,"All work Completed. OC Received."))</f>
        <v>Excavation, Plinth, RCC Slab, Brickwork, Internal Plaster Completed, External Plaster upto 2 Floor Completed</v>
      </c>
      <c r="D83" s="104"/>
      <c r="E83" s="104"/>
      <c r="F83" s="104"/>
      <c r="G83" s="104"/>
      <c r="H83" s="105"/>
      <c r="I83" s="50" t="str">
        <f ca="1">IF(I82&lt;&gt;""," Completed","")</f>
        <v xml:space="preserve"> Completed</v>
      </c>
      <c r="J83" s="51" t="str">
        <f ca="1">IF(J81&lt;&gt;"","Completed","")</f>
        <v>Completed</v>
      </c>
    </row>
    <row r="84" spans="1:10" ht="15.75" customHeight="1" x14ac:dyDescent="0.25">
      <c r="A84" s="98" t="s">
        <v>49</v>
      </c>
      <c r="B84" s="99"/>
      <c r="C84" s="42" t="s">
        <v>137</v>
      </c>
      <c r="D84" s="42" t="s">
        <v>82</v>
      </c>
      <c r="E84" s="99" t="s">
        <v>84</v>
      </c>
      <c r="F84" s="99"/>
      <c r="G84" s="99" t="s">
        <v>83</v>
      </c>
      <c r="H84" s="229"/>
      <c r="I84" s="13" t="s">
        <v>139</v>
      </c>
      <c r="J84" s="27">
        <f ca="1">H82*25%</f>
        <v>1</v>
      </c>
    </row>
    <row r="85" spans="1:10" x14ac:dyDescent="0.25">
      <c r="A85" s="98" t="s">
        <v>126</v>
      </c>
      <c r="B85" s="99"/>
      <c r="C85" s="42">
        <f ca="1">J86</f>
        <v>4</v>
      </c>
      <c r="D85" s="18">
        <f ca="1">((100/H82)*C85)/100</f>
        <v>1</v>
      </c>
      <c r="E85" s="92">
        <f ca="1">(((C86/H82*10)+(40/(D82+F82+H82)*C87)+(7.5/(H82)*C88)+(7.5/(H82)*C89)+(10/H82*C90)+(10/H82*C91)+(5/H82*C92)+(5/H82*C93)+(5/H82*C94))/100)</f>
        <v>0.7</v>
      </c>
      <c r="F85" s="230"/>
      <c r="G85" s="92">
        <f ca="1">((((C85/H82)*20)+((C86/H82)*25)+(30/(H82+F82+D82)*C87)+(5/H82*C88)+(5/H82*C89)+(5/H82*C90)+(5/H82*C91)+(0/H82*C92)+(0/H82*C93)+(5/H82*C94))/100)</f>
        <v>0.875</v>
      </c>
      <c r="H85" s="93"/>
      <c r="I85" s="13" t="s">
        <v>100</v>
      </c>
      <c r="J85" s="28">
        <f ca="1">H82*50%</f>
        <v>2</v>
      </c>
    </row>
    <row r="86" spans="1:10" x14ac:dyDescent="0.25">
      <c r="A86" s="98" t="s">
        <v>50</v>
      </c>
      <c r="B86" s="99"/>
      <c r="C86" s="53">
        <f ca="1">J94</f>
        <v>4</v>
      </c>
      <c r="D86" s="18">
        <f ca="1">((100/H82)*C86)/100</f>
        <v>1</v>
      </c>
      <c r="E86" s="94"/>
      <c r="F86" s="231"/>
      <c r="G86" s="94"/>
      <c r="H86" s="95"/>
      <c r="I86" s="13" t="s">
        <v>101</v>
      </c>
      <c r="J86" s="28">
        <f ca="1">H82</f>
        <v>4</v>
      </c>
    </row>
    <row r="87" spans="1:10" ht="15.75" customHeight="1" x14ac:dyDescent="0.25">
      <c r="A87" s="98" t="s">
        <v>127</v>
      </c>
      <c r="B87" s="99"/>
      <c r="C87" s="42">
        <v>5</v>
      </c>
      <c r="D87" s="18">
        <f ca="1">((100/(D82+F82+H82))*C87)/100</f>
        <v>1</v>
      </c>
      <c r="E87" s="94"/>
      <c r="F87" s="231"/>
      <c r="G87" s="94"/>
      <c r="H87" s="95"/>
      <c r="I87" s="13" t="s">
        <v>102</v>
      </c>
      <c r="J87" s="29">
        <f ca="1">(IF(B82&gt;1,(H82/(B82+2)),H82/4))</f>
        <v>1</v>
      </c>
    </row>
    <row r="88" spans="1:10" ht="15.75" customHeight="1" x14ac:dyDescent="0.25">
      <c r="A88" s="98" t="s">
        <v>134</v>
      </c>
      <c r="B88" s="99" t="s">
        <v>128</v>
      </c>
      <c r="C88" s="42">
        <v>4</v>
      </c>
      <c r="D88" s="18">
        <f ca="1">((100/H82)*C88)/100</f>
        <v>1</v>
      </c>
      <c r="E88" s="94"/>
      <c r="F88" s="231"/>
      <c r="G88" s="94"/>
      <c r="H88" s="95"/>
      <c r="I88" s="13" t="s">
        <v>103</v>
      </c>
      <c r="J88" s="29">
        <f ca="1">(IF(B82&gt;1,(H82/(B82+2)+J87),H82/4+J87))</f>
        <v>2</v>
      </c>
    </row>
    <row r="89" spans="1:10" ht="15.75" customHeight="1" x14ac:dyDescent="0.25">
      <c r="A89" s="98" t="s">
        <v>135</v>
      </c>
      <c r="B89" s="99" t="s">
        <v>128</v>
      </c>
      <c r="C89" s="42">
        <v>4</v>
      </c>
      <c r="D89" s="18">
        <f ca="1">((100/H82)*C89)/100</f>
        <v>1</v>
      </c>
      <c r="E89" s="94"/>
      <c r="F89" s="231"/>
      <c r="G89" s="94"/>
      <c r="H89" s="95"/>
      <c r="I89" s="13" t="s">
        <v>144</v>
      </c>
      <c r="J89" s="29">
        <f>(IF(B82&gt;1,(H82/(B82+2)+J88),0))</f>
        <v>0</v>
      </c>
    </row>
    <row r="90" spans="1:10" ht="15" customHeight="1" x14ac:dyDescent="0.25">
      <c r="A90" s="98" t="s">
        <v>133</v>
      </c>
      <c r="B90" s="99" t="s">
        <v>130</v>
      </c>
      <c r="C90" s="42">
        <v>2</v>
      </c>
      <c r="D90" s="18">
        <f ca="1">((100/(H82))*C90)/100</f>
        <v>0.5</v>
      </c>
      <c r="E90" s="94"/>
      <c r="F90" s="231"/>
      <c r="G90" s="94"/>
      <c r="H90" s="95"/>
      <c r="I90" s="13" t="s">
        <v>141</v>
      </c>
      <c r="J90" s="29">
        <f>(IF(B82&gt;2,(H82/(B82+2)+J89),0))</f>
        <v>0</v>
      </c>
    </row>
    <row r="91" spans="1:10" ht="15.75" customHeight="1" x14ac:dyDescent="0.25">
      <c r="A91" s="98" t="s">
        <v>129</v>
      </c>
      <c r="B91" s="99" t="s">
        <v>129</v>
      </c>
      <c r="C91" s="42">
        <v>0</v>
      </c>
      <c r="D91" s="18">
        <f ca="1">((100/H82)*C91)/100</f>
        <v>0</v>
      </c>
      <c r="E91" s="94"/>
      <c r="F91" s="231"/>
      <c r="G91" s="94"/>
      <c r="H91" s="95"/>
      <c r="I91" s="13" t="s">
        <v>142</v>
      </c>
      <c r="J91" s="30">
        <f>(IF(B82&gt;3,(H82/(B82+2)+J90),0))</f>
        <v>0</v>
      </c>
    </row>
    <row r="92" spans="1:10" ht="15.75" customHeight="1" x14ac:dyDescent="0.25">
      <c r="A92" s="98" t="s">
        <v>136</v>
      </c>
      <c r="B92" s="99"/>
      <c r="C92" s="42">
        <v>0</v>
      </c>
      <c r="D92" s="18">
        <f ca="1">((100/H82)*C92)/100</f>
        <v>0</v>
      </c>
      <c r="E92" s="94"/>
      <c r="F92" s="231"/>
      <c r="G92" s="94"/>
      <c r="H92" s="95"/>
      <c r="I92" s="13" t="s">
        <v>143</v>
      </c>
      <c r="J92" s="29">
        <f>(IF(B82&gt;4,(H82/(B82+2)+J91),0))</f>
        <v>0</v>
      </c>
    </row>
    <row r="93" spans="1:10" ht="15.75" customHeight="1" x14ac:dyDescent="0.25">
      <c r="A93" s="98" t="s">
        <v>131</v>
      </c>
      <c r="B93" s="99" t="s">
        <v>131</v>
      </c>
      <c r="C93" s="42">
        <v>0</v>
      </c>
      <c r="D93" s="18">
        <f ca="1">((100/(H82))*C93)/100</f>
        <v>0</v>
      </c>
      <c r="E93" s="94"/>
      <c r="F93" s="231"/>
      <c r="G93" s="94"/>
      <c r="H93" s="95"/>
      <c r="I93" s="13" t="s">
        <v>145</v>
      </c>
      <c r="J93" s="29">
        <f ca="1">(IF(B82=1,(H82/(B82+3)+J88),IF(B82=0,(H82/4+J88),IF(B82&gt;1,0))))</f>
        <v>3</v>
      </c>
    </row>
    <row r="94" spans="1:10" ht="16.5" thickBot="1" x14ac:dyDescent="0.3">
      <c r="A94" s="233" t="s">
        <v>132</v>
      </c>
      <c r="B94" s="234"/>
      <c r="C94" s="43">
        <v>0</v>
      </c>
      <c r="D94" s="19">
        <f ca="1">((100/(H82))*C94)/100</f>
        <v>0</v>
      </c>
      <c r="E94" s="96"/>
      <c r="F94" s="232"/>
      <c r="G94" s="96"/>
      <c r="H94" s="97"/>
      <c r="I94" s="14" t="s">
        <v>104</v>
      </c>
      <c r="J94" s="31">
        <f ca="1">(IF(B82&gt;1.5,(H82/(B82+2)+J88+MAX(0,J89-J88)+MAX(0,J90-J89)+MAX(0,J91-J90)+MAX(0,J92-J91)+MAX(0,J93-J92)),IF(B82=1,(H82/(B82+3)+J93),IF(B82=0,H82/4+J93))))</f>
        <v>4</v>
      </c>
    </row>
    <row r="95" spans="1:10" x14ac:dyDescent="0.25">
      <c r="A95" s="152" t="s">
        <v>154</v>
      </c>
      <c r="B95" s="152"/>
      <c r="C95" s="152"/>
      <c r="D95" s="152"/>
      <c r="E95" s="152"/>
      <c r="F95" s="106" t="s">
        <v>158</v>
      </c>
      <c r="G95" s="106"/>
      <c r="H95" s="106"/>
    </row>
    <row r="96" spans="1:10" x14ac:dyDescent="0.25">
      <c r="A96" s="101" t="s">
        <v>156</v>
      </c>
      <c r="B96" s="101"/>
      <c r="C96" s="101"/>
      <c r="D96" s="101"/>
      <c r="E96" s="101"/>
      <c r="F96" s="100">
        <v>5200</v>
      </c>
      <c r="G96" s="100"/>
      <c r="H96" s="100"/>
    </row>
    <row r="97" spans="1:8" hidden="1" x14ac:dyDescent="0.25">
      <c r="A97" s="101" t="s">
        <v>155</v>
      </c>
      <c r="B97" s="101"/>
      <c r="C97" s="101"/>
      <c r="D97" s="101"/>
      <c r="E97" s="101"/>
      <c r="F97" s="100"/>
      <c r="G97" s="100"/>
      <c r="H97" s="100"/>
    </row>
    <row r="98" spans="1:8" hidden="1" x14ac:dyDescent="0.25">
      <c r="A98" s="101" t="s">
        <v>157</v>
      </c>
      <c r="B98" s="101"/>
      <c r="C98" s="101"/>
      <c r="D98" s="101"/>
      <c r="E98" s="101"/>
      <c r="F98" s="100"/>
      <c r="G98" s="100"/>
      <c r="H98" s="100"/>
    </row>
    <row r="99" spans="1:8" s="32" customFormat="1" hidden="1" x14ac:dyDescent="0.25">
      <c r="A99" s="101" t="s">
        <v>171</v>
      </c>
      <c r="B99" s="101"/>
      <c r="C99" s="101"/>
      <c r="D99" s="101"/>
      <c r="E99" s="101"/>
      <c r="F99" s="100"/>
      <c r="G99" s="100"/>
      <c r="H99" s="100"/>
    </row>
    <row r="100" spans="1:8" s="32" customFormat="1" hidden="1" x14ac:dyDescent="0.25">
      <c r="A100" s="101" t="s">
        <v>94</v>
      </c>
      <c r="B100" s="101"/>
      <c r="C100" s="101"/>
      <c r="D100" s="101"/>
      <c r="E100" s="101"/>
      <c r="F100" s="100"/>
      <c r="G100" s="100"/>
      <c r="H100" s="100"/>
    </row>
    <row r="101" spans="1:8" s="32" customFormat="1" hidden="1" x14ac:dyDescent="0.25">
      <c r="A101" s="101" t="s">
        <v>95</v>
      </c>
      <c r="B101" s="101"/>
      <c r="C101" s="101"/>
      <c r="D101" s="101"/>
      <c r="E101" s="101"/>
      <c r="F101" s="100"/>
      <c r="G101" s="100"/>
      <c r="H101" s="100"/>
    </row>
    <row r="102" spans="1:8" s="32" customFormat="1" hidden="1" x14ac:dyDescent="0.25">
      <c r="A102" s="101" t="s">
        <v>159</v>
      </c>
      <c r="B102" s="101"/>
      <c r="C102" s="101"/>
      <c r="D102" s="101"/>
      <c r="E102" s="101"/>
      <c r="F102" s="100"/>
      <c r="G102" s="100"/>
      <c r="H102" s="100"/>
    </row>
    <row r="103" spans="1:8" s="32" customFormat="1" hidden="1" x14ac:dyDescent="0.25">
      <c r="A103" s="101" t="s">
        <v>96</v>
      </c>
      <c r="B103" s="101"/>
      <c r="C103" s="101"/>
      <c r="D103" s="101"/>
      <c r="E103" s="101"/>
      <c r="F103" s="100"/>
      <c r="G103" s="100"/>
      <c r="H103" s="100"/>
    </row>
    <row r="104" spans="1:8" s="32" customFormat="1" hidden="1" x14ac:dyDescent="0.25">
      <c r="A104" s="101" t="s">
        <v>97</v>
      </c>
      <c r="B104" s="101"/>
      <c r="C104" s="101"/>
      <c r="D104" s="101"/>
      <c r="E104" s="101"/>
      <c r="F104" s="100"/>
      <c r="G104" s="100"/>
      <c r="H104" s="100"/>
    </row>
    <row r="105" spans="1:8" s="32" customFormat="1" hidden="1" x14ac:dyDescent="0.25">
      <c r="A105" s="101" t="s">
        <v>98</v>
      </c>
      <c r="B105" s="101"/>
      <c r="C105" s="101"/>
      <c r="D105" s="101"/>
      <c r="E105" s="101"/>
      <c r="F105" s="100"/>
      <c r="G105" s="100"/>
      <c r="H105" s="100"/>
    </row>
    <row r="106" spans="1:8" s="32" customFormat="1" hidden="1" x14ac:dyDescent="0.25">
      <c r="A106" s="101" t="s">
        <v>99</v>
      </c>
      <c r="B106" s="101"/>
      <c r="C106" s="101"/>
      <c r="D106" s="101"/>
      <c r="E106" s="101"/>
      <c r="F106" s="100"/>
      <c r="G106" s="100"/>
      <c r="H106" s="100"/>
    </row>
    <row r="107" spans="1:8" x14ac:dyDescent="0.25">
      <c r="A107" s="101" t="s">
        <v>51</v>
      </c>
      <c r="B107" s="101"/>
      <c r="C107" s="101"/>
      <c r="D107" s="101"/>
      <c r="E107" s="101"/>
      <c r="F107" s="100">
        <v>200000</v>
      </c>
      <c r="G107" s="100"/>
      <c r="H107" s="100"/>
    </row>
    <row r="108" spans="1:8" s="33" customFormat="1" x14ac:dyDescent="0.25">
      <c r="A108" s="173" t="s">
        <v>52</v>
      </c>
      <c r="B108" s="173"/>
      <c r="C108" s="173"/>
      <c r="D108" s="173"/>
      <c r="E108" s="173"/>
      <c r="F108" s="100">
        <f>F96*0.8</f>
        <v>4160</v>
      </c>
      <c r="G108" s="100"/>
      <c r="H108" s="100"/>
    </row>
    <row r="109" spans="1:8" s="34" customFormat="1" x14ac:dyDescent="0.25">
      <c r="A109" s="205" t="s">
        <v>70</v>
      </c>
      <c r="B109" s="205"/>
      <c r="C109" s="205"/>
      <c r="D109" s="205"/>
      <c r="E109" s="205"/>
      <c r="F109" s="205"/>
      <c r="G109" s="205"/>
      <c r="H109" s="205"/>
    </row>
    <row r="110" spans="1:8" s="34" customFormat="1" ht="15.75" customHeight="1" x14ac:dyDescent="0.25">
      <c r="A110" s="206" t="s">
        <v>53</v>
      </c>
      <c r="B110" s="206"/>
      <c r="C110" s="153" t="s">
        <v>77</v>
      </c>
      <c r="D110" s="153"/>
      <c r="E110" s="211" t="s">
        <v>54</v>
      </c>
      <c r="F110" s="211"/>
      <c r="G110" s="206" t="s">
        <v>55</v>
      </c>
      <c r="H110" s="206"/>
    </row>
    <row r="111" spans="1:8" s="34" customFormat="1" x14ac:dyDescent="0.25">
      <c r="A111" s="204" t="s">
        <v>258</v>
      </c>
      <c r="B111" s="204"/>
      <c r="C111" s="155">
        <f>COUNT(D122:D124,D126)+COUNT(D128:D133)*7</f>
        <v>46</v>
      </c>
      <c r="D111" s="155"/>
      <c r="E111" s="156">
        <f t="shared" ref="E111" si="0">SUM(D122:D124,D126)+SUM(D128:D133)*7</f>
        <v>20403.132937199996</v>
      </c>
      <c r="F111" s="156"/>
      <c r="G111" s="156">
        <f>SUM(F122:F124,F126)+SUM(F128:F133)*7</f>
        <v>30604.699405799995</v>
      </c>
      <c r="H111" s="156"/>
    </row>
    <row r="112" spans="1:8" s="34" customFormat="1" ht="16.5" thickBot="1" x14ac:dyDescent="0.3">
      <c r="A112" s="125" t="s">
        <v>259</v>
      </c>
      <c r="B112" s="125"/>
      <c r="C112" s="126">
        <f>COUNT(D137:D139)*4</f>
        <v>12</v>
      </c>
      <c r="D112" s="126"/>
      <c r="E112" s="127">
        <f>SUM(D137:D139)*4</f>
        <v>4211.5226399999992</v>
      </c>
      <c r="F112" s="127"/>
      <c r="G112" s="127">
        <f>SUM(F137:F139)*4</f>
        <v>6317.2839599999998</v>
      </c>
      <c r="H112" s="127"/>
    </row>
    <row r="113" spans="1:14" s="34" customFormat="1" ht="16.5" thickBot="1" x14ac:dyDescent="0.3">
      <c r="A113" s="139" t="s">
        <v>148</v>
      </c>
      <c r="B113" s="140"/>
      <c r="C113" s="209">
        <f>SUM(C111:D112)</f>
        <v>58</v>
      </c>
      <c r="D113" s="210"/>
      <c r="E113" s="141">
        <f>SUM(E111:F112)</f>
        <v>24614.655577199996</v>
      </c>
      <c r="F113" s="142"/>
      <c r="G113" s="143">
        <f>SUM(G111:H112)</f>
        <v>36921.983365799992</v>
      </c>
      <c r="H113" s="144"/>
    </row>
    <row r="114" spans="1:14" s="67" customFormat="1" hidden="1" x14ac:dyDescent="0.25">
      <c r="A114" s="130" t="s">
        <v>164</v>
      </c>
      <c r="B114" s="131"/>
      <c r="C114" s="132">
        <f t="shared" ref="C114:G114" si="1">SUM(C113)</f>
        <v>58</v>
      </c>
      <c r="D114" s="133"/>
      <c r="E114" s="134">
        <f t="shared" si="1"/>
        <v>24614.655577199996</v>
      </c>
      <c r="F114" s="135"/>
      <c r="G114" s="136">
        <f t="shared" si="1"/>
        <v>36921.983365799992</v>
      </c>
      <c r="H114" s="137"/>
    </row>
    <row r="115" spans="1:14" s="33" customFormat="1" x14ac:dyDescent="0.25">
      <c r="A115" s="129" t="s">
        <v>56</v>
      </c>
      <c r="B115" s="129"/>
      <c r="C115" s="129"/>
      <c r="D115" s="129"/>
      <c r="E115" s="129"/>
      <c r="F115" s="129"/>
      <c r="G115" s="129"/>
      <c r="H115" s="129"/>
    </row>
    <row r="116" spans="1:14" x14ac:dyDescent="0.25">
      <c r="A116" s="129" t="s">
        <v>265</v>
      </c>
      <c r="B116" s="129"/>
      <c r="C116" s="129"/>
      <c r="D116" s="129"/>
      <c r="E116" s="129"/>
      <c r="F116" s="129"/>
      <c r="G116" s="129"/>
      <c r="H116" s="129"/>
    </row>
    <row r="117" spans="1:14" ht="47.25" customHeight="1" x14ac:dyDescent="0.25">
      <c r="A117" s="128" t="s">
        <v>119</v>
      </c>
      <c r="B117" s="128" t="s">
        <v>172</v>
      </c>
      <c r="C117" s="128" t="s">
        <v>57</v>
      </c>
      <c r="D117" s="128" t="s">
        <v>58</v>
      </c>
      <c r="E117" s="208" t="s">
        <v>59</v>
      </c>
      <c r="F117" s="82" t="s">
        <v>147</v>
      </c>
      <c r="G117" s="128" t="s">
        <v>60</v>
      </c>
      <c r="H117" s="128"/>
      <c r="I117" s="35"/>
    </row>
    <row r="118" spans="1:14" s="36" customFormat="1" x14ac:dyDescent="0.25">
      <c r="A118" s="128"/>
      <c r="B118" s="128"/>
      <c r="C118" s="128"/>
      <c r="D118" s="128"/>
      <c r="E118" s="208"/>
      <c r="F118" s="83">
        <v>0.5</v>
      </c>
      <c r="G118" s="128"/>
      <c r="H118" s="128"/>
      <c r="I118" s="35"/>
    </row>
    <row r="119" spans="1:14" s="57" customFormat="1" x14ac:dyDescent="0.25">
      <c r="A119" s="148" t="s">
        <v>249</v>
      </c>
      <c r="B119" s="149"/>
      <c r="C119" s="149"/>
      <c r="D119" s="149"/>
      <c r="E119" s="149"/>
      <c r="F119" s="149"/>
      <c r="G119" s="149"/>
      <c r="H119" s="150"/>
      <c r="I119" s="64">
        <v>10.763999999999999</v>
      </c>
    </row>
    <row r="120" spans="1:14" s="36" customFormat="1" x14ac:dyDescent="0.25">
      <c r="A120" s="116" t="s">
        <v>250</v>
      </c>
      <c r="B120" s="117"/>
      <c r="C120" s="117"/>
      <c r="D120" s="117"/>
      <c r="E120" s="117"/>
      <c r="F120" s="117"/>
      <c r="G120" s="117"/>
      <c r="H120" s="118"/>
      <c r="J120" s="35"/>
    </row>
    <row r="121" spans="1:14" s="66" customFormat="1" ht="15.75" customHeight="1" x14ac:dyDescent="0.25">
      <c r="A121" s="113" t="s">
        <v>271</v>
      </c>
      <c r="B121" s="114"/>
      <c r="C121" s="113" t="s">
        <v>273</v>
      </c>
      <c r="D121" s="138"/>
      <c r="E121" s="138"/>
      <c r="F121" s="114"/>
      <c r="G121" s="119" t="str">
        <f>A120</f>
        <v xml:space="preserve">Ground Floor For Residential, Society Room, Entrance Lobby &amp; Parking </v>
      </c>
      <c r="H121" s="145"/>
      <c r="I121" s="61"/>
      <c r="J121" s="35"/>
      <c r="L121" s="74"/>
      <c r="M121" s="73"/>
      <c r="N121" s="35"/>
    </row>
    <row r="122" spans="1:14" s="36" customFormat="1" ht="15.75" customHeight="1" x14ac:dyDescent="0.25">
      <c r="A122" s="113">
        <v>1</v>
      </c>
      <c r="B122" s="114"/>
      <c r="C122" s="41" t="s">
        <v>251</v>
      </c>
      <c r="D122" s="64">
        <f>(5.44*3+2.7*1.8+2.7*2.7+2.6*2.4+1.8*0.9+1.8*0.9+1.2*4.2+1.1*1.1)*10.764</f>
        <v>475.76879999999994</v>
      </c>
      <c r="E122" s="64">
        <v>0</v>
      </c>
      <c r="F122" s="41">
        <f>D122*(($F$118)+1)+(IF(E122&lt;101,E122,IF(E122&lt;201,E122/2,IF(E122&lt;=301,E122/3,E122/4))))</f>
        <v>713.65319999999997</v>
      </c>
      <c r="G122" s="121"/>
      <c r="H122" s="146"/>
      <c r="I122" s="69">
        <f>5.44*3+2.7*1.8+2.7*2.7+2.6*2.4+1.8*0.9+1.8*0.9+1.2*4.2+1.1*1.1</f>
        <v>44.199999999999996</v>
      </c>
      <c r="J122" s="35"/>
      <c r="K122" s="36">
        <f>4.55*2.9+2.7*2.7+1.8*0.9+2.7*1.8+2.6*2.4+1.8*0.9+0.9*0.9+1.1*4.4</f>
        <v>40.475000000000001</v>
      </c>
      <c r="L122" s="75">
        <f>5.44*3+2.7*1.8+2.7*2.7+2.6*2.4+1.8*0.9+1.8*0.9+1.2*4.2+1.1*1.1</f>
        <v>44.199999999999996</v>
      </c>
      <c r="M122" s="68"/>
      <c r="N122" s="35"/>
    </row>
    <row r="123" spans="1:14" s="36" customFormat="1" ht="15.75" customHeight="1" x14ac:dyDescent="0.25">
      <c r="A123" s="113">
        <f t="shared" ref="A123:A124" si="2">A122+1</f>
        <v>2</v>
      </c>
      <c r="B123" s="114"/>
      <c r="C123" s="56" t="s">
        <v>251</v>
      </c>
      <c r="D123" s="64">
        <f>(2.4*3.46+1.65*2.32+1.2*0.4+2.7*2.7+2.7*2.7+2.1*1.05+1.05*2.1+1.3*2.6+1.4*2)*10.764</f>
        <v>406.68544799999995</v>
      </c>
      <c r="E123" s="64">
        <v>0</v>
      </c>
      <c r="F123" s="41">
        <f>D123*(($F$118)+1)+(IF(E123&lt;101,E123,IF(E123&lt;201,E123/2,IF(E123&lt;=301,E123/3,E123/4))))</f>
        <v>610.02817199999993</v>
      </c>
      <c r="G123" s="121"/>
      <c r="H123" s="146"/>
      <c r="K123" s="35"/>
      <c r="L123" s="76">
        <f>2.4*3.46+1.65*2.32+1.2*0.4+2.7*2.7+2.7*2.7+2.1*1.05+1.05*2.1+1.3*2.6+1.4*2</f>
        <v>37.781999999999996</v>
      </c>
      <c r="M123" s="68"/>
      <c r="N123" s="35"/>
    </row>
    <row r="124" spans="1:14" s="36" customFormat="1" ht="15.75" customHeight="1" x14ac:dyDescent="0.25">
      <c r="A124" s="113">
        <f t="shared" si="2"/>
        <v>3</v>
      </c>
      <c r="B124" s="114"/>
      <c r="C124" s="41" t="s">
        <v>252</v>
      </c>
      <c r="D124" s="64">
        <f>(3.45*3.05+1.3*0.9+2.4*3.11+2.82*2.89+1.3*0.9+1.05*1.95+1.05*1.95)*10.764</f>
        <v>350.59747319999997</v>
      </c>
      <c r="E124" s="64">
        <v>0</v>
      </c>
      <c r="F124" s="41">
        <f>D124*(($F$118)+1)+(IF(E124&lt;101,E124,IF(E124&lt;201,E124/2,IF(E124&lt;=301,E124/3,E124/4))))</f>
        <v>525.89620979999995</v>
      </c>
      <c r="G124" s="121"/>
      <c r="H124" s="146"/>
      <c r="L124" s="75">
        <f>3.45*3.05+1.3*0.9+2.4*3.11+2.82*2.89+1.3*0.9+1.05*1.95+1.05*1.95</f>
        <v>32.571300000000001</v>
      </c>
      <c r="M124" s="68"/>
      <c r="N124" s="35">
        <f>3200000/F124</f>
        <v>6084.8508514959076</v>
      </c>
    </row>
    <row r="125" spans="1:14" s="66" customFormat="1" ht="15.75" customHeight="1" x14ac:dyDescent="0.25">
      <c r="A125" s="113" t="s">
        <v>271</v>
      </c>
      <c r="B125" s="114"/>
      <c r="C125" s="113" t="s">
        <v>272</v>
      </c>
      <c r="D125" s="138"/>
      <c r="E125" s="138"/>
      <c r="F125" s="114"/>
      <c r="G125" s="121"/>
      <c r="H125" s="146"/>
      <c r="I125" s="70"/>
      <c r="J125" s="71">
        <f>28.66-I125</f>
        <v>28.66</v>
      </c>
      <c r="L125" s="68"/>
      <c r="M125" s="68"/>
      <c r="N125" s="35"/>
    </row>
    <row r="126" spans="1:14" s="36" customFormat="1" ht="15.75" customHeight="1" x14ac:dyDescent="0.25">
      <c r="A126" s="113">
        <f>A124+1</f>
        <v>4</v>
      </c>
      <c r="B126" s="114"/>
      <c r="C126" s="56" t="s">
        <v>252</v>
      </c>
      <c r="D126" s="64">
        <f>(2.7*3.3+1.95*3.3+2.44*3.13+1.05*1.95+1.4*1)*10.764</f>
        <v>284.48929079999994</v>
      </c>
      <c r="E126" s="64">
        <v>0</v>
      </c>
      <c r="F126" s="41">
        <f>D126*(($F$118)+1)+(IF(E126&lt;101,E126,IF(E126&lt;201,E126/2,IF(E126&lt;=301,E126/3,E126/4))))</f>
        <v>426.7339361999999</v>
      </c>
      <c r="G126" s="123"/>
      <c r="H126" s="147"/>
      <c r="L126" s="60">
        <f>2.7*3.3+1.95*3.3+2.44*3.13+1.05*1.95+1.4*1</f>
        <v>26.429699999999997</v>
      </c>
      <c r="M126" s="68"/>
      <c r="N126" s="35"/>
    </row>
    <row r="127" spans="1:14" s="36" customFormat="1" x14ac:dyDescent="0.25">
      <c r="A127" s="203" t="s">
        <v>253</v>
      </c>
      <c r="B127" s="203"/>
      <c r="C127" s="203"/>
      <c r="D127" s="203"/>
      <c r="E127" s="203"/>
      <c r="F127" s="203"/>
      <c r="G127" s="203"/>
      <c r="H127" s="203"/>
      <c r="I127" s="35"/>
      <c r="J127" s="36">
        <f>50.12-J128</f>
        <v>2.803299999999993</v>
      </c>
      <c r="L127" s="72"/>
      <c r="M127" s="72"/>
    </row>
    <row r="128" spans="1:14" s="36" customFormat="1" ht="15.75" customHeight="1" x14ac:dyDescent="0.25">
      <c r="A128" s="154">
        <v>1</v>
      </c>
      <c r="B128" s="154"/>
      <c r="C128" s="41" t="s">
        <v>251</v>
      </c>
      <c r="D128" s="64">
        <f>(3*3.15+2.49*2.08+3*3.15+3*3.15+1.2*1.8+2.49*1.2+1.27*1.65+1.1*3.2+1*2.6)*10.764</f>
        <v>504.7530228</v>
      </c>
      <c r="E128" s="41">
        <v>0</v>
      </c>
      <c r="F128" s="41">
        <f t="shared" ref="F128:F129" si="3">D128*(($F$118)+1)+(IF(E128&lt;101,E128,IF(E128&lt;201,E128/2,IF(E128&lt;=301,E128/3,E128/4))))</f>
        <v>757.12953419999997</v>
      </c>
      <c r="G128" s="119" t="str">
        <f>A127</f>
        <v>1st to 7th Floor</v>
      </c>
      <c r="H128" s="120"/>
      <c r="J128" s="36">
        <f>3.2*1.07+3*3.15+2.49*2.08+3*3.15+3*3+2.49*1.2+1.27*1.65+1.2*1.8+2.49*1+1.8*0.6</f>
        <v>47.316700000000004</v>
      </c>
      <c r="L128" s="35">
        <f>3*3.15+2.49*2.08+3*3.15+3*3.15+1.2*1.8+2.49*1.2+1.27*1.65+1.1*3.2+1*2.6</f>
        <v>46.892700000000005</v>
      </c>
      <c r="M128" s="68"/>
      <c r="N128" s="35"/>
    </row>
    <row r="129" spans="1:14" s="36" customFormat="1" ht="15.75" customHeight="1" x14ac:dyDescent="0.25">
      <c r="A129" s="154">
        <f>A128+1</f>
        <v>2</v>
      </c>
      <c r="B129" s="154"/>
      <c r="C129" s="56" t="s">
        <v>251</v>
      </c>
      <c r="D129" s="64">
        <f>(5.44*3+3.7*1.8+2.7*2.7+2.6*2.4+1.8*0.9+1.8*0.9+1.2*4.2+1.1*1.1)*10.764</f>
        <v>495.14399999999995</v>
      </c>
      <c r="E129" s="41">
        <v>0</v>
      </c>
      <c r="F129" s="41">
        <f t="shared" si="3"/>
        <v>742.71599999999989</v>
      </c>
      <c r="G129" s="121"/>
      <c r="H129" s="122"/>
      <c r="L129" s="69">
        <f>5.44*3+3.7*1.8+2.7*2.7+2.6*2.4+1.8*0.9+1.8*0.9+1.2*4.2+1.1*1.1</f>
        <v>46</v>
      </c>
      <c r="M129" s="68"/>
      <c r="N129" s="35"/>
    </row>
    <row r="130" spans="1:14" s="36" customFormat="1" ht="15.75" customHeight="1" x14ac:dyDescent="0.25">
      <c r="A130" s="154">
        <f>A129+1</f>
        <v>3</v>
      </c>
      <c r="B130" s="154"/>
      <c r="C130" s="77" t="s">
        <v>251</v>
      </c>
      <c r="D130" s="64">
        <f>(2.4*3.46+2.32*1.65+1.2*0.4+3.75*2.7+3.75*2.7+2.1*1.05+1.05*2.1+1.3*2.6+1.4*2)*10.764</f>
        <v>467.71732799999995</v>
      </c>
      <c r="E130" s="41">
        <v>0</v>
      </c>
      <c r="F130" s="41">
        <f>D130*(($F$118)+1)+(IF(E130&lt;101,E130,IF(E130&lt;201,E130/2,IF(E130&lt;=301,E130/3,E130/4))))</f>
        <v>701.57599199999993</v>
      </c>
      <c r="G130" s="121"/>
      <c r="H130" s="122"/>
      <c r="I130" s="35"/>
      <c r="L130" s="76">
        <f>2.4*3.46+2.32*1.65+1.2*0.4+3.75*2.7+3.75*2.7+2.1*1.05+1.05*2.1+1.3*2.6+1.4*2</f>
        <v>43.451999999999998</v>
      </c>
      <c r="M130" s="68"/>
      <c r="N130" s="35"/>
    </row>
    <row r="131" spans="1:14" s="36" customFormat="1" ht="15.75" customHeight="1" x14ac:dyDescent="0.25">
      <c r="A131" s="154">
        <f>A130+1</f>
        <v>4</v>
      </c>
      <c r="B131" s="154"/>
      <c r="C131" s="62" t="s">
        <v>252</v>
      </c>
      <c r="D131" s="64">
        <f>(3.45*3.05+2.4*3.11+2.82*4.1+1.05*1.95+1.05*1.95+1*2.5)*10.764</f>
        <v>389.04863399999994</v>
      </c>
      <c r="E131" s="41">
        <v>0</v>
      </c>
      <c r="F131" s="41">
        <f>D131*(($F$118)+1)+(IF(E131&lt;101,E131,IF(E131&lt;201,E131/2,IF(E131&lt;=301,E131/3,E131/4))))</f>
        <v>583.57295099999988</v>
      </c>
      <c r="G131" s="121"/>
      <c r="H131" s="122"/>
      <c r="L131" s="35">
        <f>3.45*3.05+2.4*3.11+2.82*4.1+1.05*1.95+1.05*1.95+1*2.5</f>
        <v>36.143499999999996</v>
      </c>
      <c r="M131" s="68"/>
      <c r="N131" s="35"/>
    </row>
    <row r="132" spans="1:14" s="36" customFormat="1" ht="15.75" customHeight="1" x14ac:dyDescent="0.25">
      <c r="A132" s="154">
        <f>A131+1</f>
        <v>5</v>
      </c>
      <c r="B132" s="154"/>
      <c r="C132" s="62" t="s">
        <v>251</v>
      </c>
      <c r="D132" s="64">
        <f>(3.57*3.81+2.1*2.29+2.74*3.88+2.25*3.51+1.07*2.14+1.07*2.29+1*4.1+1.07*1.5)*10.764</f>
        <v>510.0467579999999</v>
      </c>
      <c r="E132" s="41">
        <v>0</v>
      </c>
      <c r="F132" s="41">
        <f>D132*(($F$118)+1)+(IF(E132&lt;101,E132,IF(E132&lt;201,E132/2,IF(E132&lt;=301,E132/3,E132/4))))</f>
        <v>765.07013699999982</v>
      </c>
      <c r="G132" s="121"/>
      <c r="H132" s="122"/>
      <c r="I132" s="35"/>
      <c r="L132" s="35">
        <f>3.57*3.81+2.1*2.29+2.74*3.88+2.25*3.51+1.07*2.14+1.07*2.29+1*4.1+1.07*1.5</f>
        <v>47.384499999999996</v>
      </c>
      <c r="M132" s="68"/>
      <c r="N132" s="35"/>
    </row>
    <row r="133" spans="1:14" s="63" customFormat="1" ht="15.75" customHeight="1" x14ac:dyDescent="0.25">
      <c r="A133" s="154">
        <f>A132+1</f>
        <v>6</v>
      </c>
      <c r="B133" s="154"/>
      <c r="C133" s="62" t="s">
        <v>252</v>
      </c>
      <c r="D133" s="64">
        <f>(2.7*4.2+1.95*4.2+2.44*3.13+1.05*2.1+1.4*1)*10.764</f>
        <v>331.23196079999997</v>
      </c>
      <c r="E133" s="62">
        <v>0</v>
      </c>
      <c r="F133" s="62">
        <f>D133*(($F$118)+1)+(IF(E133&lt;101,E133,IF(E133&lt;201,E133/2,IF(E133&lt;=301,E133/3,E133/4))))</f>
        <v>496.84794119999992</v>
      </c>
      <c r="G133" s="123"/>
      <c r="H133" s="124"/>
      <c r="L133" s="35">
        <f>2.7*4.2+1.95*4.2+2.44*3.13+1.05*2.1+1.4*1</f>
        <v>30.772199999999998</v>
      </c>
      <c r="M133" s="68"/>
      <c r="N133" s="35"/>
    </row>
    <row r="134" spans="1:14" s="36" customFormat="1" ht="15.75" customHeight="1" x14ac:dyDescent="0.25">
      <c r="A134" s="116" t="s">
        <v>254</v>
      </c>
      <c r="B134" s="117"/>
      <c r="C134" s="117"/>
      <c r="D134" s="117"/>
      <c r="E134" s="117"/>
      <c r="F134" s="117"/>
      <c r="G134" s="117"/>
      <c r="H134" s="118"/>
      <c r="I134" s="35"/>
    </row>
    <row r="135" spans="1:14" s="63" customFormat="1" ht="15.75" customHeight="1" x14ac:dyDescent="0.25">
      <c r="A135" s="116" t="s">
        <v>255</v>
      </c>
      <c r="B135" s="117"/>
      <c r="C135" s="117"/>
      <c r="D135" s="117"/>
      <c r="E135" s="117"/>
      <c r="F135" s="117"/>
      <c r="G135" s="117"/>
      <c r="H135" s="118"/>
      <c r="I135" s="35"/>
    </row>
    <row r="136" spans="1:14" s="63" customFormat="1" ht="15.75" customHeight="1" x14ac:dyDescent="0.25">
      <c r="A136" s="116" t="s">
        <v>256</v>
      </c>
      <c r="B136" s="117"/>
      <c r="C136" s="117"/>
      <c r="D136" s="117"/>
      <c r="E136" s="117"/>
      <c r="F136" s="117"/>
      <c r="G136" s="117"/>
      <c r="H136" s="118"/>
      <c r="I136" s="35"/>
    </row>
    <row r="137" spans="1:14" s="36" customFormat="1" ht="15.75" customHeight="1" x14ac:dyDescent="0.25">
      <c r="A137" s="113">
        <v>1</v>
      </c>
      <c r="B137" s="114"/>
      <c r="C137" s="62" t="s">
        <v>252</v>
      </c>
      <c r="D137" s="64">
        <f>(2.7*4.55+2.4*3.1+2.7*3.45+1.05*1.2+1.2*1.95+2.4*1+2.7)*10.764</f>
        <v>406.23336</v>
      </c>
      <c r="E137" s="41">
        <v>0</v>
      </c>
      <c r="F137" s="41">
        <f>D137*(($F$118)+1)+(IF(E137&lt;101,E137,IF(E137&lt;201,E137/2,IF(E137&lt;=301,E137/3,E137/4))))</f>
        <v>609.35004000000004</v>
      </c>
      <c r="G137" s="119" t="str">
        <f>A136</f>
        <v>1st to 4th Floor For Residential</v>
      </c>
      <c r="H137" s="120"/>
      <c r="I137" s="35">
        <f>2.7*4.55+2.4*3.1+2.7*3.45+1.2*1.95+1.05*1.2+2.9*1+(2.7*1)</f>
        <v>38.24</v>
      </c>
      <c r="J137" s="35">
        <f>I137*5%+38</f>
        <v>39.911999999999999</v>
      </c>
      <c r="K137" s="35">
        <f>2.7*4.55+2.4*3.1+2.7*3.45+1.05*1.2+1.2*1.95+2.4*1+2.7</f>
        <v>37.74</v>
      </c>
      <c r="L137" s="36">
        <f>42.7-K137</f>
        <v>4.9600000000000009</v>
      </c>
    </row>
    <row r="138" spans="1:14" s="36" customFormat="1" ht="15.75" customHeight="1" x14ac:dyDescent="0.25">
      <c r="A138" s="113">
        <v>2</v>
      </c>
      <c r="B138" s="114"/>
      <c r="C138" s="41" t="s">
        <v>257</v>
      </c>
      <c r="D138" s="64">
        <f>(3.8*2.7+2.7*2.1+2.1*1.05+6.1*1)*10.764</f>
        <v>260.86553999999995</v>
      </c>
      <c r="E138" s="41">
        <v>0</v>
      </c>
      <c r="F138" s="41">
        <f>D138*(($F$118)+1)+(IF(E138&lt;101,E138,IF(E138&lt;201,E138/2,IF(E138&lt;=301,E138/3,E138/4))))</f>
        <v>391.2983099999999</v>
      </c>
      <c r="G138" s="121"/>
      <c r="H138" s="122"/>
      <c r="K138" s="35">
        <f>3.8*2.7+2.7*2.1+2.1*1.05+6.1*1</f>
        <v>24.234999999999999</v>
      </c>
    </row>
    <row r="139" spans="1:14" s="36" customFormat="1" ht="15.75" customHeight="1" x14ac:dyDescent="0.25">
      <c r="A139" s="113">
        <v>3</v>
      </c>
      <c r="B139" s="114"/>
      <c r="C139" s="62" t="s">
        <v>252</v>
      </c>
      <c r="D139" s="64">
        <f>(4.5*2.55+4*2.25+3*2.7+1.05*2.1+1.05*1.2+3.8*1)*10.764</f>
        <v>385.78175999999996</v>
      </c>
      <c r="E139" s="41">
        <v>0</v>
      </c>
      <c r="F139" s="41">
        <f>D139*(($F$118)+1)+(IF(E139&lt;101,E139,IF(E139&lt;201,E139/2,IF(E139&lt;=301,E139/3,E139/4))))</f>
        <v>578.67264</v>
      </c>
      <c r="G139" s="123"/>
      <c r="H139" s="124"/>
      <c r="J139" s="71">
        <f>38.8-K139</f>
        <v>2.9600000000000009</v>
      </c>
      <c r="K139" s="35">
        <f>4.5*2.55+4*2.25+3*2.7+1.05*2.1+1.05*1.2+3.8*1</f>
        <v>35.839999999999996</v>
      </c>
    </row>
    <row r="140" spans="1:14" s="34" customFormat="1" x14ac:dyDescent="0.25">
      <c r="A140" s="115" t="s">
        <v>68</v>
      </c>
      <c r="B140" s="115"/>
      <c r="C140" s="115"/>
      <c r="D140" s="115"/>
      <c r="E140" s="115"/>
      <c r="F140" s="115"/>
      <c r="G140" s="115"/>
      <c r="H140" s="115"/>
    </row>
    <row r="141" spans="1:14" s="34" customFormat="1" x14ac:dyDescent="0.25">
      <c r="A141" s="45" t="s">
        <v>151</v>
      </c>
      <c r="B141" s="212" t="s">
        <v>279</v>
      </c>
      <c r="C141" s="213"/>
      <c r="D141" s="213"/>
      <c r="E141" s="213"/>
      <c r="F141" s="213"/>
      <c r="G141" s="213"/>
      <c r="H141" s="214"/>
    </row>
    <row r="142" spans="1:14" s="34" customFormat="1" x14ac:dyDescent="0.25">
      <c r="A142" s="45" t="s">
        <v>151</v>
      </c>
      <c r="B142" s="215" t="str">
        <f>(IF(F117="Saleable area Loading :","We have considered Saleable area of Flats as per our Calculation.","We considered Saleable area of Flat as per Builder area Sheet."))</f>
        <v>We have considered Saleable area of Flats as per our Calculation.</v>
      </c>
      <c r="C142" s="216"/>
      <c r="D142" s="216"/>
      <c r="E142" s="216"/>
      <c r="F142" s="216"/>
      <c r="G142" s="216"/>
      <c r="H142" s="217"/>
    </row>
    <row r="143" spans="1:14" s="34" customFormat="1" x14ac:dyDescent="0.25">
      <c r="A143" s="45" t="s">
        <v>151</v>
      </c>
      <c r="B143" s="84" t="s">
        <v>121</v>
      </c>
      <c r="C143" s="85"/>
      <c r="D143" s="85"/>
      <c r="E143" s="85"/>
      <c r="F143" s="85"/>
      <c r="G143" s="85"/>
      <c r="H143" s="86"/>
    </row>
    <row r="144" spans="1:14" s="34" customFormat="1" x14ac:dyDescent="0.25">
      <c r="A144" s="45" t="s">
        <v>151</v>
      </c>
      <c r="B144" s="84" t="s">
        <v>274</v>
      </c>
      <c r="C144" s="85"/>
      <c r="D144" s="85"/>
      <c r="E144" s="85"/>
      <c r="F144" s="85"/>
      <c r="G144" s="85"/>
      <c r="H144" s="86"/>
    </row>
    <row r="145" spans="1:8" s="34" customFormat="1" x14ac:dyDescent="0.25">
      <c r="A145" s="45" t="s">
        <v>151</v>
      </c>
      <c r="B145" s="84" t="s">
        <v>150</v>
      </c>
      <c r="C145" s="85"/>
      <c r="D145" s="85"/>
      <c r="E145" s="85"/>
      <c r="F145" s="85"/>
      <c r="G145" s="85"/>
      <c r="H145" s="86"/>
    </row>
    <row r="146" spans="1:8" s="34" customFormat="1" x14ac:dyDescent="0.25">
      <c r="A146" s="45" t="s">
        <v>151</v>
      </c>
      <c r="B146" s="84" t="s">
        <v>122</v>
      </c>
      <c r="C146" s="85"/>
      <c r="D146" s="85"/>
      <c r="E146" s="85"/>
      <c r="F146" s="85"/>
      <c r="G146" s="85"/>
      <c r="H146" s="86"/>
    </row>
    <row r="147" spans="1:8" s="34" customFormat="1" ht="34.5" customHeight="1" x14ac:dyDescent="0.25">
      <c r="A147" s="45" t="s">
        <v>151</v>
      </c>
      <c r="B147" s="84" t="s">
        <v>152</v>
      </c>
      <c r="C147" s="85"/>
      <c r="D147" s="85"/>
      <c r="E147" s="85"/>
      <c r="F147" s="85"/>
      <c r="G147" s="85"/>
      <c r="H147" s="86"/>
    </row>
    <row r="148" spans="1:8" s="34" customFormat="1" x14ac:dyDescent="0.25">
      <c r="A148" s="45" t="s">
        <v>151</v>
      </c>
      <c r="B148" s="84" t="s">
        <v>123</v>
      </c>
      <c r="C148" s="85"/>
      <c r="D148" s="85"/>
      <c r="E148" s="85"/>
      <c r="F148" s="85"/>
      <c r="G148" s="85"/>
      <c r="H148" s="86"/>
    </row>
    <row r="149" spans="1:8" s="34" customFormat="1" ht="30" hidden="1" customHeight="1" x14ac:dyDescent="0.25">
      <c r="A149" s="78" t="s">
        <v>151</v>
      </c>
      <c r="B149" s="224" t="s">
        <v>280</v>
      </c>
      <c r="C149" s="225"/>
      <c r="D149" s="225"/>
      <c r="E149" s="225"/>
      <c r="F149" s="225"/>
      <c r="G149" s="225"/>
      <c r="H149" s="226"/>
    </row>
    <row r="150" spans="1:8" x14ac:dyDescent="0.25">
      <c r="A150" s="174" t="s">
        <v>61</v>
      </c>
      <c r="B150" s="174"/>
      <c r="C150" s="174"/>
      <c r="D150" s="174"/>
      <c r="E150" s="174"/>
      <c r="F150" s="174"/>
      <c r="G150" s="174"/>
      <c r="H150" s="174"/>
    </row>
    <row r="151" spans="1:8" x14ac:dyDescent="0.25">
      <c r="A151" s="101" t="s">
        <v>62</v>
      </c>
      <c r="B151" s="101"/>
      <c r="C151" s="101"/>
      <c r="D151" s="101"/>
      <c r="E151" s="101"/>
      <c r="F151" s="101"/>
      <c r="G151" s="101"/>
      <c r="H151" s="101"/>
    </row>
    <row r="152" spans="1:8" ht="15.75" customHeight="1" x14ac:dyDescent="0.25">
      <c r="A152" s="207" t="s">
        <v>63</v>
      </c>
      <c r="B152" s="207"/>
      <c r="C152" s="207"/>
      <c r="D152" s="207"/>
      <c r="E152" s="207"/>
      <c r="F152" s="207"/>
      <c r="G152" s="207"/>
      <c r="H152" s="207"/>
    </row>
    <row r="153" spans="1:8" x14ac:dyDescent="0.25">
      <c r="A153" s="101" t="s">
        <v>64</v>
      </c>
      <c r="B153" s="101"/>
      <c r="C153" s="101"/>
      <c r="D153" s="101"/>
      <c r="E153" s="101"/>
      <c r="F153" s="101"/>
      <c r="G153" s="101"/>
      <c r="H153" s="101"/>
    </row>
    <row r="154" spans="1:8" x14ac:dyDescent="0.25">
      <c r="A154" s="101" t="s">
        <v>65</v>
      </c>
      <c r="B154" s="101"/>
      <c r="C154" s="101"/>
      <c r="D154" s="101"/>
      <c r="E154" s="101"/>
      <c r="F154" s="101"/>
      <c r="G154" s="101"/>
      <c r="H154" s="101"/>
    </row>
    <row r="155" spans="1:8" x14ac:dyDescent="0.25">
      <c r="A155" s="101" t="s">
        <v>124</v>
      </c>
      <c r="B155" s="101"/>
      <c r="C155" s="101"/>
      <c r="D155" s="101"/>
      <c r="E155" s="101"/>
      <c r="F155" s="101"/>
      <c r="G155" s="101"/>
      <c r="H155" s="101"/>
    </row>
    <row r="156" spans="1:8" x14ac:dyDescent="0.25">
      <c r="A156" s="175" t="s">
        <v>125</v>
      </c>
      <c r="B156" s="175"/>
      <c r="C156" s="175"/>
      <c r="D156" s="175"/>
      <c r="E156" s="175"/>
      <c r="F156" s="175"/>
      <c r="G156" s="175"/>
      <c r="H156" s="175"/>
    </row>
    <row r="157" spans="1:8" x14ac:dyDescent="0.25">
      <c r="A157" s="202" t="s">
        <v>76</v>
      </c>
      <c r="B157" s="202"/>
      <c r="C157" s="202" t="s">
        <v>264</v>
      </c>
      <c r="D157" s="202"/>
      <c r="E157" s="202" t="s">
        <v>106</v>
      </c>
      <c r="F157" s="202"/>
      <c r="G157" s="202" t="s">
        <v>283</v>
      </c>
      <c r="H157" s="202"/>
    </row>
    <row r="158" spans="1:8" x14ac:dyDescent="0.25">
      <c r="A158" s="201" t="s">
        <v>78</v>
      </c>
      <c r="B158" s="201"/>
      <c r="C158" s="201"/>
      <c r="D158" s="201"/>
      <c r="E158" s="201"/>
      <c r="F158" s="201"/>
      <c r="G158" s="201"/>
      <c r="H158" s="201"/>
    </row>
    <row r="159" spans="1:8" x14ac:dyDescent="0.25">
      <c r="A159" s="201"/>
      <c r="B159" s="201"/>
      <c r="C159" s="201"/>
      <c r="D159" s="201"/>
      <c r="E159" s="201"/>
      <c r="F159" s="201"/>
      <c r="G159" s="201"/>
      <c r="H159" s="201"/>
    </row>
    <row r="160" spans="1:8" x14ac:dyDescent="0.25">
      <c r="A160" s="201"/>
      <c r="B160" s="201"/>
      <c r="C160" s="201"/>
      <c r="D160" s="201"/>
      <c r="E160" s="201"/>
      <c r="F160" s="201"/>
      <c r="G160" s="201"/>
      <c r="H160" s="201"/>
    </row>
    <row r="161" spans="1:8" x14ac:dyDescent="0.25">
      <c r="A161" s="37" t="s">
        <v>66</v>
      </c>
      <c r="B161" s="38"/>
      <c r="C161" s="38"/>
      <c r="D161" s="37" t="str">
        <f>E8</f>
        <v>Flower Valley</v>
      </c>
      <c r="F161" s="38"/>
      <c r="G161" s="38"/>
      <c r="H161" s="38"/>
    </row>
    <row r="162" spans="1:8" x14ac:dyDescent="0.25">
      <c r="A162" s="38"/>
      <c r="B162" s="38"/>
      <c r="C162" s="38"/>
      <c r="D162" s="38"/>
      <c r="E162" s="38"/>
      <c r="F162" s="38"/>
      <c r="G162" s="38"/>
      <c r="H162" s="38"/>
    </row>
    <row r="163" spans="1:8" x14ac:dyDescent="0.25">
      <c r="A163" s="38"/>
      <c r="B163" s="38"/>
      <c r="C163" s="38"/>
      <c r="D163" s="38"/>
      <c r="E163" s="38"/>
      <c r="F163" s="38"/>
      <c r="G163" s="38"/>
      <c r="H163" s="38"/>
    </row>
    <row r="164" spans="1:8" ht="15" customHeight="1" x14ac:dyDescent="0.25"/>
    <row r="204" spans="1:1" x14ac:dyDescent="0.25">
      <c r="A204" s="40" t="s">
        <v>162</v>
      </c>
    </row>
    <row r="247" spans="1:1" x14ac:dyDescent="0.25">
      <c r="A247" s="40" t="s">
        <v>67</v>
      </c>
    </row>
  </sheetData>
  <mergeCells count="283">
    <mergeCell ref="B149:H149"/>
    <mergeCell ref="A58:C59"/>
    <mergeCell ref="D58:H58"/>
    <mergeCell ref="D59:H59"/>
    <mergeCell ref="F106:H106"/>
    <mergeCell ref="A70:B70"/>
    <mergeCell ref="A73:B73"/>
    <mergeCell ref="C52:H52"/>
    <mergeCell ref="E84:F84"/>
    <mergeCell ref="G84:H84"/>
    <mergeCell ref="A101:E101"/>
    <mergeCell ref="F101:H101"/>
    <mergeCell ref="A102:E102"/>
    <mergeCell ref="A104:E104"/>
    <mergeCell ref="F98:H98"/>
    <mergeCell ref="A103:E103"/>
    <mergeCell ref="E85:F94"/>
    <mergeCell ref="A92:B92"/>
    <mergeCell ref="A93:B93"/>
    <mergeCell ref="F104:H104"/>
    <mergeCell ref="A100:E100"/>
    <mergeCell ref="A94:B94"/>
    <mergeCell ref="A56:C56"/>
    <mergeCell ref="A71:B71"/>
    <mergeCell ref="I14:P14"/>
    <mergeCell ref="A53:B53"/>
    <mergeCell ref="C53:E53"/>
    <mergeCell ref="D55:H55"/>
    <mergeCell ref="D64:H64"/>
    <mergeCell ref="A65:C65"/>
    <mergeCell ref="G70:H70"/>
    <mergeCell ref="F34:H34"/>
    <mergeCell ref="E42:H42"/>
    <mergeCell ref="E14:H14"/>
    <mergeCell ref="A15:B15"/>
    <mergeCell ref="C15:H15"/>
    <mergeCell ref="C16:H16"/>
    <mergeCell ref="A17:B17"/>
    <mergeCell ref="C17:H17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A152:H152"/>
    <mergeCell ref="A128:B128"/>
    <mergeCell ref="A110:B110"/>
    <mergeCell ref="D117:D118"/>
    <mergeCell ref="E117:E118"/>
    <mergeCell ref="G117:H118"/>
    <mergeCell ref="A89:B89"/>
    <mergeCell ref="A90:B90"/>
    <mergeCell ref="A91:B91"/>
    <mergeCell ref="F96:H96"/>
    <mergeCell ref="G111:H111"/>
    <mergeCell ref="F103:H103"/>
    <mergeCell ref="C113:D113"/>
    <mergeCell ref="A120:H120"/>
    <mergeCell ref="A137:B137"/>
    <mergeCell ref="E110:F110"/>
    <mergeCell ref="B148:H148"/>
    <mergeCell ref="B146:H146"/>
    <mergeCell ref="A115:H115"/>
    <mergeCell ref="B141:H141"/>
    <mergeCell ref="B142:H142"/>
    <mergeCell ref="A117:A118"/>
    <mergeCell ref="A98:E98"/>
    <mergeCell ref="A133:B133"/>
    <mergeCell ref="A158:H160"/>
    <mergeCell ref="A157:B157"/>
    <mergeCell ref="E157:F157"/>
    <mergeCell ref="C157:D157"/>
    <mergeCell ref="G157:H157"/>
    <mergeCell ref="A107:E107"/>
    <mergeCell ref="F107:H107"/>
    <mergeCell ref="A108:E108"/>
    <mergeCell ref="F108:H108"/>
    <mergeCell ref="A127:H127"/>
    <mergeCell ref="A111:B111"/>
    <mergeCell ref="A139:B139"/>
    <mergeCell ref="A153:H153"/>
    <mergeCell ref="A109:H109"/>
    <mergeCell ref="A156:H156"/>
    <mergeCell ref="A154:H154"/>
    <mergeCell ref="A150:H150"/>
    <mergeCell ref="G110:H110"/>
    <mergeCell ref="A151:H151"/>
    <mergeCell ref="A132:B132"/>
    <mergeCell ref="A129:B129"/>
    <mergeCell ref="A130:B130"/>
    <mergeCell ref="B117:B118"/>
    <mergeCell ref="A155:H155"/>
    <mergeCell ref="A10:D10"/>
    <mergeCell ref="E10:H10"/>
    <mergeCell ref="A22:D23"/>
    <mergeCell ref="E22:H2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E71:F80"/>
    <mergeCell ref="G71:H80"/>
    <mergeCell ref="A79:B79"/>
    <mergeCell ref="A80:B80"/>
    <mergeCell ref="A42:D42"/>
    <mergeCell ref="A76:B76"/>
    <mergeCell ref="A11:D11"/>
    <mergeCell ref="E11:H11"/>
    <mergeCell ref="A16:B16"/>
    <mergeCell ref="A13:D13"/>
    <mergeCell ref="A64:C6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F33:H33"/>
    <mergeCell ref="A12:D12"/>
    <mergeCell ref="E12:H12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C35:E35"/>
    <mergeCell ref="A30:D30"/>
    <mergeCell ref="E30:H30"/>
    <mergeCell ref="A31:D31"/>
    <mergeCell ref="E31:H31"/>
    <mergeCell ref="A51:B52"/>
    <mergeCell ref="C38:H38"/>
    <mergeCell ref="A45:D45"/>
    <mergeCell ref="C39:H39"/>
    <mergeCell ref="E46:H46"/>
    <mergeCell ref="A44:D44"/>
    <mergeCell ref="A46:D46"/>
    <mergeCell ref="A47:H47"/>
    <mergeCell ref="C51:E51"/>
    <mergeCell ref="A37:H37"/>
    <mergeCell ref="A36:B36"/>
    <mergeCell ref="C36:E36"/>
    <mergeCell ref="A41:D41"/>
    <mergeCell ref="E41:H41"/>
    <mergeCell ref="A40:H40"/>
    <mergeCell ref="A60:C60"/>
    <mergeCell ref="A61:C61"/>
    <mergeCell ref="D60:H60"/>
    <mergeCell ref="D61:H61"/>
    <mergeCell ref="A43:D43"/>
    <mergeCell ref="E43:H43"/>
    <mergeCell ref="E44:H44"/>
    <mergeCell ref="E45:H45"/>
    <mergeCell ref="F36:H36"/>
    <mergeCell ref="A49:B49"/>
    <mergeCell ref="C49:E49"/>
    <mergeCell ref="A38:B38"/>
    <mergeCell ref="G49:H49"/>
    <mergeCell ref="G51:H51"/>
    <mergeCell ref="A50:B50"/>
    <mergeCell ref="A54:H54"/>
    <mergeCell ref="A55:C55"/>
    <mergeCell ref="A39:B39"/>
    <mergeCell ref="A77:B77"/>
    <mergeCell ref="C50:E50"/>
    <mergeCell ref="A95:E95"/>
    <mergeCell ref="F99:H99"/>
    <mergeCell ref="A105:E105"/>
    <mergeCell ref="F105:H105"/>
    <mergeCell ref="C110:D110"/>
    <mergeCell ref="A135:H135"/>
    <mergeCell ref="A136:H136"/>
    <mergeCell ref="G128:H133"/>
    <mergeCell ref="A78:B78"/>
    <mergeCell ref="A126:B126"/>
    <mergeCell ref="A131:B131"/>
    <mergeCell ref="C111:D111"/>
    <mergeCell ref="E111:F111"/>
    <mergeCell ref="F102:H102"/>
    <mergeCell ref="A96:E96"/>
    <mergeCell ref="A85:B85"/>
    <mergeCell ref="A106:E106"/>
    <mergeCell ref="A81:B81"/>
    <mergeCell ref="C81:H81"/>
    <mergeCell ref="D56:H56"/>
    <mergeCell ref="G53:H53"/>
    <mergeCell ref="D65:H65"/>
    <mergeCell ref="G137:H139"/>
    <mergeCell ref="A112:B112"/>
    <mergeCell ref="C112:D112"/>
    <mergeCell ref="E112:F112"/>
    <mergeCell ref="C117:C118"/>
    <mergeCell ref="A138:B138"/>
    <mergeCell ref="A116:H116"/>
    <mergeCell ref="A122:B122"/>
    <mergeCell ref="A114:B114"/>
    <mergeCell ref="C114:D114"/>
    <mergeCell ref="E114:F114"/>
    <mergeCell ref="G114:H114"/>
    <mergeCell ref="A125:B125"/>
    <mergeCell ref="C125:F125"/>
    <mergeCell ref="A121:B121"/>
    <mergeCell ref="A113:B113"/>
    <mergeCell ref="E113:F113"/>
    <mergeCell ref="A123:B123"/>
    <mergeCell ref="G113:H113"/>
    <mergeCell ref="G112:H112"/>
    <mergeCell ref="C121:F121"/>
    <mergeCell ref="G121:H126"/>
    <mergeCell ref="A119:H119"/>
    <mergeCell ref="B147:H147"/>
    <mergeCell ref="A48:B48"/>
    <mergeCell ref="C48:H48"/>
    <mergeCell ref="B145:H145"/>
    <mergeCell ref="G85:H94"/>
    <mergeCell ref="A86:B86"/>
    <mergeCell ref="A87:B87"/>
    <mergeCell ref="A88:B88"/>
    <mergeCell ref="F97:H97"/>
    <mergeCell ref="A97:E97"/>
    <mergeCell ref="A99:E99"/>
    <mergeCell ref="A84:B84"/>
    <mergeCell ref="A83:B83"/>
    <mergeCell ref="C83:H83"/>
    <mergeCell ref="F95:H95"/>
    <mergeCell ref="F100:H100"/>
    <mergeCell ref="D57:H57"/>
    <mergeCell ref="A57:C57"/>
    <mergeCell ref="G50:H50"/>
    <mergeCell ref="A124:B124"/>
    <mergeCell ref="B143:H143"/>
    <mergeCell ref="B144:H144"/>
    <mergeCell ref="A140:H140"/>
    <mergeCell ref="A134:H134"/>
  </mergeCells>
  <dataValidations count="11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F118">
      <formula1>"45%,50%,55%,60%"</formula1>
    </dataValidation>
    <dataValidation type="list" allowBlank="1" showInputMessage="1" showErrorMessage="1" sqref="G157:H157">
      <formula1>"Gaurav Panchal,Kunal Kadam,Pranita Mhatre,Shruti Fule,Pooja Kawale,Mansee Mohite,Shruti Tathare, Hitakshi Mhatre, Sachin Sawant"</formula1>
    </dataValidation>
    <dataValidation type="list" allowBlank="1" showInputMessage="1" showErrorMessage="1" sqref="F95:H95">
      <formula1>"On Saleable Area,On Builtup Area,On Carpet Area,On Plot Area"</formula1>
    </dataValidation>
    <dataValidation type="list" allowBlank="1" showInputMessage="1" showErrorMessage="1" sqref="F107:H107">
      <formula1>"100000,150000,200000,250000,300000,350000,400000,500000,600000,700000,800000,900000,1000000,1200000,1400000,1500000"</formula1>
    </dataValidation>
    <dataValidation type="list" allowBlank="1" showInputMessage="1" showErrorMessage="1" sqref="F117">
      <formula1>"Saleable area Loading :,Builder Saleable area"</formula1>
    </dataValidation>
    <dataValidation type="list" allowBlank="1" showInputMessage="1" showErrorMessage="1" sqref="B117:B118">
      <formula1>"Flat No. (Sale Plan),Sale / Rehab,Sale / Mhada"</formula1>
    </dataValidation>
    <dataValidation type="list" allowBlank="1" showInputMessage="1" showErrorMessage="1" sqref="C20:D20">
      <formula1>$S$13:$S$19</formula1>
    </dataValidation>
    <dataValidation type="list" allowBlank="1" showInputMessage="1" showErrorMessage="1" sqref="Y12">
      <formula1>$D$4:$H$4</formula1>
    </dataValidation>
  </dataValidations>
  <hyperlinks>
    <hyperlink ref="C39" r:id="rId1"/>
    <hyperlink ref="I63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66" max="16383" man="1"/>
    <brk id="114" max="7" man="1"/>
    <brk id="160" max="16383" man="1"/>
    <brk id="203" max="16383" man="1"/>
    <brk id="246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35" t="s">
        <v>107</v>
      </c>
      <c r="C3" s="235"/>
      <c r="D3" s="235"/>
      <c r="E3" s="235"/>
      <c r="F3" s="235"/>
      <c r="G3" s="235"/>
      <c r="H3" s="235"/>
    </row>
    <row r="4" spans="1:9" x14ac:dyDescent="0.2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4"/>
      <c r="C4" s="54" t="s">
        <v>12</v>
      </c>
      <c r="D4" s="55" t="s">
        <v>173</v>
      </c>
      <c r="E4" s="55" t="s">
        <v>183</v>
      </c>
      <c r="F4" s="55" t="s">
        <v>169</v>
      </c>
      <c r="G4" s="55" t="s">
        <v>188</v>
      </c>
      <c r="H4" s="55" t="s">
        <v>206</v>
      </c>
      <c r="J4" t="s">
        <v>188</v>
      </c>
      <c r="K4" t="s">
        <v>204</v>
      </c>
    </row>
    <row r="5" spans="2:11" x14ac:dyDescent="0.25">
      <c r="B5" s="54"/>
      <c r="C5" s="54"/>
      <c r="D5" s="55" t="s">
        <v>174</v>
      </c>
      <c r="E5" s="55" t="s">
        <v>181</v>
      </c>
      <c r="F5" s="55" t="s">
        <v>203</v>
      </c>
      <c r="G5" s="55" t="s">
        <v>189</v>
      </c>
      <c r="H5" s="55" t="s">
        <v>207</v>
      </c>
    </row>
    <row r="6" spans="2:11" x14ac:dyDescent="0.25">
      <c r="B6" s="54"/>
      <c r="C6" s="54"/>
      <c r="D6" s="55" t="s">
        <v>175</v>
      </c>
      <c r="E6" s="55" t="s">
        <v>182</v>
      </c>
      <c r="F6" s="55" t="s">
        <v>204</v>
      </c>
      <c r="G6" s="55" t="s">
        <v>190</v>
      </c>
      <c r="H6" s="55" t="s">
        <v>220</v>
      </c>
    </row>
    <row r="7" spans="2:11" x14ac:dyDescent="0.25">
      <c r="B7" s="54"/>
      <c r="C7" s="54"/>
      <c r="D7" s="55" t="s">
        <v>176</v>
      </c>
      <c r="E7" s="55" t="s">
        <v>184</v>
      </c>
      <c r="F7" s="55" t="s">
        <v>205</v>
      </c>
      <c r="G7" s="55" t="s">
        <v>191</v>
      </c>
      <c r="H7" s="55" t="s">
        <v>208</v>
      </c>
    </row>
    <row r="8" spans="2:11" x14ac:dyDescent="0.25">
      <c r="B8" s="54"/>
      <c r="C8" s="54"/>
      <c r="D8" s="55" t="s">
        <v>177</v>
      </c>
      <c r="E8" s="55" t="s">
        <v>185</v>
      </c>
      <c r="F8" s="55"/>
      <c r="G8" s="55" t="s">
        <v>192</v>
      </c>
      <c r="H8" s="55" t="s">
        <v>209</v>
      </c>
    </row>
    <row r="9" spans="2:11" x14ac:dyDescent="0.25">
      <c r="B9" s="54"/>
      <c r="C9" s="54"/>
      <c r="D9" s="55" t="s">
        <v>178</v>
      </c>
      <c r="E9" s="55" t="s">
        <v>183</v>
      </c>
      <c r="F9" s="55"/>
      <c r="G9" s="55" t="s">
        <v>193</v>
      </c>
      <c r="H9" s="55" t="s">
        <v>210</v>
      </c>
    </row>
    <row r="10" spans="2:11" x14ac:dyDescent="0.25">
      <c r="B10" s="54"/>
      <c r="C10" s="54"/>
      <c r="D10" s="55" t="s">
        <v>179</v>
      </c>
      <c r="E10" s="55" t="s">
        <v>186</v>
      </c>
      <c r="F10" s="55"/>
      <c r="G10" s="55" t="s">
        <v>194</v>
      </c>
      <c r="H10" s="55" t="s">
        <v>211</v>
      </c>
    </row>
    <row r="11" spans="2:11" x14ac:dyDescent="0.25">
      <c r="B11" s="54"/>
      <c r="C11" s="54"/>
      <c r="D11" s="55" t="s">
        <v>180</v>
      </c>
      <c r="E11" s="55" t="s">
        <v>187</v>
      </c>
      <c r="F11" s="55"/>
      <c r="G11" s="55" t="s">
        <v>195</v>
      </c>
      <c r="H11" s="55" t="s">
        <v>212</v>
      </c>
    </row>
    <row r="12" spans="2:11" x14ac:dyDescent="0.25">
      <c r="B12" s="54"/>
      <c r="C12" s="54"/>
      <c r="D12" s="55"/>
      <c r="E12" s="55"/>
      <c r="F12" s="55"/>
      <c r="G12" s="55" t="s">
        <v>196</v>
      </c>
      <c r="H12" s="55" t="s">
        <v>213</v>
      </c>
    </row>
    <row r="13" spans="2:11" x14ac:dyDescent="0.25">
      <c r="B13" s="54"/>
      <c r="C13" s="54"/>
      <c r="D13" s="55"/>
      <c r="E13" s="55"/>
      <c r="F13" s="55"/>
      <c r="G13" s="55" t="s">
        <v>197</v>
      </c>
      <c r="H13" s="55" t="s">
        <v>214</v>
      </c>
    </row>
    <row r="14" spans="2:11" x14ac:dyDescent="0.25">
      <c r="B14" s="54"/>
      <c r="C14" s="54"/>
      <c r="D14" s="55"/>
      <c r="E14" s="55"/>
      <c r="F14" s="55"/>
      <c r="G14" s="55" t="s">
        <v>198</v>
      </c>
      <c r="H14" s="55" t="s">
        <v>215</v>
      </c>
    </row>
    <row r="15" spans="2:11" x14ac:dyDescent="0.25">
      <c r="B15" s="54"/>
      <c r="C15" s="54"/>
      <c r="D15" s="55"/>
      <c r="E15" s="55"/>
      <c r="F15" s="55"/>
      <c r="G15" s="55" t="s">
        <v>199</v>
      </c>
      <c r="H15" s="55" t="s">
        <v>216</v>
      </c>
    </row>
    <row r="16" spans="2:11" x14ac:dyDescent="0.25">
      <c r="B16" s="54"/>
      <c r="C16" s="54"/>
      <c r="D16" s="55"/>
      <c r="E16" s="55"/>
      <c r="F16" s="55"/>
      <c r="G16" s="55" t="s">
        <v>200</v>
      </c>
      <c r="H16" s="55" t="s">
        <v>217</v>
      </c>
    </row>
    <row r="17" spans="2:8" x14ac:dyDescent="0.25">
      <c r="B17" s="54"/>
      <c r="C17" s="54"/>
      <c r="D17" s="55"/>
      <c r="E17" s="55"/>
      <c r="F17" s="55"/>
      <c r="G17" s="55" t="s">
        <v>201</v>
      </c>
      <c r="H17" s="55" t="s">
        <v>218</v>
      </c>
    </row>
    <row r="18" spans="2:8" x14ac:dyDescent="0.25">
      <c r="B18" s="54"/>
      <c r="C18" s="54"/>
      <c r="D18" s="55"/>
      <c r="E18" s="55"/>
      <c r="F18" s="55"/>
      <c r="G18" s="55" t="s">
        <v>202</v>
      </c>
      <c r="H18" s="55" t="s">
        <v>219</v>
      </c>
    </row>
    <row r="24" spans="2:8" x14ac:dyDescent="0.25">
      <c r="C24" t="s">
        <v>167</v>
      </c>
    </row>
    <row r="25" spans="2:8" x14ac:dyDescent="0.25">
      <c r="C25" t="s">
        <v>221</v>
      </c>
    </row>
    <row r="26" spans="2:8" x14ac:dyDescent="0.25">
      <c r="C26" t="s">
        <v>222</v>
      </c>
    </row>
    <row r="27" spans="2:8" x14ac:dyDescent="0.25">
      <c r="C27" t="s">
        <v>223</v>
      </c>
    </row>
    <row r="28" spans="2:8" x14ac:dyDescent="0.25">
      <c r="C28" t="s">
        <v>224</v>
      </c>
    </row>
    <row r="29" spans="2:8" x14ac:dyDescent="0.25">
      <c r="C29" t="s">
        <v>225</v>
      </c>
    </row>
    <row r="30" spans="2:8" x14ac:dyDescent="0.25">
      <c r="C30" t="s">
        <v>167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2025-04-10T12:13:47Z</cp:lastPrinted>
  <dcterms:created xsi:type="dcterms:W3CDTF">2019-07-16T09:29:46Z</dcterms:created>
  <dcterms:modified xsi:type="dcterms:W3CDTF">2025-07-11T07:50:37Z</dcterms:modified>
</cp:coreProperties>
</file>