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Pending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J128" i="1"/>
  <c r="J129" i="1"/>
  <c r="J130" i="1"/>
  <c r="J131" i="1"/>
  <c r="J126" i="1"/>
  <c r="B159" i="1"/>
  <c r="B160" i="1" s="1"/>
  <c r="B161" i="1" s="1"/>
  <c r="B162" i="1" s="1"/>
  <c r="B163" i="1" s="1"/>
  <c r="B164" i="1" s="1"/>
  <c r="A159" i="1"/>
  <c r="A160" i="1" s="1"/>
  <c r="A161" i="1" s="1"/>
  <c r="A162" i="1" s="1"/>
  <c r="A163" i="1" s="1"/>
  <c r="A164" i="1" s="1"/>
  <c r="B151" i="1"/>
  <c r="B152" i="1" s="1"/>
  <c r="B153" i="1" s="1"/>
  <c r="B154" i="1" s="1"/>
  <c r="B155" i="1" s="1"/>
  <c r="B156" i="1" s="1"/>
  <c r="A151" i="1"/>
  <c r="A152" i="1" s="1"/>
  <c r="A153" i="1" s="1"/>
  <c r="A154" i="1" s="1"/>
  <c r="A155" i="1" s="1"/>
  <c r="A156" i="1" s="1"/>
  <c r="B143" i="1"/>
  <c r="B144" i="1" s="1"/>
  <c r="B145" i="1" s="1"/>
  <c r="B146" i="1" s="1"/>
  <c r="B147" i="1" s="1"/>
  <c r="A143" i="1"/>
  <c r="A144" i="1" s="1"/>
  <c r="A145" i="1" s="1"/>
  <c r="A146" i="1" s="1"/>
  <c r="A147" i="1" s="1"/>
  <c r="B134" i="1"/>
  <c r="B135" i="1" s="1"/>
  <c r="B136" i="1" s="1"/>
  <c r="B137" i="1" s="1"/>
  <c r="B138" i="1" s="1"/>
  <c r="A134" i="1"/>
  <c r="A135" i="1" s="1"/>
  <c r="A136" i="1" s="1"/>
  <c r="A137" i="1" s="1"/>
  <c r="A138" i="1" s="1"/>
  <c r="B127" i="1"/>
  <c r="B128" i="1" s="1"/>
  <c r="B129" i="1" s="1"/>
  <c r="B130" i="1" s="1"/>
  <c r="B131" i="1" s="1"/>
  <c r="A127" i="1"/>
  <c r="A128" i="1" s="1"/>
  <c r="A129" i="1" s="1"/>
  <c r="A130" i="1" s="1"/>
  <c r="A131" i="1" s="1"/>
  <c r="C80" i="1" l="1"/>
  <c r="D138" i="1"/>
  <c r="D137" i="1"/>
  <c r="D136" i="1"/>
  <c r="D135" i="1"/>
  <c r="D134" i="1"/>
  <c r="G133" i="1"/>
  <c r="D133" i="1"/>
  <c r="D131" i="1"/>
  <c r="D130" i="1"/>
  <c r="D129" i="1"/>
  <c r="M129" i="1" s="1"/>
  <c r="D128" i="1"/>
  <c r="M128" i="1" s="1"/>
  <c r="D127" i="1"/>
  <c r="M127" i="1" s="1"/>
  <c r="G126" i="1"/>
  <c r="D126" i="1"/>
  <c r="M126" i="1" s="1"/>
  <c r="D164" i="1"/>
  <c r="I164" i="1" s="1"/>
  <c r="D163" i="1"/>
  <c r="I163" i="1" s="1"/>
  <c r="D162" i="1"/>
  <c r="I162" i="1" s="1"/>
  <c r="D161" i="1"/>
  <c r="I161" i="1" s="1"/>
  <c r="D160" i="1"/>
  <c r="I160" i="1" s="1"/>
  <c r="D159" i="1"/>
  <c r="I159" i="1" s="1"/>
  <c r="D158" i="1"/>
  <c r="I158" i="1" s="1"/>
  <c r="E156" i="1"/>
  <c r="E155" i="1"/>
  <c r="E154" i="1"/>
  <c r="D156" i="1"/>
  <c r="D155" i="1"/>
  <c r="D154" i="1"/>
  <c r="D153" i="1"/>
  <c r="D152" i="1"/>
  <c r="D151" i="1"/>
  <c r="D150" i="1"/>
  <c r="D148" i="1"/>
  <c r="J148" i="1" s="1"/>
  <c r="D147" i="1"/>
  <c r="J147" i="1" s="1"/>
  <c r="D146" i="1"/>
  <c r="J146" i="1" s="1"/>
  <c r="D145" i="1"/>
  <c r="J145" i="1" s="1"/>
  <c r="D144" i="1"/>
  <c r="J144" i="1" s="1"/>
  <c r="D143" i="1"/>
  <c r="J143" i="1" s="1"/>
  <c r="D142" i="1"/>
  <c r="J142" i="1" s="1"/>
  <c r="D124" i="1"/>
  <c r="M124" i="1" s="1"/>
  <c r="D123" i="1"/>
  <c r="M123" i="1" s="1"/>
  <c r="D122" i="1"/>
  <c r="M122" i="1" s="1"/>
  <c r="D121" i="1"/>
  <c r="M121" i="1" s="1"/>
  <c r="D120" i="1"/>
  <c r="M120" i="1" s="1"/>
  <c r="D119" i="1"/>
  <c r="M119" i="1" s="1"/>
  <c r="K155" i="1"/>
  <c r="I155" i="1"/>
  <c r="J155" i="1"/>
  <c r="J154" i="1"/>
  <c r="I154" i="1"/>
  <c r="I147" i="1"/>
  <c r="I120" i="1"/>
  <c r="I119" i="1"/>
  <c r="K119" i="1"/>
  <c r="K120" i="1"/>
  <c r="I122" i="1"/>
  <c r="J120" i="1"/>
  <c r="L119" i="1"/>
  <c r="C110" i="1" l="1"/>
  <c r="E111" i="1"/>
  <c r="C111" i="1"/>
  <c r="M131" i="1"/>
  <c r="E110" i="1"/>
  <c r="M130" i="1"/>
  <c r="G158" i="1"/>
  <c r="J119" i="1"/>
  <c r="B120" i="1"/>
  <c r="B121" i="1" s="1"/>
  <c r="B122" i="1" s="1"/>
  <c r="B123" i="1" s="1"/>
  <c r="B124" i="1" s="1"/>
  <c r="A120" i="1"/>
  <c r="A121" i="1" s="1"/>
  <c r="A122" i="1" s="1"/>
  <c r="A123" i="1" s="1"/>
  <c r="A124" i="1" s="1"/>
  <c r="A148" i="1"/>
  <c r="B148" i="1"/>
  <c r="G142" i="1"/>
  <c r="G150" i="1"/>
  <c r="C14" i="1"/>
  <c r="C112" i="1" l="1"/>
  <c r="G111" i="1"/>
  <c r="E112" i="1"/>
  <c r="D60" i="1"/>
  <c r="E29" i="1"/>
  <c r="B167" i="1"/>
  <c r="C66" i="1"/>
  <c r="B67" i="1" s="1"/>
  <c r="E24" i="1"/>
  <c r="E26" i="1" l="1"/>
  <c r="E42" i="1" l="1"/>
  <c r="E43" i="1" s="1"/>
  <c r="F107" i="1" l="1"/>
  <c r="G110" i="1" l="1"/>
  <c r="G112" i="1" s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7" i="1"/>
  <c r="G119" i="1"/>
  <c r="D54" i="1"/>
  <c r="C49" i="1"/>
  <c r="C50" i="1" s="1"/>
  <c r="E7" i="1"/>
  <c r="E3" i="1"/>
  <c r="H67" i="1"/>
  <c r="D79" i="1" l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4" i="1" l="1"/>
  <c r="J75" i="1" s="1"/>
  <c r="J76" i="1" s="1"/>
  <c r="J77" i="1" s="1"/>
  <c r="D72" i="1"/>
  <c r="J68" i="1"/>
  <c r="D70" i="1"/>
  <c r="B81" i="1" l="1"/>
  <c r="J79" i="1"/>
  <c r="H81" i="1"/>
  <c r="C71" i="1" l="1"/>
  <c r="G70" i="1" s="1"/>
  <c r="D64" i="1" s="1"/>
  <c r="D65" i="1" s="1"/>
  <c r="J85" i="1"/>
  <c r="C84" i="1" s="1"/>
  <c r="D84" i="1" s="1"/>
  <c r="J83" i="1"/>
  <c r="J80" i="1"/>
  <c r="J82" i="1" s="1"/>
  <c r="D93" i="1"/>
  <c r="D92" i="1"/>
  <c r="D91" i="1"/>
  <c r="D90" i="1"/>
  <c r="D89" i="1"/>
  <c r="D88" i="1"/>
  <c r="D87" i="1"/>
  <c r="D86" i="1"/>
  <c r="J84" i="1"/>
  <c r="J91" i="1"/>
  <c r="J90" i="1"/>
  <c r="J89" i="1"/>
  <c r="J88" i="1"/>
  <c r="J86" i="1"/>
  <c r="J87" i="1" s="1"/>
  <c r="J92" i="1" s="1"/>
  <c r="J67" i="1" l="1"/>
  <c r="E70" i="1"/>
  <c r="D71" i="1"/>
  <c r="I67" i="1" s="1"/>
  <c r="I68" i="1" s="1"/>
  <c r="F65" i="1"/>
  <c r="J93" i="1"/>
  <c r="C85" i="1" s="1"/>
  <c r="J81" i="1" s="1"/>
  <c r="G84" i="1" l="1"/>
  <c r="I66" i="1"/>
  <c r="C68" i="1" s="1"/>
  <c r="E84" i="1"/>
  <c r="D85" i="1"/>
  <c r="I81" i="1" s="1"/>
  <c r="I82" i="1" l="1"/>
  <c r="I80" i="1" s="1"/>
  <c r="C82" i="1" s="1"/>
</calcChain>
</file>

<file path=xl/sharedStrings.xml><?xml version="1.0" encoding="utf-8"?>
<sst xmlns="http://schemas.openxmlformats.org/spreadsheetml/2006/main" count="337" uniqueCount="224">
  <si>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</si>
  <si>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</si>
  <si>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</si>
  <si>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</si>
  <si>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</si>
  <si>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</si>
  <si>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</si>
  <si>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</si>
  <si>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</si>
  <si>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</si>
  <si>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</si>
  <si>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</si>
  <si>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</si>
  <si>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</si>
  <si>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</si>
  <si>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</si>
  <si>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</si>
  <si>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</si>
  <si>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</si>
  <si>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</si>
  <si>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</si>
  <si>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</si>
  <si>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</si>
  <si>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</si>
  <si>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</si>
  <si>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</si>
  <si>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</si>
  <si>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</si>
  <si>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</si>
  <si>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</si>
  <si>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</si>
  <si>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</si>
  <si>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</si>
  <si>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</si>
  <si>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</si>
  <si>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</si>
  <si>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</si>
  <si>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</si>
  <si>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</si>
  <si>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</si>
  <si>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</si>
  <si>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</si>
  <si>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</si>
  <si>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</si>
  <si>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</si>
  <si>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</si>
  <si>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</si>
  <si>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</si>
  <si>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</si>
  <si>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</si>
  <si>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</si>
  <si>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</si>
  <si>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</si>
  <si>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</si>
  <si>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</si>
  <si>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</si>
  <si>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</si>
  <si>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</si>
  <si>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</si>
  <si>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</si>
  <si>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</si>
  <si>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</si>
  <si>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</si>
  <si>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</si>
  <si>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</si>
  <si>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</si>
  <si>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</si>
  <si>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</si>
  <si>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</si>
  <si>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</si>
  <si>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</si>
  <si>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</si>
  <si>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</si>
  <si>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</si>
  <si>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</si>
  <si>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</si>
  <si>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</si>
  <si>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</si>
  <si>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</si>
  <si>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</si>
  <si>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</si>
  <si>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</si>
  <si>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</si>
  <si>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</si>
  <si>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</si>
  <si>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</si>
  <si>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</si>
  <si>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</si>
  <si>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</si>
  <si>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</si>
  <si>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</si>
  <si>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</si>
  <si>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</si>
  <si>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</si>
  <si>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</si>
  <si>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</si>
  <si>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</si>
  <si>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</si>
  <si>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</si>
  <si>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</si>
  <si>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</si>
  <si>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</si>
  <si>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</si>
  <si>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</si>
  <si>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</si>
  <si>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</si>
  <si>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</si>
  <si>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</si>
  <si>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</si>
  <si>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</si>
  <si>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</si>
  <si>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</si>
  <si>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</si>
  <si>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</si>
  <si>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</si>
  <si>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</si>
  <si>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</si>
  <si>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</si>
  <si>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</si>
  <si>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</si>
  <si>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</si>
  <si>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</si>
  <si>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</si>
  <si>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</si>
  <si>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</si>
  <si>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</si>
  <si>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</si>
  <si>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</si>
  <si>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</si>
  <si>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</si>
  <si>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</si>
  <si>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</si>
  <si>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</si>
  <si>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</si>
  <si>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</si>
  <si>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</si>
  <si>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</si>
  <si>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</si>
  <si>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</si>
  <si>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</si>
  <si>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</si>
  <si>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</si>
  <si>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</si>
  <si>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</si>
  <si>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</si>
  <si>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</si>
  <si>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</si>
  <si>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</si>
  <si>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</si>
  <si>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</si>
  <si>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</si>
  <si>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</si>
  <si>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</si>
  <si>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</si>
  <si>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</si>
  <si>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</si>
  <si>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</si>
  <si>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</si>
  <si>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</si>
  <si>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</si>
  <si>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</si>
  <si>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</si>
  <si>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</si>
  <si>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</si>
  <si>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</si>
  <si>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</si>
  <si>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</si>
  <si>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</si>
  <si>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</si>
  <si>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</si>
  <si>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Sanpada</t>
  </si>
  <si>
    <t>Sai Shanti</t>
  </si>
  <si>
    <t>Sai Shradhha Developers</t>
  </si>
  <si>
    <t>P52000049681</t>
  </si>
  <si>
    <t>Survey No</t>
  </si>
  <si>
    <t>289/1/1</t>
  </si>
  <si>
    <t>Raigad</t>
  </si>
  <si>
    <t>Pen</t>
  </si>
  <si>
    <t>2.2 KM from Pen Railway Station</t>
  </si>
  <si>
    <t>https://goo.gl/maps/X4RU4tAfMe93VTrRA?coh=178572&amp;entry=tt</t>
  </si>
  <si>
    <t>18.743678, 73.096710</t>
  </si>
  <si>
    <t>Santoshi Mata Mandir</t>
  </si>
  <si>
    <t>Internal Road</t>
  </si>
  <si>
    <t>Vishweshwar Nagar</t>
  </si>
  <si>
    <t>Open Plot</t>
  </si>
  <si>
    <t>Row House</t>
  </si>
  <si>
    <t>Pen Municipal Council</t>
  </si>
  <si>
    <t>CCRDP/B/2022/APL/00482</t>
  </si>
  <si>
    <t>As per RERA - 31/12/2027</t>
  </si>
  <si>
    <t>Nitesh Patil</t>
  </si>
  <si>
    <t xml:space="preserve">Kids play area, Yoga &amp; Meditation deck, Landscaping, Ample space for parking, Senior citizen zone, Gated security, Mechanical gym, CCTV Surveillance, Wifi zone, Intercom system. </t>
  </si>
  <si>
    <t>Wing A &amp; B</t>
  </si>
  <si>
    <t>02 Wings</t>
  </si>
  <si>
    <t>Wing A &amp; B = G + 1st to 7th Floor</t>
  </si>
  <si>
    <t>Ground Floor For Entrance Lobby, Fitness Center, Drivers Room &amp; Parking</t>
  </si>
  <si>
    <t>1st to 5th Floor For Residential</t>
  </si>
  <si>
    <t>6th Floor For Residential</t>
  </si>
  <si>
    <t>Wing A</t>
  </si>
  <si>
    <t>Wing B</t>
  </si>
  <si>
    <t>Ground Floor For Entrance Lobby &amp; Parking</t>
  </si>
  <si>
    <t>1BHK</t>
  </si>
  <si>
    <t>6th Floor</t>
  </si>
  <si>
    <t>7th Floor For Residential</t>
  </si>
  <si>
    <t>7th Floor</t>
  </si>
  <si>
    <t>1RK</t>
  </si>
  <si>
    <t>Multipurpose Room</t>
  </si>
  <si>
    <t>We considered Gross carpet area = Net carpet + Enclose balcony + A.P Area.</t>
  </si>
  <si>
    <t>Flats - 91</t>
  </si>
  <si>
    <t>Builder Saleable area</t>
  </si>
  <si>
    <t>Wing B = G + 1st to 7th Floor</t>
  </si>
  <si>
    <t>Flat numbers are mentioned in approved floor plans.</t>
  </si>
  <si>
    <t>Water, MSEB, Development Charges</t>
  </si>
  <si>
    <t>Cost sheet</t>
  </si>
  <si>
    <t>Inspection sheet</t>
  </si>
  <si>
    <t>2BHK</t>
  </si>
  <si>
    <t>Construction stages: discuss with visitors.</t>
  </si>
  <si>
    <t>Mr.Namdev Rathod : 98213052071</t>
  </si>
  <si>
    <t>Wing A = G + 1st to 7th Floor</t>
  </si>
  <si>
    <t>rate 4100 by smith verbal from cost sheet  on 07/05/2025</t>
  </si>
  <si>
    <t>1L to 2L by Trupti verbal</t>
  </si>
  <si>
    <t>on 20/06/2025</t>
  </si>
  <si>
    <t>Recommended Rates of the Property have been revised on 07/05/2025 &amp; 20/06/2025.</t>
  </si>
  <si>
    <t>Pranita Mhatre</t>
  </si>
  <si>
    <t xml:space="preserve">Wing A &amp; B = Construction work is in process at the time of Visit. (Slow Speed)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</si>
</sst>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/>
    </xf>
    <xf numFmtId="168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2" applyFont="1" applyAlignment="1">
      <alignment horizontal="right"/>
    </xf>
    <xf numFmtId="0" fontId="7" fillId="0" borderId="0" xfId="0" applyFont="1" applyAlignment="1">
      <alignment horizontal="left" vertical="center"/>
    </xf>
    <xf numFmtId="0" fontId="6" fillId="0" borderId="0" xfId="2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7" fillId="0" borderId="0" xfId="0" applyFont="1"/>
    <xf numFmtId="0" fontId="28" fillId="0" borderId="0" xfId="0" applyFont="1"/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1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3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197967</xdr:colOff>
      <xdr:row>289</xdr:row>
      <xdr:rowOff>71325</xdr:rowOff>
    </xdr:from>
    <xdr:to>
      <xdr:col>6</xdr:col>
      <xdr:colOff>615782</xdr:colOff>
      <xdr:row>303</xdr:row>
      <xdr:rowOff>168371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9967" y="60401847"/>
          <a:ext cx="456740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190501</xdr:colOff>
      <xdr:row>274</xdr:row>
      <xdr:rowOff>16565</xdr:rowOff>
    </xdr:from>
    <xdr:to>
      <xdr:col>6</xdr:col>
      <xdr:colOff>615782</xdr:colOff>
      <xdr:row>288</xdr:row>
      <xdr:rowOff>113610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1" y="57365348"/>
          <a:ext cx="457486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596348</xdr:colOff>
      <xdr:row>229</xdr:row>
      <xdr:rowOff>198782</xdr:rowOff>
    </xdr:from>
    <xdr:to>
      <xdr:col>6</xdr:col>
      <xdr:colOff>190354</xdr:colOff>
      <xdr:row>244</xdr:row>
      <xdr:rowOff>97044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8348" y="44013782"/>
          <a:ext cx="374359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568145</xdr:colOff>
      <xdr:row>245</xdr:row>
      <xdr:rowOff>64372</xdr:rowOff>
    </xdr:from>
    <xdr:to>
      <xdr:col>5</xdr:col>
      <xdr:colOff>193707</xdr:colOff>
      <xdr:row>259</xdr:row>
      <xdr:rowOff>161418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558" y="47059894"/>
          <a:ext cx="2193171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449804</xdr:colOff>
      <xdr:row>199</xdr:row>
      <xdr:rowOff>66529</xdr:rowOff>
    </xdr:from>
    <xdr:to>
      <xdr:col>8</xdr:col>
      <xdr:colOff>1071769</xdr:colOff>
      <xdr:row>200</xdr:row>
      <xdr:rowOff>83095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74429" y="41271679"/>
          <a:ext cx="621965" cy="2165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B</a:t>
          </a:r>
        </a:p>
      </xdr:txBody>
    </xdr:sp>
    <xdr:clientData/>
  </xdr:twoCellAnchor>
  <xdr:twoCellAnchor>
    <xdr:from>
      <xdr:col>10</xdr:col>
      <xdr:colOff>1009081</xdr:colOff>
      <xdr:row>199</xdr:row>
      <xdr:rowOff>58247</xdr:rowOff>
    </xdr:from>
    <xdr:to>
      <xdr:col>11</xdr:col>
      <xdr:colOff>505653</xdr:colOff>
      <xdr:row>200</xdr:row>
      <xdr:rowOff>74813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457756" y="41263397"/>
          <a:ext cx="630047" cy="2165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B</a:t>
          </a:r>
        </a:p>
      </xdr:txBody>
    </xdr:sp>
    <xdr:clientData/>
  </xdr:twoCellAnchor>
  <xdr:twoCellAnchor>
    <xdr:from>
      <xdr:col>10</xdr:col>
      <xdr:colOff>596900</xdr:colOff>
      <xdr:row>187</xdr:row>
      <xdr:rowOff>98425</xdr:rowOff>
    </xdr:from>
    <xdr:to>
      <xdr:col>11</xdr:col>
      <xdr:colOff>164842</xdr:colOff>
      <xdr:row>188</xdr:row>
      <xdr:rowOff>147569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045575" y="38903275"/>
          <a:ext cx="701417" cy="249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A</a:t>
          </a:r>
        </a:p>
      </xdr:txBody>
    </xdr:sp>
    <xdr:clientData/>
  </xdr:twoCellAnchor>
  <xdr:twoCellAnchor>
    <xdr:from>
      <xdr:col>8</xdr:col>
      <xdr:colOff>731639</xdr:colOff>
      <xdr:row>192</xdr:row>
      <xdr:rowOff>22225</xdr:rowOff>
    </xdr:from>
    <xdr:to>
      <xdr:col>9</xdr:col>
      <xdr:colOff>267831</xdr:colOff>
      <xdr:row>193</xdr:row>
      <xdr:rowOff>71369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256264" y="39817675"/>
          <a:ext cx="698242" cy="249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A</a:t>
          </a:r>
        </a:p>
      </xdr:txBody>
    </xdr:sp>
    <xdr:clientData/>
  </xdr:twoCellAnchor>
  <xdr:twoCellAnchor>
    <xdr:from>
      <xdr:col>10</xdr:col>
      <xdr:colOff>853678</xdr:colOff>
      <xdr:row>192</xdr:row>
      <xdr:rowOff>22225</xdr:rowOff>
    </xdr:from>
    <xdr:to>
      <xdr:col>11</xdr:col>
      <xdr:colOff>421620</xdr:colOff>
      <xdr:row>193</xdr:row>
      <xdr:rowOff>71369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302353" y="39817675"/>
          <a:ext cx="701417" cy="249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B</a:t>
          </a:r>
        </a:p>
      </xdr:txBody>
    </xdr:sp>
    <xdr:clientData/>
  </xdr:twoCellAnchor>
  <xdr:twoCellAnchor>
    <xdr:from>
      <xdr:col>10</xdr:col>
      <xdr:colOff>972489</xdr:colOff>
      <xdr:row>202</xdr:row>
      <xdr:rowOff>13961</xdr:rowOff>
    </xdr:from>
    <xdr:to>
      <xdr:col>11</xdr:col>
      <xdr:colOff>540431</xdr:colOff>
      <xdr:row>203</xdr:row>
      <xdr:rowOff>63105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421164" y="41809661"/>
          <a:ext cx="701417" cy="249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B</a:t>
          </a:r>
        </a:p>
      </xdr:txBody>
    </xdr:sp>
    <xdr:clientData/>
  </xdr:twoCellAnchor>
  <xdr:twoCellAnchor>
    <xdr:from>
      <xdr:col>9</xdr:col>
      <xdr:colOff>0</xdr:colOff>
      <xdr:row>183</xdr:row>
      <xdr:rowOff>0</xdr:rowOff>
    </xdr:from>
    <xdr:to>
      <xdr:col>9</xdr:col>
      <xdr:colOff>736738</xdr:colOff>
      <xdr:row>184</xdr:row>
      <xdr:rowOff>56184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37261800"/>
          <a:ext cx="736738" cy="253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>
              <a:solidFill>
                <a:srgbClr val="C00000"/>
              </a:solidFill>
            </a:rPr>
            <a:t>Wing A</a:t>
          </a:r>
        </a:p>
      </xdr:txBody>
    </xdr:sp>
    <xdr:clientData/>
  </xdr:twoCellAnchor>
  <xdr:twoCellAnchor>
    <xdr:from>
      <xdr:col>11</xdr:col>
      <xdr:colOff>701537</xdr:colOff>
      <xdr:row>183</xdr:row>
      <xdr:rowOff>82550</xdr:rowOff>
    </xdr:from>
    <xdr:to>
      <xdr:col>12</xdr:col>
      <xdr:colOff>701675</xdr:colOff>
      <xdr:row>184</xdr:row>
      <xdr:rowOff>138734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753587" y="37344350"/>
          <a:ext cx="736738" cy="253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>
              <a:solidFill>
                <a:srgbClr val="C00000"/>
              </a:solidFill>
            </a:rPr>
            <a:t>Wing B</a:t>
          </a:r>
        </a:p>
      </xdr:txBody>
    </xdr:sp>
    <xdr:clientData/>
  </xdr:twoCellAnchor>
  <xdr:twoCellAnchor>
    <xdr:from>
      <xdr:col>12</xdr:col>
      <xdr:colOff>284290</xdr:colOff>
      <xdr:row>184</xdr:row>
      <xdr:rowOff>146050</xdr:rowOff>
    </xdr:from>
    <xdr:to>
      <xdr:col>12</xdr:col>
      <xdr:colOff>417640</xdr:colOff>
      <xdr:row>187</xdr:row>
      <xdr:rowOff>114300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11072940" y="37604700"/>
          <a:ext cx="133350" cy="5588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368369</xdr:colOff>
      <xdr:row>184</xdr:row>
      <xdr:rowOff>56184</xdr:rowOff>
    </xdr:from>
    <xdr:to>
      <xdr:col>9</xdr:col>
      <xdr:colOff>493840</xdr:colOff>
      <xdr:row>185</xdr:row>
      <xdr:rowOff>190500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25" idx="2"/>
        </xdr:cNvCxnSpPr>
      </xdr:nvCxnSpPr>
      <xdr:spPr>
        <a:xfrm>
          <a:off x="8432869" y="37514834"/>
          <a:ext cx="125471" cy="33116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226199</xdr:colOff>
      <xdr:row>185</xdr:row>
      <xdr:rowOff>167182</xdr:rowOff>
    </xdr:from>
    <xdr:to>
      <xdr:col>15</xdr:col>
      <xdr:colOff>278077</xdr:colOff>
      <xdr:row>225</xdr:row>
      <xdr:rowOff>33818</xdr:rowOff>
    </xdr:to>
    <xdr:grpSp>
      <xdr:nvGrpSpPr>
        <xdr:cNvPr id="4" name="Group 3"/>
        <xdr:cNvGrpSpPr/>
      </xdr:nvGrpSpPr>
      <xdr:grpSpPr>
        <a:xfrm>
          <a:off x="6804052" y="39107623"/>
          <a:ext cx="6114260" cy="7923666"/>
          <a:chOff x="228600" y="37960300"/>
          <a:chExt cx="6375197" cy="7741542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8832" y="43901842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020" y="3796030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600" y="42011071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55672" y="42011071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4627" y="3796030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42136" y="42011071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789770" y="38131750"/>
            <a:ext cx="736738" cy="2530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100" b="1">
                <a:solidFill>
                  <a:srgbClr val="C00000"/>
                </a:solidFill>
              </a:rPr>
              <a:t>Wing A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3582577" y="38354000"/>
            <a:ext cx="736738" cy="2530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100" b="1">
                <a:solidFill>
                  <a:srgbClr val="C00000"/>
                </a:solidFill>
              </a:rPr>
              <a:t>Wing B</a:t>
            </a:r>
          </a:p>
        </xdr:txBody>
      </xdr:sp>
    </xdr:grpSp>
    <xdr:clientData/>
  </xdr:twoCellAnchor>
  <xdr:twoCellAnchor>
    <xdr:from>
      <xdr:col>0</xdr:col>
      <xdr:colOff>359352</xdr:colOff>
      <xdr:row>187</xdr:row>
      <xdr:rowOff>158401</xdr:rowOff>
    </xdr:from>
    <xdr:to>
      <xdr:col>7</xdr:col>
      <xdr:colOff>190500</xdr:colOff>
      <xdr:row>226</xdr:row>
      <xdr:rowOff>123264</xdr:rowOff>
    </xdr:to>
    <xdr:grpSp>
      <xdr:nvGrpSpPr>
        <xdr:cNvPr id="42" name="Group 41"/>
        <xdr:cNvGrpSpPr/>
      </xdr:nvGrpSpPr>
      <xdr:grpSpPr>
        <a:xfrm>
          <a:off x="359352" y="39502254"/>
          <a:ext cx="5579766" cy="7820186"/>
          <a:chOff x="676505" y="1313952"/>
          <a:chExt cx="5315205" cy="7643499"/>
        </a:xfrm>
      </xdr:grpSpPr>
      <xdr:pic>
        <xdr:nvPicPr>
          <xdr:cNvPr id="43" name="Picture 42" descr="https://vsjcllp.vsjadon.com/upload/insp-24005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48044" y="6797451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4005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0640" y="1313952"/>
            <a:ext cx="2491510" cy="332663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4005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06707" y="6797451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4005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0200" y="1313952"/>
            <a:ext cx="2491510" cy="332663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40055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48044" y="4747936"/>
            <a:ext cx="2541581" cy="19088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40055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6505" y="4747936"/>
            <a:ext cx="2541581" cy="19088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179295</xdr:colOff>
      <xdr:row>13</xdr:row>
      <xdr:rowOff>168088</xdr:rowOff>
    </xdr:from>
    <xdr:to>
      <xdr:col>6</xdr:col>
      <xdr:colOff>723593</xdr:colOff>
      <xdr:row>30</xdr:row>
      <xdr:rowOff>15302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2655794"/>
          <a:ext cx="6942857" cy="3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4RU4tAfMe93VTrRA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73"/>
  <sheetViews>
    <sheetView tabSelected="1" view="pageBreakPreview" topLeftCell="A173" zoomScale="85" zoomScaleNormal="100" zoomScaleSheetLayoutView="85" workbookViewId="0">
      <selection activeCell="I183" sqref="I183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85546875" style="39" customWidth="1"/>
    <col min="4" max="4" width="14.140625" style="39" customWidth="1"/>
    <col min="5" max="7" width="11.85546875" style="39" customWidth="1"/>
    <col min="8" max="8" width="12.42578125" style="39" customWidth="1"/>
    <col min="9" max="9" width="17.42578125" style="20" customWidth="1"/>
    <col min="10" max="10" width="11.42578125" style="20" customWidth="1"/>
    <col min="11" max="11" width="17" style="20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85546875" style="20" customWidth="1"/>
    <col min="17" max="247" width="9.140625" style="20"/>
    <col min="248" max="248" width="8.85546875" style="20" customWidth="1"/>
    <col min="249" max="249" width="9.85546875" style="20" customWidth="1"/>
    <col min="250" max="250" width="14.42578125" style="20" customWidth="1"/>
    <col min="251" max="251" width="7.140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85546875" style="20" customWidth="1"/>
    <col min="505" max="505" width="9.85546875" style="20" customWidth="1"/>
    <col min="506" max="506" width="14.42578125" style="20" customWidth="1"/>
    <col min="507" max="507" width="7.140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85546875" style="20" customWidth="1"/>
    <col min="761" max="761" width="9.85546875" style="20" customWidth="1"/>
    <col min="762" max="762" width="14.42578125" style="20" customWidth="1"/>
    <col min="763" max="763" width="7.140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85546875" style="20" customWidth="1"/>
    <col min="1017" max="1017" width="9.85546875" style="20" customWidth="1"/>
    <col min="1018" max="1018" width="14.42578125" style="20" customWidth="1"/>
    <col min="1019" max="1019" width="7.140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85546875" style="20" customWidth="1"/>
    <col min="1273" max="1273" width="9.85546875" style="20" customWidth="1"/>
    <col min="1274" max="1274" width="14.42578125" style="20" customWidth="1"/>
    <col min="1275" max="1275" width="7.140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85546875" style="20" customWidth="1"/>
    <col min="1529" max="1529" width="9.85546875" style="20" customWidth="1"/>
    <col min="1530" max="1530" width="14.42578125" style="20" customWidth="1"/>
    <col min="1531" max="1531" width="7.140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85546875" style="20" customWidth="1"/>
    <col min="1785" max="1785" width="9.85546875" style="20" customWidth="1"/>
    <col min="1786" max="1786" width="14.42578125" style="20" customWidth="1"/>
    <col min="1787" max="1787" width="7.140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85546875" style="20" customWidth="1"/>
    <col min="2041" max="2041" width="9.85546875" style="20" customWidth="1"/>
    <col min="2042" max="2042" width="14.42578125" style="20" customWidth="1"/>
    <col min="2043" max="2043" width="7.140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85546875" style="20" customWidth="1"/>
    <col min="2297" max="2297" width="9.85546875" style="20" customWidth="1"/>
    <col min="2298" max="2298" width="14.42578125" style="20" customWidth="1"/>
    <col min="2299" max="2299" width="7.140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85546875" style="20" customWidth="1"/>
    <col min="2553" max="2553" width="9.85546875" style="20" customWidth="1"/>
    <col min="2554" max="2554" width="14.42578125" style="20" customWidth="1"/>
    <col min="2555" max="2555" width="7.140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85546875" style="20" customWidth="1"/>
    <col min="2809" max="2809" width="9.85546875" style="20" customWidth="1"/>
    <col min="2810" max="2810" width="14.42578125" style="20" customWidth="1"/>
    <col min="2811" max="2811" width="7.140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85546875" style="20" customWidth="1"/>
    <col min="3065" max="3065" width="9.85546875" style="20" customWidth="1"/>
    <col min="3066" max="3066" width="14.42578125" style="20" customWidth="1"/>
    <col min="3067" max="3067" width="7.140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85546875" style="20" customWidth="1"/>
    <col min="3321" max="3321" width="9.85546875" style="20" customWidth="1"/>
    <col min="3322" max="3322" width="14.42578125" style="20" customWidth="1"/>
    <col min="3323" max="3323" width="7.140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85546875" style="20" customWidth="1"/>
    <col min="3577" max="3577" width="9.85546875" style="20" customWidth="1"/>
    <col min="3578" max="3578" width="14.42578125" style="20" customWidth="1"/>
    <col min="3579" max="3579" width="7.140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85546875" style="20" customWidth="1"/>
    <col min="3833" max="3833" width="9.85546875" style="20" customWidth="1"/>
    <col min="3834" max="3834" width="14.42578125" style="20" customWidth="1"/>
    <col min="3835" max="3835" width="7.140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85546875" style="20" customWidth="1"/>
    <col min="4089" max="4089" width="9.85546875" style="20" customWidth="1"/>
    <col min="4090" max="4090" width="14.42578125" style="20" customWidth="1"/>
    <col min="4091" max="4091" width="7.140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85546875" style="20" customWidth="1"/>
    <col min="4345" max="4345" width="9.85546875" style="20" customWidth="1"/>
    <col min="4346" max="4346" width="14.42578125" style="20" customWidth="1"/>
    <col min="4347" max="4347" width="7.140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85546875" style="20" customWidth="1"/>
    <col min="4601" max="4601" width="9.85546875" style="20" customWidth="1"/>
    <col min="4602" max="4602" width="14.42578125" style="20" customWidth="1"/>
    <col min="4603" max="4603" width="7.140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85546875" style="20" customWidth="1"/>
    <col min="4857" max="4857" width="9.85546875" style="20" customWidth="1"/>
    <col min="4858" max="4858" width="14.42578125" style="20" customWidth="1"/>
    <col min="4859" max="4859" width="7.140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85546875" style="20" customWidth="1"/>
    <col min="5113" max="5113" width="9.85546875" style="20" customWidth="1"/>
    <col min="5114" max="5114" width="14.42578125" style="20" customWidth="1"/>
    <col min="5115" max="5115" width="7.140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85546875" style="20" customWidth="1"/>
    <col min="5369" max="5369" width="9.85546875" style="20" customWidth="1"/>
    <col min="5370" max="5370" width="14.42578125" style="20" customWidth="1"/>
    <col min="5371" max="5371" width="7.140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85546875" style="20" customWidth="1"/>
    <col min="5625" max="5625" width="9.85546875" style="20" customWidth="1"/>
    <col min="5626" max="5626" width="14.42578125" style="20" customWidth="1"/>
    <col min="5627" max="5627" width="7.140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85546875" style="20" customWidth="1"/>
    <col min="5881" max="5881" width="9.85546875" style="20" customWidth="1"/>
    <col min="5882" max="5882" width="14.42578125" style="20" customWidth="1"/>
    <col min="5883" max="5883" width="7.140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85546875" style="20" customWidth="1"/>
    <col min="6137" max="6137" width="9.85546875" style="20" customWidth="1"/>
    <col min="6138" max="6138" width="14.42578125" style="20" customWidth="1"/>
    <col min="6139" max="6139" width="7.140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85546875" style="20" customWidth="1"/>
    <col min="6393" max="6393" width="9.85546875" style="20" customWidth="1"/>
    <col min="6394" max="6394" width="14.42578125" style="20" customWidth="1"/>
    <col min="6395" max="6395" width="7.140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85546875" style="20" customWidth="1"/>
    <col min="6649" max="6649" width="9.85546875" style="20" customWidth="1"/>
    <col min="6650" max="6650" width="14.42578125" style="20" customWidth="1"/>
    <col min="6651" max="6651" width="7.140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85546875" style="20" customWidth="1"/>
    <col min="6905" max="6905" width="9.85546875" style="20" customWidth="1"/>
    <col min="6906" max="6906" width="14.42578125" style="20" customWidth="1"/>
    <col min="6907" max="6907" width="7.140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85546875" style="20" customWidth="1"/>
    <col min="7161" max="7161" width="9.85546875" style="20" customWidth="1"/>
    <col min="7162" max="7162" width="14.42578125" style="20" customWidth="1"/>
    <col min="7163" max="7163" width="7.140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85546875" style="20" customWidth="1"/>
    <col min="7417" max="7417" width="9.85546875" style="20" customWidth="1"/>
    <col min="7418" max="7418" width="14.42578125" style="20" customWidth="1"/>
    <col min="7419" max="7419" width="7.140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85546875" style="20" customWidth="1"/>
    <col min="7673" max="7673" width="9.85546875" style="20" customWidth="1"/>
    <col min="7674" max="7674" width="14.42578125" style="20" customWidth="1"/>
    <col min="7675" max="7675" width="7.140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85546875" style="20" customWidth="1"/>
    <col min="7929" max="7929" width="9.85546875" style="20" customWidth="1"/>
    <col min="7930" max="7930" width="14.42578125" style="20" customWidth="1"/>
    <col min="7931" max="7931" width="7.140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85546875" style="20" customWidth="1"/>
    <col min="8185" max="8185" width="9.85546875" style="20" customWidth="1"/>
    <col min="8186" max="8186" width="14.42578125" style="20" customWidth="1"/>
    <col min="8187" max="8187" width="7.140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85546875" style="20" customWidth="1"/>
    <col min="8441" max="8441" width="9.85546875" style="20" customWidth="1"/>
    <col min="8442" max="8442" width="14.42578125" style="20" customWidth="1"/>
    <col min="8443" max="8443" width="7.140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85546875" style="20" customWidth="1"/>
    <col min="8697" max="8697" width="9.85546875" style="20" customWidth="1"/>
    <col min="8698" max="8698" width="14.42578125" style="20" customWidth="1"/>
    <col min="8699" max="8699" width="7.140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85546875" style="20" customWidth="1"/>
    <col min="8953" max="8953" width="9.85546875" style="20" customWidth="1"/>
    <col min="8954" max="8954" width="14.42578125" style="20" customWidth="1"/>
    <col min="8955" max="8955" width="7.140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85546875" style="20" customWidth="1"/>
    <col min="9209" max="9209" width="9.85546875" style="20" customWidth="1"/>
    <col min="9210" max="9210" width="14.42578125" style="20" customWidth="1"/>
    <col min="9211" max="9211" width="7.140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85546875" style="20" customWidth="1"/>
    <col min="9465" max="9465" width="9.85546875" style="20" customWidth="1"/>
    <col min="9466" max="9466" width="14.42578125" style="20" customWidth="1"/>
    <col min="9467" max="9467" width="7.140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85546875" style="20" customWidth="1"/>
    <col min="9721" max="9721" width="9.85546875" style="20" customWidth="1"/>
    <col min="9722" max="9722" width="14.42578125" style="20" customWidth="1"/>
    <col min="9723" max="9723" width="7.140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85546875" style="20" customWidth="1"/>
    <col min="9977" max="9977" width="9.85546875" style="20" customWidth="1"/>
    <col min="9978" max="9978" width="14.42578125" style="20" customWidth="1"/>
    <col min="9979" max="9979" width="7.140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85546875" style="20" customWidth="1"/>
    <col min="10233" max="10233" width="9.85546875" style="20" customWidth="1"/>
    <col min="10234" max="10234" width="14.42578125" style="20" customWidth="1"/>
    <col min="10235" max="10235" width="7.140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85546875" style="20" customWidth="1"/>
    <col min="10489" max="10489" width="9.85546875" style="20" customWidth="1"/>
    <col min="10490" max="10490" width="14.42578125" style="20" customWidth="1"/>
    <col min="10491" max="10491" width="7.140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85546875" style="20" customWidth="1"/>
    <col min="10745" max="10745" width="9.85546875" style="20" customWidth="1"/>
    <col min="10746" max="10746" width="14.42578125" style="20" customWidth="1"/>
    <col min="10747" max="10747" width="7.140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85546875" style="20" customWidth="1"/>
    <col min="11001" max="11001" width="9.85546875" style="20" customWidth="1"/>
    <col min="11002" max="11002" width="14.42578125" style="20" customWidth="1"/>
    <col min="11003" max="11003" width="7.140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85546875" style="20" customWidth="1"/>
    <col min="11257" max="11257" width="9.85546875" style="20" customWidth="1"/>
    <col min="11258" max="11258" width="14.42578125" style="20" customWidth="1"/>
    <col min="11259" max="11259" width="7.140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85546875" style="20" customWidth="1"/>
    <col min="11513" max="11513" width="9.85546875" style="20" customWidth="1"/>
    <col min="11514" max="11514" width="14.42578125" style="20" customWidth="1"/>
    <col min="11515" max="11515" width="7.140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85546875" style="20" customWidth="1"/>
    <col min="11769" max="11769" width="9.85546875" style="20" customWidth="1"/>
    <col min="11770" max="11770" width="14.42578125" style="20" customWidth="1"/>
    <col min="11771" max="11771" width="7.140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85546875" style="20" customWidth="1"/>
    <col min="12025" max="12025" width="9.85546875" style="20" customWidth="1"/>
    <col min="12026" max="12026" width="14.42578125" style="20" customWidth="1"/>
    <col min="12027" max="12027" width="7.140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85546875" style="20" customWidth="1"/>
    <col min="12281" max="12281" width="9.85546875" style="20" customWidth="1"/>
    <col min="12282" max="12282" width="14.42578125" style="20" customWidth="1"/>
    <col min="12283" max="12283" width="7.140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85546875" style="20" customWidth="1"/>
    <col min="12537" max="12537" width="9.85546875" style="20" customWidth="1"/>
    <col min="12538" max="12538" width="14.42578125" style="20" customWidth="1"/>
    <col min="12539" max="12539" width="7.140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85546875" style="20" customWidth="1"/>
    <col min="12793" max="12793" width="9.85546875" style="20" customWidth="1"/>
    <col min="12794" max="12794" width="14.42578125" style="20" customWidth="1"/>
    <col min="12795" max="12795" width="7.140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85546875" style="20" customWidth="1"/>
    <col min="13049" max="13049" width="9.85546875" style="20" customWidth="1"/>
    <col min="13050" max="13050" width="14.42578125" style="20" customWidth="1"/>
    <col min="13051" max="13051" width="7.140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85546875" style="20" customWidth="1"/>
    <col min="13305" max="13305" width="9.85546875" style="20" customWidth="1"/>
    <col min="13306" max="13306" width="14.42578125" style="20" customWidth="1"/>
    <col min="13307" max="13307" width="7.140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85546875" style="20" customWidth="1"/>
    <col min="13561" max="13561" width="9.85546875" style="20" customWidth="1"/>
    <col min="13562" max="13562" width="14.42578125" style="20" customWidth="1"/>
    <col min="13563" max="13563" width="7.140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85546875" style="20" customWidth="1"/>
    <col min="13817" max="13817" width="9.85546875" style="20" customWidth="1"/>
    <col min="13818" max="13818" width="14.42578125" style="20" customWidth="1"/>
    <col min="13819" max="13819" width="7.140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85546875" style="20" customWidth="1"/>
    <col min="14073" max="14073" width="9.85546875" style="20" customWidth="1"/>
    <col min="14074" max="14074" width="14.42578125" style="20" customWidth="1"/>
    <col min="14075" max="14075" width="7.140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85546875" style="20" customWidth="1"/>
    <col min="14329" max="14329" width="9.85546875" style="20" customWidth="1"/>
    <col min="14330" max="14330" width="14.42578125" style="20" customWidth="1"/>
    <col min="14331" max="14331" width="7.140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85546875" style="20" customWidth="1"/>
    <col min="14585" max="14585" width="9.85546875" style="20" customWidth="1"/>
    <col min="14586" max="14586" width="14.42578125" style="20" customWidth="1"/>
    <col min="14587" max="14587" width="7.140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85546875" style="20" customWidth="1"/>
    <col min="14841" max="14841" width="9.85546875" style="20" customWidth="1"/>
    <col min="14842" max="14842" width="14.42578125" style="20" customWidth="1"/>
    <col min="14843" max="14843" width="7.140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85546875" style="20" customWidth="1"/>
    <col min="15097" max="15097" width="9.85546875" style="20" customWidth="1"/>
    <col min="15098" max="15098" width="14.42578125" style="20" customWidth="1"/>
    <col min="15099" max="15099" width="7.140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85546875" style="20" customWidth="1"/>
    <col min="15353" max="15353" width="9.85546875" style="20" customWidth="1"/>
    <col min="15354" max="15354" width="14.42578125" style="20" customWidth="1"/>
    <col min="15355" max="15355" width="7.140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85546875" style="20" customWidth="1"/>
    <col min="15609" max="15609" width="9.85546875" style="20" customWidth="1"/>
    <col min="15610" max="15610" width="14.42578125" style="20" customWidth="1"/>
    <col min="15611" max="15611" width="7.140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85546875" style="20" customWidth="1"/>
    <col min="15865" max="15865" width="9.85546875" style="20" customWidth="1"/>
    <col min="15866" max="15866" width="14.42578125" style="20" customWidth="1"/>
    <col min="15867" max="15867" width="7.140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85546875" style="20" customWidth="1"/>
    <col min="16121" max="16121" width="9.85546875" style="20" customWidth="1"/>
    <col min="16122" max="16122" width="14.42578125" style="20" customWidth="1"/>
    <col min="16123" max="16123" width="7.140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33" t="s">
        <v>166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25">
      <c r="A2" s="102" t="s">
        <v>0</v>
      </c>
      <c r="B2" s="102"/>
      <c r="C2" s="102"/>
      <c r="D2" s="102"/>
      <c r="E2" s="102"/>
      <c r="F2" s="102"/>
      <c r="G2" s="102"/>
      <c r="H2" s="102"/>
    </row>
    <row r="3" spans="1:8" x14ac:dyDescent="0.25">
      <c r="A3" s="101" t="s">
        <v>1</v>
      </c>
      <c r="B3" s="101"/>
      <c r="C3" s="101"/>
      <c r="D3" s="101"/>
      <c r="E3" s="101" t="str">
        <f ca="1">TEXT(TODAY(),"DD/MM/YYYY")</f>
        <v>10/07/2025</v>
      </c>
      <c r="F3" s="101"/>
      <c r="G3" s="101"/>
      <c r="H3" s="101"/>
    </row>
    <row r="4" spans="1:8" x14ac:dyDescent="0.25">
      <c r="A4" s="101" t="s">
        <v>2</v>
      </c>
      <c r="B4" s="101"/>
      <c r="C4" s="101"/>
      <c r="D4" s="101"/>
      <c r="E4" s="101" t="s">
        <v>170</v>
      </c>
      <c r="F4" s="101"/>
      <c r="G4" s="101"/>
      <c r="H4" s="101"/>
    </row>
    <row r="5" spans="1:8" x14ac:dyDescent="0.25">
      <c r="A5" s="101" t="s">
        <v>3</v>
      </c>
      <c r="B5" s="101"/>
      <c r="C5" s="101"/>
      <c r="D5" s="101"/>
      <c r="E5" s="137">
        <v>45846</v>
      </c>
      <c r="F5" s="101"/>
      <c r="G5" s="101"/>
      <c r="H5" s="101"/>
    </row>
    <row r="6" spans="1:8" ht="16.5" customHeight="1" x14ac:dyDescent="0.25">
      <c r="A6" s="101" t="s">
        <v>4</v>
      </c>
      <c r="B6" s="101"/>
      <c r="C6" s="101"/>
      <c r="D6" s="101"/>
      <c r="E6" s="101" t="s">
        <v>172</v>
      </c>
      <c r="F6" s="101"/>
      <c r="G6" s="101"/>
      <c r="H6" s="101"/>
    </row>
    <row r="7" spans="1:8" ht="15" customHeight="1" x14ac:dyDescent="0.25">
      <c r="A7" s="101" t="s">
        <v>5</v>
      </c>
      <c r="B7" s="101"/>
      <c r="C7" s="101"/>
      <c r="D7" s="101"/>
      <c r="E7" s="101" t="str">
        <f>E6</f>
        <v>Sai Shradhha Developers</v>
      </c>
      <c r="F7" s="101"/>
      <c r="G7" s="101"/>
      <c r="H7" s="101"/>
    </row>
    <row r="8" spans="1:8" x14ac:dyDescent="0.25">
      <c r="A8" s="101" t="s">
        <v>6</v>
      </c>
      <c r="B8" s="101"/>
      <c r="C8" s="101"/>
      <c r="D8" s="101"/>
      <c r="E8" s="134" t="s">
        <v>171</v>
      </c>
      <c r="F8" s="135"/>
      <c r="G8" s="135"/>
      <c r="H8" s="136"/>
    </row>
    <row r="9" spans="1:8" x14ac:dyDescent="0.25">
      <c r="A9" s="101" t="s">
        <v>168</v>
      </c>
      <c r="B9" s="101"/>
      <c r="C9" s="101"/>
      <c r="D9" s="101"/>
      <c r="E9" s="101" t="s">
        <v>216</v>
      </c>
      <c r="F9" s="101"/>
      <c r="G9" s="101"/>
      <c r="H9" s="101"/>
    </row>
    <row r="10" spans="1:8" x14ac:dyDescent="0.25">
      <c r="A10" s="101" t="s">
        <v>169</v>
      </c>
      <c r="B10" s="101"/>
      <c r="C10" s="101"/>
      <c r="D10" s="101"/>
      <c r="E10" s="101" t="s">
        <v>216</v>
      </c>
      <c r="F10" s="101"/>
      <c r="G10" s="101"/>
      <c r="H10" s="101"/>
    </row>
    <row r="11" spans="1:8" x14ac:dyDescent="0.25">
      <c r="A11" s="101" t="s">
        <v>7</v>
      </c>
      <c r="B11" s="101"/>
      <c r="C11" s="101"/>
      <c r="D11" s="101"/>
      <c r="E11" s="101" t="s">
        <v>191</v>
      </c>
      <c r="F11" s="101"/>
      <c r="G11" s="101"/>
      <c r="H11" s="101"/>
    </row>
    <row r="12" spans="1:8" ht="32.25" customHeight="1" x14ac:dyDescent="0.25">
      <c r="A12" s="90" t="s">
        <v>8</v>
      </c>
      <c r="B12" s="90"/>
      <c r="C12" s="90"/>
      <c r="D12" s="90"/>
      <c r="E12" s="123" t="s">
        <v>107</v>
      </c>
      <c r="F12" s="123"/>
      <c r="G12" s="123"/>
      <c r="H12" s="123"/>
    </row>
    <row r="13" spans="1:8" x14ac:dyDescent="0.25">
      <c r="A13" s="90" t="s">
        <v>9</v>
      </c>
      <c r="B13" s="90"/>
      <c r="C13" s="90"/>
      <c r="D13" s="90"/>
      <c r="E13" s="123" t="s">
        <v>173</v>
      </c>
      <c r="F13" s="101"/>
      <c r="G13" s="101"/>
      <c r="H13" s="101"/>
    </row>
    <row r="14" spans="1:8" ht="33" customHeight="1" x14ac:dyDescent="0.25">
      <c r="A14" s="118" t="s">
        <v>10</v>
      </c>
      <c r="B14" s="118"/>
      <c r="C14" s="11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Sai Shanti, Survey No.289/1/1, near Santoshi Mata Mandir, Internal Road, Vishweshwar Nagar, Pen, Pen, Pen, Raigad - 410207.</v>
      </c>
      <c r="D14" s="118"/>
      <c r="E14" s="118"/>
      <c r="F14" s="118"/>
      <c r="G14" s="118"/>
      <c r="H14" s="118"/>
    </row>
    <row r="15" spans="1:8" x14ac:dyDescent="0.25">
      <c r="A15" s="123" t="s">
        <v>174</v>
      </c>
      <c r="B15" s="123"/>
      <c r="C15" s="123" t="s">
        <v>175</v>
      </c>
      <c r="D15" s="123"/>
      <c r="E15" s="123"/>
      <c r="F15" s="123"/>
      <c r="G15" s="123"/>
      <c r="H15" s="123"/>
    </row>
    <row r="16" spans="1:8" ht="15.75" customHeight="1" x14ac:dyDescent="0.25">
      <c r="A16" s="123" t="s">
        <v>164</v>
      </c>
      <c r="B16" s="123"/>
      <c r="C16" s="123" t="s">
        <v>183</v>
      </c>
      <c r="D16" s="123"/>
      <c r="E16" s="123"/>
      <c r="F16" s="123"/>
      <c r="G16" s="123"/>
      <c r="H16" s="123"/>
    </row>
    <row r="17" spans="1:8" ht="15.75" customHeight="1" x14ac:dyDescent="0.25">
      <c r="A17" s="123" t="s">
        <v>11</v>
      </c>
      <c r="B17" s="123"/>
      <c r="C17" s="101" t="s">
        <v>182</v>
      </c>
      <c r="D17" s="101"/>
      <c r="E17" s="123" t="s">
        <v>75</v>
      </c>
      <c r="F17" s="123"/>
      <c r="G17" s="123" t="s">
        <v>177</v>
      </c>
      <c r="H17" s="123"/>
    </row>
    <row r="18" spans="1:8" x14ac:dyDescent="0.25">
      <c r="A18" s="101" t="s">
        <v>13</v>
      </c>
      <c r="B18" s="101"/>
      <c r="C18" s="123" t="s">
        <v>177</v>
      </c>
      <c r="D18" s="123"/>
      <c r="E18" s="123" t="s">
        <v>12</v>
      </c>
      <c r="F18" s="123"/>
      <c r="G18" s="138" t="s">
        <v>176</v>
      </c>
      <c r="H18" s="138"/>
    </row>
    <row r="19" spans="1:8" x14ac:dyDescent="0.25">
      <c r="A19" s="101" t="s">
        <v>76</v>
      </c>
      <c r="B19" s="101"/>
      <c r="C19" s="123" t="s">
        <v>177</v>
      </c>
      <c r="D19" s="123"/>
      <c r="E19" s="123" t="s">
        <v>14</v>
      </c>
      <c r="F19" s="123"/>
      <c r="G19" s="123">
        <v>410207</v>
      </c>
      <c r="H19" s="123"/>
    </row>
    <row r="20" spans="1:8" ht="32.25" customHeight="1" x14ac:dyDescent="0.25">
      <c r="A20" s="101" t="s">
        <v>123</v>
      </c>
      <c r="B20" s="101"/>
      <c r="C20" s="123" t="s">
        <v>181</v>
      </c>
      <c r="D20" s="123"/>
      <c r="E20" s="123" t="s">
        <v>15</v>
      </c>
      <c r="F20" s="123"/>
      <c r="G20" s="123" t="s">
        <v>178</v>
      </c>
      <c r="H20" s="123"/>
    </row>
    <row r="21" spans="1:8" ht="15" customHeight="1" x14ac:dyDescent="0.25">
      <c r="A21" s="118" t="s">
        <v>78</v>
      </c>
      <c r="B21" s="118"/>
      <c r="C21" s="118"/>
      <c r="D21" s="118"/>
      <c r="E21" s="101" t="s">
        <v>16</v>
      </c>
      <c r="F21" s="101"/>
      <c r="G21" s="101"/>
      <c r="H21" s="101"/>
    </row>
    <row r="22" spans="1:8" ht="18.75" customHeight="1" x14ac:dyDescent="0.25">
      <c r="A22" s="118"/>
      <c r="B22" s="118"/>
      <c r="C22" s="118"/>
      <c r="D22" s="118"/>
      <c r="E22" s="101"/>
      <c r="F22" s="101"/>
      <c r="G22" s="101"/>
      <c r="H22" s="101"/>
    </row>
    <row r="23" spans="1:8" ht="15" customHeight="1" x14ac:dyDescent="0.25">
      <c r="A23" s="118" t="s">
        <v>17</v>
      </c>
      <c r="B23" s="118"/>
      <c r="C23" s="118"/>
      <c r="D23" s="118"/>
      <c r="E23" s="123" t="s">
        <v>18</v>
      </c>
      <c r="F23" s="123"/>
      <c r="G23" s="123"/>
      <c r="H23" s="123"/>
    </row>
    <row r="24" spans="1:8" ht="15" customHeight="1" x14ac:dyDescent="0.25">
      <c r="A24" s="90" t="s">
        <v>19</v>
      </c>
      <c r="B24" s="90"/>
      <c r="C24" s="90"/>
      <c r="D24" s="90"/>
      <c r="E24" s="123" t="str">
        <f>IF(AND(G18="Mumbai"),"Upper Class","Middle Class")</f>
        <v>Middle Class</v>
      </c>
      <c r="F24" s="123"/>
      <c r="G24" s="123"/>
      <c r="H24" s="123"/>
    </row>
    <row r="25" spans="1:8" x14ac:dyDescent="0.25">
      <c r="A25" s="90" t="s">
        <v>20</v>
      </c>
      <c r="B25" s="90"/>
      <c r="C25" s="90"/>
      <c r="D25" s="90"/>
      <c r="E25" s="123" t="s">
        <v>21</v>
      </c>
      <c r="F25" s="123"/>
      <c r="G25" s="123"/>
      <c r="H25" s="123"/>
    </row>
    <row r="26" spans="1:8" ht="15.75" customHeight="1" x14ac:dyDescent="0.25">
      <c r="A26" s="90" t="s">
        <v>22</v>
      </c>
      <c r="B26" s="90"/>
      <c r="C26" s="90"/>
      <c r="D26" s="90"/>
      <c r="E26" s="123" t="str">
        <f>IF(AND(G18="Mumbai"),"Developed","Developing")</f>
        <v>Developing</v>
      </c>
      <c r="F26" s="123"/>
      <c r="G26" s="123"/>
      <c r="H26" s="123"/>
    </row>
    <row r="27" spans="1:8" x14ac:dyDescent="0.25">
      <c r="A27" s="90" t="s">
        <v>23</v>
      </c>
      <c r="B27" s="90"/>
      <c r="C27" s="90"/>
      <c r="D27" s="90"/>
      <c r="E27" s="123" t="s">
        <v>24</v>
      </c>
      <c r="F27" s="123"/>
      <c r="G27" s="123"/>
      <c r="H27" s="123"/>
    </row>
    <row r="28" spans="1:8" ht="15.75" customHeight="1" x14ac:dyDescent="0.25">
      <c r="A28" s="90" t="s">
        <v>83</v>
      </c>
      <c r="B28" s="90"/>
      <c r="C28" s="90"/>
      <c r="D28" s="90"/>
      <c r="E28" s="123" t="s">
        <v>84</v>
      </c>
      <c r="F28" s="123"/>
      <c r="G28" s="123"/>
      <c r="H28" s="123"/>
    </row>
    <row r="29" spans="1:8" ht="15" customHeight="1" x14ac:dyDescent="0.25">
      <c r="A29" s="90" t="s">
        <v>33</v>
      </c>
      <c r="B29" s="90"/>
      <c r="C29" s="90"/>
      <c r="D29" s="90"/>
      <c r="E29" s="12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23"/>
      <c r="G29" s="123"/>
      <c r="H29" s="123"/>
    </row>
    <row r="30" spans="1:8" ht="15.75" customHeight="1" x14ac:dyDescent="0.25">
      <c r="A30" s="90" t="s">
        <v>95</v>
      </c>
      <c r="B30" s="90"/>
      <c r="C30" s="90"/>
      <c r="D30" s="90"/>
      <c r="E30" s="123" t="s">
        <v>34</v>
      </c>
      <c r="F30" s="123"/>
      <c r="G30" s="123"/>
      <c r="H30" s="123"/>
    </row>
    <row r="31" spans="1:8" s="21" customFormat="1" x14ac:dyDescent="0.25">
      <c r="A31" s="142" t="s">
        <v>96</v>
      </c>
      <c r="B31" s="142"/>
      <c r="C31" s="141" t="s">
        <v>29</v>
      </c>
      <c r="D31" s="141"/>
      <c r="E31" s="141"/>
      <c r="F31" s="141" t="s">
        <v>31</v>
      </c>
      <c r="G31" s="141"/>
      <c r="H31" s="141"/>
    </row>
    <row r="32" spans="1:8" s="21" customFormat="1" x14ac:dyDescent="0.25">
      <c r="A32" s="139" t="s">
        <v>25</v>
      </c>
      <c r="B32" s="139" t="s">
        <v>30</v>
      </c>
      <c r="C32" s="140" t="s">
        <v>30</v>
      </c>
      <c r="D32" s="140"/>
      <c r="E32" s="140"/>
      <c r="F32" s="140" t="s">
        <v>184</v>
      </c>
      <c r="G32" s="140"/>
      <c r="H32" s="140"/>
    </row>
    <row r="33" spans="1:8" x14ac:dyDescent="0.25">
      <c r="A33" s="139" t="s">
        <v>26</v>
      </c>
      <c r="B33" s="139" t="s">
        <v>30</v>
      </c>
      <c r="C33" s="140" t="s">
        <v>30</v>
      </c>
      <c r="D33" s="140"/>
      <c r="E33" s="140"/>
      <c r="F33" s="140" t="s">
        <v>182</v>
      </c>
      <c r="G33" s="140"/>
      <c r="H33" s="140"/>
    </row>
    <row r="34" spans="1:8" s="21" customFormat="1" x14ac:dyDescent="0.25">
      <c r="A34" s="139" t="s">
        <v>28</v>
      </c>
      <c r="B34" s="139" t="s">
        <v>30</v>
      </c>
      <c r="C34" s="140" t="s">
        <v>30</v>
      </c>
      <c r="D34" s="140"/>
      <c r="E34" s="140"/>
      <c r="F34" s="140" t="s">
        <v>184</v>
      </c>
      <c r="G34" s="140"/>
      <c r="H34" s="140"/>
    </row>
    <row r="35" spans="1:8" x14ac:dyDescent="0.25">
      <c r="A35" s="139" t="s">
        <v>27</v>
      </c>
      <c r="B35" s="139" t="s">
        <v>30</v>
      </c>
      <c r="C35" s="140" t="s">
        <v>30</v>
      </c>
      <c r="D35" s="140"/>
      <c r="E35" s="140"/>
      <c r="F35" s="140" t="s">
        <v>185</v>
      </c>
      <c r="G35" s="140"/>
      <c r="H35" s="140"/>
    </row>
    <row r="36" spans="1:8" x14ac:dyDescent="0.25">
      <c r="A36" s="90" t="s">
        <v>32</v>
      </c>
      <c r="B36" s="90"/>
      <c r="C36" s="90"/>
      <c r="D36" s="90"/>
      <c r="E36" s="90"/>
      <c r="F36" s="90"/>
      <c r="G36" s="90"/>
      <c r="H36" s="90"/>
    </row>
    <row r="37" spans="1:8" ht="15.75" customHeight="1" x14ac:dyDescent="0.25">
      <c r="A37" s="90" t="s">
        <v>167</v>
      </c>
      <c r="B37" s="90"/>
      <c r="C37" s="115" t="s">
        <v>180</v>
      </c>
      <c r="D37" s="115"/>
      <c r="E37" s="115"/>
      <c r="F37" s="115"/>
      <c r="G37" s="115"/>
      <c r="H37" s="115"/>
    </row>
    <row r="38" spans="1:8" x14ac:dyDescent="0.25">
      <c r="A38" s="90" t="s">
        <v>163</v>
      </c>
      <c r="B38" s="90"/>
      <c r="C38" s="171" t="s">
        <v>179</v>
      </c>
      <c r="D38" s="123"/>
      <c r="E38" s="123"/>
      <c r="F38" s="123"/>
      <c r="G38" s="123"/>
      <c r="H38" s="123"/>
    </row>
    <row r="39" spans="1:8" x14ac:dyDescent="0.25">
      <c r="A39" s="115" t="s">
        <v>35</v>
      </c>
      <c r="B39" s="115"/>
      <c r="C39" s="115"/>
      <c r="D39" s="115"/>
      <c r="E39" s="115"/>
      <c r="F39" s="115"/>
      <c r="G39" s="115"/>
      <c r="H39" s="115"/>
    </row>
    <row r="40" spans="1:8" x14ac:dyDescent="0.25">
      <c r="A40" s="90" t="s">
        <v>36</v>
      </c>
      <c r="B40" s="90"/>
      <c r="C40" s="90"/>
      <c r="D40" s="90"/>
      <c r="E40" s="143">
        <v>1538</v>
      </c>
      <c r="F40" s="143"/>
      <c r="G40" s="143"/>
      <c r="H40" s="143"/>
    </row>
    <row r="41" spans="1:8" x14ac:dyDescent="0.25">
      <c r="A41" s="90" t="s">
        <v>37</v>
      </c>
      <c r="B41" s="90"/>
      <c r="C41" s="90"/>
      <c r="D41" s="90"/>
      <c r="E41" s="153">
        <v>1.1000000000000001</v>
      </c>
      <c r="F41" s="153"/>
      <c r="G41" s="153"/>
      <c r="H41" s="153"/>
    </row>
    <row r="42" spans="1:8" x14ac:dyDescent="0.25">
      <c r="A42" s="90" t="s">
        <v>38</v>
      </c>
      <c r="B42" s="90"/>
      <c r="C42" s="90"/>
      <c r="D42" s="90"/>
      <c r="E42" s="153">
        <f>E44/E40-E41</f>
        <v>1.3392782834850454</v>
      </c>
      <c r="F42" s="153"/>
      <c r="G42" s="153"/>
      <c r="H42" s="153"/>
    </row>
    <row r="43" spans="1:8" x14ac:dyDescent="0.25">
      <c r="A43" s="90" t="s">
        <v>39</v>
      </c>
      <c r="B43" s="90"/>
      <c r="C43" s="90"/>
      <c r="D43" s="90"/>
      <c r="E43" s="153">
        <f>E41+E42</f>
        <v>2.4392782834850455</v>
      </c>
      <c r="F43" s="153"/>
      <c r="G43" s="153"/>
      <c r="H43" s="153"/>
    </row>
    <row r="44" spans="1:8" x14ac:dyDescent="0.25">
      <c r="A44" s="90" t="s">
        <v>94</v>
      </c>
      <c r="B44" s="90"/>
      <c r="C44" s="90"/>
      <c r="D44" s="90"/>
      <c r="E44" s="154">
        <v>3751.61</v>
      </c>
      <c r="F44" s="154"/>
      <c r="G44" s="154"/>
      <c r="H44" s="154"/>
    </row>
    <row r="45" spans="1:8" x14ac:dyDescent="0.25">
      <c r="A45" s="101" t="s">
        <v>40</v>
      </c>
      <c r="B45" s="101"/>
      <c r="C45" s="101"/>
      <c r="D45" s="101"/>
      <c r="E45" s="101" t="s">
        <v>192</v>
      </c>
      <c r="F45" s="101"/>
      <c r="G45" s="101"/>
      <c r="H45" s="101"/>
    </row>
    <row r="46" spans="1:8" x14ac:dyDescent="0.25">
      <c r="A46" s="115" t="s">
        <v>41</v>
      </c>
      <c r="B46" s="115"/>
      <c r="C46" s="115"/>
      <c r="D46" s="115"/>
      <c r="E46" s="115"/>
      <c r="F46" s="115"/>
      <c r="G46" s="115"/>
      <c r="H46" s="115"/>
    </row>
    <row r="47" spans="1:8" ht="33.75" customHeight="1" x14ac:dyDescent="0.25">
      <c r="A47" s="97" t="s">
        <v>151</v>
      </c>
      <c r="B47" s="98"/>
      <c r="C47" s="134" t="s">
        <v>186</v>
      </c>
      <c r="D47" s="135"/>
      <c r="E47" s="135"/>
      <c r="F47" s="135"/>
      <c r="G47" s="135"/>
      <c r="H47" s="136"/>
    </row>
    <row r="48" spans="1:8" ht="15.75" customHeight="1" x14ac:dyDescent="0.25">
      <c r="A48" s="97" t="s">
        <v>42</v>
      </c>
      <c r="B48" s="98"/>
      <c r="C48" s="97" t="s">
        <v>187</v>
      </c>
      <c r="D48" s="99"/>
      <c r="E48" s="98"/>
      <c r="F48" s="17" t="s">
        <v>43</v>
      </c>
      <c r="G48" s="100">
        <v>44859</v>
      </c>
      <c r="H48" s="98"/>
    </row>
    <row r="49" spans="1:14" x14ac:dyDescent="0.25">
      <c r="A49" s="97" t="s">
        <v>44</v>
      </c>
      <c r="B49" s="98"/>
      <c r="C49" s="97" t="str">
        <f>C48</f>
        <v>CCRDP/B/2022/APL/00482</v>
      </c>
      <c r="D49" s="99"/>
      <c r="E49" s="98"/>
      <c r="F49" s="17" t="s">
        <v>43</v>
      </c>
      <c r="G49" s="100">
        <v>44859</v>
      </c>
      <c r="H49" s="98"/>
    </row>
    <row r="50" spans="1:14" s="22" customFormat="1" ht="15.75" customHeight="1" x14ac:dyDescent="0.25">
      <c r="A50" s="149" t="s">
        <v>155</v>
      </c>
      <c r="B50" s="150"/>
      <c r="C50" s="97" t="str">
        <f>C49</f>
        <v>CCRDP/B/2022/APL/00482</v>
      </c>
      <c r="D50" s="99"/>
      <c r="E50" s="98"/>
      <c r="F50" s="17" t="s">
        <v>43</v>
      </c>
      <c r="G50" s="100">
        <v>44859</v>
      </c>
      <c r="H50" s="98"/>
    </row>
    <row r="51" spans="1:14" s="22" customFormat="1" x14ac:dyDescent="0.25">
      <c r="A51" s="151"/>
      <c r="B51" s="152"/>
      <c r="C51" s="97" t="s">
        <v>193</v>
      </c>
      <c r="D51" s="99"/>
      <c r="E51" s="99"/>
      <c r="F51" s="99"/>
      <c r="G51" s="99"/>
      <c r="H51" s="98"/>
    </row>
    <row r="52" spans="1:14" x14ac:dyDescent="0.25">
      <c r="A52" s="103" t="s">
        <v>45</v>
      </c>
      <c r="B52" s="104"/>
      <c r="C52" s="103" t="s">
        <v>108</v>
      </c>
      <c r="D52" s="105"/>
      <c r="E52" s="104"/>
      <c r="F52" s="43" t="s">
        <v>43</v>
      </c>
      <c r="G52" s="164" t="s">
        <v>30</v>
      </c>
      <c r="H52" s="165"/>
    </row>
    <row r="53" spans="1:14" x14ac:dyDescent="0.25">
      <c r="A53" s="106" t="s">
        <v>47</v>
      </c>
      <c r="B53" s="106"/>
      <c r="C53" s="106"/>
      <c r="D53" s="106"/>
      <c r="E53" s="106"/>
      <c r="F53" s="106"/>
      <c r="G53" s="106"/>
      <c r="H53" s="106"/>
    </row>
    <row r="54" spans="1:14" x14ac:dyDescent="0.25">
      <c r="A54" s="118" t="s">
        <v>93</v>
      </c>
      <c r="B54" s="118"/>
      <c r="C54" s="118"/>
      <c r="D54" s="90">
        <f>E44</f>
        <v>3751.61</v>
      </c>
      <c r="E54" s="90"/>
      <c r="F54" s="90"/>
      <c r="G54" s="90"/>
      <c r="H54" s="90"/>
    </row>
    <row r="55" spans="1:14" x14ac:dyDescent="0.25">
      <c r="A55" s="123" t="s">
        <v>48</v>
      </c>
      <c r="B55" s="101"/>
      <c r="C55" s="101"/>
      <c r="D55" s="101" t="s">
        <v>207</v>
      </c>
      <c r="E55" s="101"/>
      <c r="F55" s="101"/>
      <c r="G55" s="101"/>
      <c r="H55" s="101"/>
      <c r="I55" s="23"/>
    </row>
    <row r="56" spans="1:14" x14ac:dyDescent="0.25">
      <c r="A56" s="146" t="s">
        <v>49</v>
      </c>
      <c r="B56" s="147"/>
      <c r="C56" s="148"/>
      <c r="D56" s="144" t="s">
        <v>193</v>
      </c>
      <c r="E56" s="145"/>
      <c r="F56" s="145"/>
      <c r="G56" s="145"/>
      <c r="H56" s="145"/>
    </row>
    <row r="57" spans="1:14" ht="15.75" customHeight="1" x14ac:dyDescent="0.25">
      <c r="A57" s="146" t="s">
        <v>91</v>
      </c>
      <c r="B57" s="147"/>
      <c r="C57" s="147"/>
      <c r="D57" s="101" t="s">
        <v>217</v>
      </c>
      <c r="E57" s="101"/>
      <c r="F57" s="101"/>
      <c r="G57" s="101"/>
      <c r="H57" s="101"/>
    </row>
    <row r="58" spans="1:14" x14ac:dyDescent="0.25">
      <c r="A58" s="158"/>
      <c r="B58" s="159"/>
      <c r="C58" s="160"/>
      <c r="D58" s="155" t="s">
        <v>209</v>
      </c>
      <c r="E58" s="156"/>
      <c r="F58" s="156"/>
      <c r="G58" s="156"/>
      <c r="H58" s="157"/>
    </row>
    <row r="59" spans="1:14" ht="15.75" customHeight="1" x14ac:dyDescent="0.25">
      <c r="A59" s="90" t="s">
        <v>46</v>
      </c>
      <c r="B59" s="90"/>
      <c r="C59" s="90"/>
      <c r="D59" s="184" t="s">
        <v>188</v>
      </c>
      <c r="E59" s="184"/>
      <c r="F59" s="184"/>
      <c r="G59" s="184"/>
      <c r="H59" s="184"/>
      <c r="J59" s="24"/>
      <c r="K59" s="23"/>
      <c r="N59" s="23"/>
    </row>
    <row r="60" spans="1:14" ht="15.75" customHeight="1" x14ac:dyDescent="0.25">
      <c r="A60" s="90" t="s">
        <v>89</v>
      </c>
      <c r="B60" s="90"/>
      <c r="C60" s="90"/>
      <c r="D60" s="166" t="str">
        <f>(IF(G52="NA","60 Years After Completion",IF(G52&lt;&gt;"NA",""&amp;60-ROUNDDOWN((E3-G52)/360,0)&amp;" Years"," ")))</f>
        <v>60 Years After Completion</v>
      </c>
      <c r="E60" s="166"/>
      <c r="F60" s="166"/>
      <c r="G60" s="166"/>
      <c r="H60" s="166"/>
      <c r="N60" s="23"/>
    </row>
    <row r="61" spans="1:14" ht="15.75" customHeight="1" x14ac:dyDescent="0.25">
      <c r="A61" s="90" t="s">
        <v>90</v>
      </c>
      <c r="B61" s="90"/>
      <c r="C61" s="90"/>
      <c r="D61" s="118" t="s">
        <v>24</v>
      </c>
      <c r="E61" s="118"/>
      <c r="F61" s="118"/>
      <c r="G61" s="118"/>
      <c r="H61" s="118"/>
      <c r="J61" s="25"/>
      <c r="K61" s="25"/>
    </row>
    <row r="62" spans="1:14" ht="51.75" customHeight="1" x14ac:dyDescent="0.25">
      <c r="A62" s="90" t="s">
        <v>77</v>
      </c>
      <c r="B62" s="90"/>
      <c r="C62" s="90"/>
      <c r="D62" s="123" t="s">
        <v>190</v>
      </c>
      <c r="E62" s="118"/>
      <c r="F62" s="118"/>
      <c r="G62" s="118"/>
      <c r="H62" s="118"/>
    </row>
    <row r="63" spans="1:14" x14ac:dyDescent="0.25">
      <c r="A63" s="118" t="s">
        <v>149</v>
      </c>
      <c r="B63" s="118"/>
      <c r="C63" s="118"/>
      <c r="D63" s="118" t="s">
        <v>30</v>
      </c>
      <c r="E63" s="118"/>
      <c r="F63" s="118"/>
      <c r="G63" s="118"/>
      <c r="H63" s="118"/>
      <c r="I63" s="26"/>
      <c r="J63" s="26"/>
      <c r="K63" s="26"/>
      <c r="L63" s="26"/>
      <c r="M63" s="26"/>
      <c r="N63" s="26"/>
    </row>
    <row r="64" spans="1:14" ht="15.75" customHeight="1" x14ac:dyDescent="0.25">
      <c r="A64" s="90" t="s">
        <v>88</v>
      </c>
      <c r="B64" s="90"/>
      <c r="C64" s="90"/>
      <c r="D64" s="123" t="str">
        <f ca="1">(IF(G70&gt;95%,"Nothing",IF(G70&gt;0%,"Cement, Aggregate, Steel, etc",IF(G70=0%,"Work not yet Started"))))</f>
        <v>Cement, Aggregate, Steel, etc</v>
      </c>
      <c r="E64" s="123"/>
      <c r="F64" s="123"/>
      <c r="G64" s="123"/>
      <c r="H64" s="123"/>
      <c r="J64" s="25"/>
    </row>
    <row r="65" spans="1:11" ht="33.75" customHeight="1" thickBot="1" x14ac:dyDescent="0.3">
      <c r="A65" s="118" t="s">
        <v>121</v>
      </c>
      <c r="B65" s="118"/>
      <c r="C65" s="118"/>
      <c r="D65" s="123" t="str">
        <f ca="1">(IF(D64="Nothing","Yes",IF(D64="Cement, Aggregate, Steel, etc","Under Construction",IF(D64="Work not yet Started","Work not yet Started"))))</f>
        <v>Under Construction</v>
      </c>
      <c r="E65" s="123"/>
      <c r="F65" s="123" t="str">
        <f ca="1">(IF(D64="Nothing","Yes",IF(D64="Cement, Aggregate, Steel, etc","Under Construction",IF(D64="Work not yet Started","Work not yet Started"))))</f>
        <v>Under Construction</v>
      </c>
      <c r="G65" s="123"/>
      <c r="H65" s="123"/>
    </row>
    <row r="66" spans="1:11" ht="15.75" customHeight="1" x14ac:dyDescent="0.25">
      <c r="A66" s="162" t="s">
        <v>141</v>
      </c>
      <c r="B66" s="162"/>
      <c r="C66" s="162" t="str">
        <f>D57</f>
        <v>Wing A = G + 1st to 7th Floor</v>
      </c>
      <c r="D66" s="162"/>
      <c r="E66" s="162"/>
      <c r="F66" s="162"/>
      <c r="G66" s="162"/>
      <c r="H66" s="162"/>
      <c r="I66" s="69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3.5 Floor Completed</v>
      </c>
      <c r="J66" s="48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3.5 Floor</v>
      </c>
    </row>
    <row r="67" spans="1:11" x14ac:dyDescent="0.25">
      <c r="A67" s="68" t="s">
        <v>143</v>
      </c>
      <c r="B67" s="68">
        <f>IF(AND(ISNUMBER(SEARCH("1B",C66))),1,IF(AND(ISNUMBER(SEARCH("2B",C66))),2,IF(AND(ISNUMBER(SEARCH("3B",C66))),3,IF(AND(ISNUMBER(SEARCH("4B",C66))),4,IF(ISNUMBER(SEARCH("5B",C66)),5,0)))))</f>
        <v>0</v>
      </c>
      <c r="C67" s="68" t="s">
        <v>74</v>
      </c>
      <c r="D67" s="68">
        <v>1</v>
      </c>
      <c r="E67" s="68" t="s">
        <v>73</v>
      </c>
      <c r="F67" s="68">
        <v>0</v>
      </c>
      <c r="G67" s="46" t="s">
        <v>82</v>
      </c>
      <c r="H67" s="68">
        <f ca="1">--TRIM(RIGHT(SUBSTITUTE(LEFT(C66,_xlfn.AGGREGATE(16,6,FIND({0,1,2,3,4,5,6,7,8,9},C66,ROW(INDIRECT("1:"&amp;LEN(C66)))),1))," ",REPT(" ",LEN(C66))),LEN(C66)))</f>
        <v>7</v>
      </c>
      <c r="I67" s="7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5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1" ht="30.95" customHeight="1" x14ac:dyDescent="0.25">
      <c r="A68" s="161" t="s">
        <v>92</v>
      </c>
      <c r="B68" s="161"/>
      <c r="C68" s="163" t="str">
        <f ca="1">I66</f>
        <v>Excavation, Plinth, RCC Slab, Brickwork, Internal Plaster Completed, External Plaster upto 3.5 Floor Completed</v>
      </c>
      <c r="D68" s="163"/>
      <c r="E68" s="163"/>
      <c r="F68" s="163"/>
      <c r="G68" s="163"/>
      <c r="H68" s="163"/>
      <c r="I68" s="70" t="str">
        <f ca="1">IF(I67&lt;&gt;""," Completed","")</f>
        <v xml:space="preserve"> Completed</v>
      </c>
      <c r="J68" s="50" t="str">
        <f ca="1">IF(J66&lt;&gt;"","Completed","")</f>
        <v>Completed</v>
      </c>
    </row>
    <row r="69" spans="1:11" ht="15.75" customHeight="1" x14ac:dyDescent="0.25">
      <c r="A69" s="94" t="s">
        <v>50</v>
      </c>
      <c r="B69" s="95"/>
      <c r="C69" s="41" t="s">
        <v>140</v>
      </c>
      <c r="D69" s="41" t="s">
        <v>85</v>
      </c>
      <c r="E69" s="95" t="s">
        <v>87</v>
      </c>
      <c r="F69" s="95"/>
      <c r="G69" s="95" t="s">
        <v>86</v>
      </c>
      <c r="H69" s="112"/>
      <c r="I69" s="13" t="s">
        <v>142</v>
      </c>
      <c r="J69" s="27">
        <f ca="1">H67*25%</f>
        <v>1.75</v>
      </c>
    </row>
    <row r="70" spans="1:11" x14ac:dyDescent="0.25">
      <c r="A70" s="94" t="s">
        <v>129</v>
      </c>
      <c r="B70" s="95"/>
      <c r="C70" s="41">
        <f ca="1">J71</f>
        <v>7</v>
      </c>
      <c r="D70" s="18">
        <f ca="1">((100/H67)*C70)/100</f>
        <v>1</v>
      </c>
      <c r="E70" s="124">
        <f ca="1">(((C71/H67*10)+(40/(D67+F67+H67)*C72)+(7.5/(H67)*C73)+(7.5/(H67)*C74)+(10/H67*C75)+(10/H67*C76)+(5/H67*C77)+(5/H67*C78)+(5/H67*C79))/100)</f>
        <v>0.7</v>
      </c>
      <c r="F70" s="130"/>
      <c r="G70" s="124">
        <f ca="1">((((C70/H67)*20)+((C71/H67)*25)+(30/(H67+F67+D67)*C72)+(5/H67*C73)+(5/H67*C74)+(5/H67*C75)+(5/H67*C76)+(0/H67*C77)+(0/H67*C78)+(5/H67*C79))/100)</f>
        <v>0.875</v>
      </c>
      <c r="H70" s="125"/>
      <c r="I70" s="13" t="s">
        <v>102</v>
      </c>
      <c r="J70" s="28">
        <f ca="1">H67*50%</f>
        <v>3.5</v>
      </c>
    </row>
    <row r="71" spans="1:11" x14ac:dyDescent="0.25">
      <c r="A71" s="94" t="s">
        <v>51</v>
      </c>
      <c r="B71" s="95"/>
      <c r="C71" s="51">
        <f ca="1">J79</f>
        <v>7</v>
      </c>
      <c r="D71" s="18">
        <f ca="1">((100/H67)*C71)/100</f>
        <v>1</v>
      </c>
      <c r="E71" s="126"/>
      <c r="F71" s="131"/>
      <c r="G71" s="126"/>
      <c r="H71" s="127"/>
      <c r="I71" s="13" t="s">
        <v>103</v>
      </c>
      <c r="J71" s="28">
        <f ca="1">H67</f>
        <v>7</v>
      </c>
    </row>
    <row r="72" spans="1:11" ht="15.75" customHeight="1" x14ac:dyDescent="0.25">
      <c r="A72" s="94" t="s">
        <v>130</v>
      </c>
      <c r="B72" s="95"/>
      <c r="C72" s="41">
        <v>8</v>
      </c>
      <c r="D72" s="18">
        <f ca="1">((100/(D67+F67+H67))*C72)/100</f>
        <v>1</v>
      </c>
      <c r="E72" s="126"/>
      <c r="F72" s="131"/>
      <c r="G72" s="126"/>
      <c r="H72" s="127"/>
      <c r="I72" s="13" t="s">
        <v>104</v>
      </c>
      <c r="J72" s="29">
        <f ca="1">(IF(B67&gt;1,(H67/(B67+2)),H67/4))</f>
        <v>1.75</v>
      </c>
    </row>
    <row r="73" spans="1:11" ht="15.75" customHeight="1" x14ac:dyDescent="0.25">
      <c r="A73" s="94" t="s">
        <v>137</v>
      </c>
      <c r="B73" s="95" t="s">
        <v>131</v>
      </c>
      <c r="C73" s="41">
        <v>7</v>
      </c>
      <c r="D73" s="18">
        <f ca="1">((100/H67)*C73)/100</f>
        <v>1</v>
      </c>
      <c r="E73" s="126"/>
      <c r="F73" s="131"/>
      <c r="G73" s="126"/>
      <c r="H73" s="127"/>
      <c r="I73" s="13" t="s">
        <v>105</v>
      </c>
      <c r="J73" s="29">
        <f ca="1">(IF(B67&gt;1,(H67/(B67+2)+J72),H67/4+J72))</f>
        <v>3.5</v>
      </c>
    </row>
    <row r="74" spans="1:11" ht="15.75" customHeight="1" x14ac:dyDescent="0.25">
      <c r="A74" s="94" t="s">
        <v>138</v>
      </c>
      <c r="B74" s="95" t="s">
        <v>131</v>
      </c>
      <c r="C74" s="41">
        <v>7</v>
      </c>
      <c r="D74" s="18">
        <f ca="1">((100/H67)*C74)/100</f>
        <v>1</v>
      </c>
      <c r="E74" s="126"/>
      <c r="F74" s="131"/>
      <c r="G74" s="126"/>
      <c r="H74" s="127"/>
      <c r="I74" s="13" t="s">
        <v>147</v>
      </c>
      <c r="J74" s="29">
        <f>(IF(B67&gt;1,(H67/(B67+2)+J73),0))</f>
        <v>0</v>
      </c>
    </row>
    <row r="75" spans="1:11" ht="15" customHeight="1" x14ac:dyDescent="0.25">
      <c r="A75" s="94" t="s">
        <v>136</v>
      </c>
      <c r="B75" s="95" t="s">
        <v>133</v>
      </c>
      <c r="C75" s="41">
        <v>3.5</v>
      </c>
      <c r="D75" s="18">
        <f ca="1">((100/(H67))*C75)/100</f>
        <v>0.5</v>
      </c>
      <c r="E75" s="126"/>
      <c r="F75" s="131"/>
      <c r="G75" s="126"/>
      <c r="H75" s="127"/>
      <c r="I75" s="13" t="s">
        <v>144</v>
      </c>
      <c r="J75" s="29">
        <f>(IF(B67&gt;2,(H67/(B67+2)+J74),0))</f>
        <v>0</v>
      </c>
    </row>
    <row r="76" spans="1:11" ht="15.75" customHeight="1" x14ac:dyDescent="0.25">
      <c r="A76" s="94" t="s">
        <v>132</v>
      </c>
      <c r="B76" s="95" t="s">
        <v>132</v>
      </c>
      <c r="C76" s="41">
        <v>0</v>
      </c>
      <c r="D76" s="18">
        <f ca="1">((100/H67)*C76)/100</f>
        <v>0</v>
      </c>
      <c r="E76" s="126"/>
      <c r="F76" s="131"/>
      <c r="G76" s="126"/>
      <c r="H76" s="127"/>
      <c r="I76" s="13" t="s">
        <v>145</v>
      </c>
      <c r="J76" s="30">
        <f>(IF(B67&gt;3,(H67/(B67+2)+J75),0))</f>
        <v>0</v>
      </c>
    </row>
    <row r="77" spans="1:11" ht="15.75" customHeight="1" x14ac:dyDescent="0.25">
      <c r="A77" s="94" t="s">
        <v>139</v>
      </c>
      <c r="B77" s="95"/>
      <c r="C77" s="41">
        <v>0</v>
      </c>
      <c r="D77" s="18">
        <f ca="1">((100/H67)*C77)/100</f>
        <v>0</v>
      </c>
      <c r="E77" s="126"/>
      <c r="F77" s="131"/>
      <c r="G77" s="126"/>
      <c r="H77" s="127"/>
      <c r="I77" s="13" t="s">
        <v>146</v>
      </c>
      <c r="J77" s="29">
        <f>(IF(B67&gt;4,(H67/(B67+2)+J76),0))</f>
        <v>0</v>
      </c>
    </row>
    <row r="78" spans="1:11" ht="15.75" customHeight="1" x14ac:dyDescent="0.25">
      <c r="A78" s="94" t="s">
        <v>134</v>
      </c>
      <c r="B78" s="95" t="s">
        <v>134</v>
      </c>
      <c r="C78" s="41">
        <v>0</v>
      </c>
      <c r="D78" s="18">
        <f ca="1">((100/(H67))*C78)/100</f>
        <v>0</v>
      </c>
      <c r="E78" s="126"/>
      <c r="F78" s="131"/>
      <c r="G78" s="126"/>
      <c r="H78" s="127"/>
      <c r="I78" s="13" t="s">
        <v>148</v>
      </c>
      <c r="J78" s="29">
        <f ca="1">(IF(B67=1,(H67/(B67+3)+J73),IF(B67=0,(H67/4+J73),IF(B67&gt;1,0))))</f>
        <v>5.25</v>
      </c>
    </row>
    <row r="79" spans="1:11" ht="16.5" thickBot="1" x14ac:dyDescent="0.3">
      <c r="A79" s="109" t="s">
        <v>135</v>
      </c>
      <c r="B79" s="110"/>
      <c r="C79" s="42">
        <v>0</v>
      </c>
      <c r="D79" s="19">
        <f ca="1">((100/(H67))*C79)/100</f>
        <v>0</v>
      </c>
      <c r="E79" s="128"/>
      <c r="F79" s="132"/>
      <c r="G79" s="128"/>
      <c r="H79" s="129"/>
      <c r="I79" s="14" t="s">
        <v>106</v>
      </c>
      <c r="J79" s="31">
        <f ca="1">(IF(B67&gt;1.5,(H67/(B67+2)+J73+MAX(0,J74-J73)+MAX(0,J75-J74)+MAX(0,J76-J75)+MAX(0,J77-J76)+MAX(0,J78-J77)),IF(B67=1,(H67/(B67+3)+J78),IF(B67=0,H67/4+J78))))</f>
        <v>7</v>
      </c>
    </row>
    <row r="80" spans="1:11" ht="15.75" customHeight="1" x14ac:dyDescent="0.25">
      <c r="A80" s="177" t="s">
        <v>141</v>
      </c>
      <c r="B80" s="178"/>
      <c r="C80" s="179" t="str">
        <f>D58</f>
        <v>Wing B = G + 1st to 7th Floor</v>
      </c>
      <c r="D80" s="180"/>
      <c r="E80" s="180"/>
      <c r="F80" s="180"/>
      <c r="G80" s="180"/>
      <c r="H80" s="181"/>
      <c r="I80" s="47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 Completed, External Plaster upto 4 Floor, Flooring upto 1 Floor Completed</v>
      </c>
      <c r="J80" s="48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External Plaster upto 4 Floor, Flooring upto 1 Floor</v>
      </c>
      <c r="K80" s="67" t="s">
        <v>215</v>
      </c>
    </row>
    <row r="81" spans="1:10" x14ac:dyDescent="0.25">
      <c r="A81" s="15" t="s">
        <v>143</v>
      </c>
      <c r="B81" s="45">
        <f>IF(AND(ISNUMBER(SEARCH("1B",C80))),1,IF(AND(ISNUMBER(SEARCH("2B",C80))),2,IF(AND(ISNUMBER(SEARCH("3B",C80))),3,IF(AND(ISNUMBER(SEARCH("4B",C80))),4,IF(ISNUMBER(SEARCH("5B",C80)),5,0)))))</f>
        <v>0</v>
      </c>
      <c r="C81" s="45" t="s">
        <v>74</v>
      </c>
      <c r="D81" s="45">
        <v>1</v>
      </c>
      <c r="E81" s="45" t="s">
        <v>73</v>
      </c>
      <c r="F81" s="45">
        <v>0</v>
      </c>
      <c r="G81" s="46" t="s">
        <v>82</v>
      </c>
      <c r="H81" s="16">
        <f ca="1">--TRIM(RIGHT(SUBSTITUTE(LEFT(C80,_xlfn.AGGREGATE(16,6,FIND({0,1,2,3,4,5,6,7,8,9},C80,ROW(INDIRECT("1:"&amp;LEN(C80)))),1))," ",REPT(" ",LEN(C80))),LEN(C80)))</f>
        <v>7</v>
      </c>
      <c r="I81" s="49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</v>
      </c>
      <c r="J81" s="50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52.5" customHeight="1" x14ac:dyDescent="0.25">
      <c r="A82" s="182" t="s">
        <v>92</v>
      </c>
      <c r="B82" s="161"/>
      <c r="C82" s="163" t="str">
        <f ca="1">I80</f>
        <v>Excavation, Plinth, RCC Slab, Brickwork, Internal Plaster Completed, External Plaster upto 4 Floor, Flooring upto 1 Floor Completed</v>
      </c>
      <c r="D82" s="163"/>
      <c r="E82" s="163"/>
      <c r="F82" s="163"/>
      <c r="G82" s="163"/>
      <c r="H82" s="183"/>
      <c r="I82" s="49" t="str">
        <f ca="1">IF(I81&lt;&gt;""," Completed","")</f>
        <v xml:space="preserve"> Completed</v>
      </c>
      <c r="J82" s="50" t="str">
        <f ca="1">IF(J80&lt;&gt;"","Completed","")</f>
        <v>Completed</v>
      </c>
    </row>
    <row r="83" spans="1:10" ht="15.75" customHeight="1" x14ac:dyDescent="0.25">
      <c r="A83" s="94" t="s">
        <v>50</v>
      </c>
      <c r="B83" s="95"/>
      <c r="C83" s="41" t="s">
        <v>140</v>
      </c>
      <c r="D83" s="41" t="s">
        <v>85</v>
      </c>
      <c r="E83" s="95" t="s">
        <v>87</v>
      </c>
      <c r="F83" s="95"/>
      <c r="G83" s="95" t="s">
        <v>86</v>
      </c>
      <c r="H83" s="112"/>
      <c r="I83" s="13" t="s">
        <v>142</v>
      </c>
      <c r="J83" s="27">
        <f ca="1">H81*25%</f>
        <v>1.75</v>
      </c>
    </row>
    <row r="84" spans="1:10" x14ac:dyDescent="0.25">
      <c r="A84" s="94" t="s">
        <v>129</v>
      </c>
      <c r="B84" s="95"/>
      <c r="C84" s="41">
        <f ca="1">J85</f>
        <v>7</v>
      </c>
      <c r="D84" s="18">
        <f ca="1">((100/H81)*C84)/100</f>
        <v>1</v>
      </c>
      <c r="E84" s="124">
        <f ca="1">(((C85/H81*10)+(40/(D81+F81+H81)*C86)+(7.5/(H81)*C87)+(7.5/(H81)*C88)+(10/H81*C89)+(10/H81*C90)+(5/H81*C91)+(5/H81*C92)+(5/H81*C93))/100)</f>
        <v>0.72142857142857142</v>
      </c>
      <c r="F84" s="130"/>
      <c r="G84" s="124">
        <f ca="1">((((C84/H81)*20)+((C85/H81)*25)+(30/(H81+F81+D81)*C86)+(5/H81*C87)+(5/H81*C88)+(5/H81*C89)+(5/H81*C90)+(0/H81*C91)+(0/H81*C92)+(5/H81*C93))/100)</f>
        <v>0.88571428571428568</v>
      </c>
      <c r="H84" s="125"/>
      <c r="I84" s="13" t="s">
        <v>102</v>
      </c>
      <c r="J84" s="28">
        <f ca="1">H81*50%</f>
        <v>3.5</v>
      </c>
    </row>
    <row r="85" spans="1:10" x14ac:dyDescent="0.25">
      <c r="A85" s="94" t="s">
        <v>51</v>
      </c>
      <c r="B85" s="95"/>
      <c r="C85" s="51">
        <f ca="1">J93</f>
        <v>7</v>
      </c>
      <c r="D85" s="18">
        <f ca="1">((100/H81)*C85)/100</f>
        <v>1</v>
      </c>
      <c r="E85" s="126"/>
      <c r="F85" s="131"/>
      <c r="G85" s="126"/>
      <c r="H85" s="127"/>
      <c r="I85" s="13" t="s">
        <v>103</v>
      </c>
      <c r="J85" s="28">
        <f ca="1">H81</f>
        <v>7</v>
      </c>
    </row>
    <row r="86" spans="1:10" ht="15.75" customHeight="1" x14ac:dyDescent="0.25">
      <c r="A86" s="94" t="s">
        <v>130</v>
      </c>
      <c r="B86" s="95"/>
      <c r="C86" s="41">
        <v>8</v>
      </c>
      <c r="D86" s="18">
        <f ca="1">((100/(D81+F81+H81))*C86)/100</f>
        <v>1</v>
      </c>
      <c r="E86" s="126"/>
      <c r="F86" s="131"/>
      <c r="G86" s="126"/>
      <c r="H86" s="127"/>
      <c r="I86" s="13" t="s">
        <v>104</v>
      </c>
      <c r="J86" s="29">
        <f ca="1">(IF(B81&gt;1,(H81/(B81+2)),H81/4))</f>
        <v>1.75</v>
      </c>
    </row>
    <row r="87" spans="1:10" ht="15.75" customHeight="1" x14ac:dyDescent="0.25">
      <c r="A87" s="94" t="s">
        <v>137</v>
      </c>
      <c r="B87" s="95" t="s">
        <v>131</v>
      </c>
      <c r="C87" s="41">
        <v>7</v>
      </c>
      <c r="D87" s="18">
        <f ca="1">((100/H81)*C87)/100</f>
        <v>1</v>
      </c>
      <c r="E87" s="126"/>
      <c r="F87" s="131"/>
      <c r="G87" s="126"/>
      <c r="H87" s="127"/>
      <c r="I87" s="13" t="s">
        <v>105</v>
      </c>
      <c r="J87" s="29">
        <f ca="1">(IF(B81&gt;1,(H81/(B81+2)+J86),H81/4+J86))</f>
        <v>3.5</v>
      </c>
    </row>
    <row r="88" spans="1:10" ht="15.75" customHeight="1" x14ac:dyDescent="0.25">
      <c r="A88" s="94" t="s">
        <v>138</v>
      </c>
      <c r="B88" s="95" t="s">
        <v>131</v>
      </c>
      <c r="C88" s="41">
        <v>7</v>
      </c>
      <c r="D88" s="18">
        <f ca="1">((100/H81)*C88)/100</f>
        <v>1</v>
      </c>
      <c r="E88" s="126"/>
      <c r="F88" s="131"/>
      <c r="G88" s="126"/>
      <c r="H88" s="127"/>
      <c r="I88" s="13" t="s">
        <v>147</v>
      </c>
      <c r="J88" s="29">
        <f>(IF(B81&gt;1,(H81/(B81+2)+J87),0))</f>
        <v>0</v>
      </c>
    </row>
    <row r="89" spans="1:10" ht="15" customHeight="1" x14ac:dyDescent="0.25">
      <c r="A89" s="94" t="s">
        <v>136</v>
      </c>
      <c r="B89" s="95" t="s">
        <v>133</v>
      </c>
      <c r="C89" s="41">
        <v>4</v>
      </c>
      <c r="D89" s="18">
        <f ca="1">((100/(H81))*C89)/100</f>
        <v>0.57142857142857151</v>
      </c>
      <c r="E89" s="126"/>
      <c r="F89" s="131"/>
      <c r="G89" s="126"/>
      <c r="H89" s="127"/>
      <c r="I89" s="13" t="s">
        <v>144</v>
      </c>
      <c r="J89" s="29">
        <f>(IF(B81&gt;2,(H81/(B81+2)+J88),0))</f>
        <v>0</v>
      </c>
    </row>
    <row r="90" spans="1:10" ht="15.75" customHeight="1" x14ac:dyDescent="0.25">
      <c r="A90" s="94" t="s">
        <v>132</v>
      </c>
      <c r="B90" s="95" t="s">
        <v>132</v>
      </c>
      <c r="C90" s="41">
        <v>1</v>
      </c>
      <c r="D90" s="18">
        <f ca="1">((100/H81)*C90)/100</f>
        <v>0.14285714285714288</v>
      </c>
      <c r="E90" s="126"/>
      <c r="F90" s="131"/>
      <c r="G90" s="126"/>
      <c r="H90" s="127"/>
      <c r="I90" s="13" t="s">
        <v>145</v>
      </c>
      <c r="J90" s="30">
        <f>(IF(B81&gt;3,(H81/(B81+2)+J89),0))</f>
        <v>0</v>
      </c>
    </row>
    <row r="91" spans="1:10" ht="15.75" customHeight="1" x14ac:dyDescent="0.25">
      <c r="A91" s="94" t="s">
        <v>139</v>
      </c>
      <c r="B91" s="95"/>
      <c r="C91" s="41">
        <v>0</v>
      </c>
      <c r="D91" s="18">
        <f ca="1">((100/H81)*C91)/100</f>
        <v>0</v>
      </c>
      <c r="E91" s="126"/>
      <c r="F91" s="131"/>
      <c r="G91" s="126"/>
      <c r="H91" s="127"/>
      <c r="I91" s="13" t="s">
        <v>146</v>
      </c>
      <c r="J91" s="29">
        <f>(IF(B81&gt;4,(H81/(B81+2)+J90),0))</f>
        <v>0</v>
      </c>
    </row>
    <row r="92" spans="1:10" ht="15.75" customHeight="1" x14ac:dyDescent="0.25">
      <c r="A92" s="94" t="s">
        <v>134</v>
      </c>
      <c r="B92" s="95" t="s">
        <v>134</v>
      </c>
      <c r="C92" s="41">
        <v>0</v>
      </c>
      <c r="D92" s="18">
        <f ca="1">((100/(H81))*C92)/100</f>
        <v>0</v>
      </c>
      <c r="E92" s="126"/>
      <c r="F92" s="131"/>
      <c r="G92" s="126"/>
      <c r="H92" s="127"/>
      <c r="I92" s="13" t="s">
        <v>148</v>
      </c>
      <c r="J92" s="29">
        <f ca="1">(IF(B81=1,(H81/(B81+3)+J87),IF(B81=0,(H81/4+J87),IF(B81&gt;1,0))))</f>
        <v>5.25</v>
      </c>
    </row>
    <row r="93" spans="1:10" ht="16.5" thickBot="1" x14ac:dyDescent="0.3">
      <c r="A93" s="109" t="s">
        <v>135</v>
      </c>
      <c r="B93" s="110"/>
      <c r="C93" s="42">
        <v>0</v>
      </c>
      <c r="D93" s="19">
        <f ca="1">((100/(H81))*C93)/100</f>
        <v>0</v>
      </c>
      <c r="E93" s="128"/>
      <c r="F93" s="132"/>
      <c r="G93" s="128"/>
      <c r="H93" s="129"/>
      <c r="I93" s="14" t="s">
        <v>106</v>
      </c>
      <c r="J93" s="31">
        <f ca="1">(IF(B81&gt;1.5,(H81/(B81+2)+J87+MAX(0,J88-J87)+MAX(0,J89-J88)+MAX(0,J90-J89)+MAX(0,J91-J90)+MAX(0,J92-J91)),IF(B81=1,(H81/(B81+3)+J92),IF(B81=0,H81/4+J92))))</f>
        <v>7</v>
      </c>
    </row>
    <row r="94" spans="1:10" x14ac:dyDescent="0.25">
      <c r="A94" s="170" t="s">
        <v>156</v>
      </c>
      <c r="B94" s="170"/>
      <c r="C94" s="170"/>
      <c r="D94" s="170"/>
      <c r="E94" s="170"/>
      <c r="F94" s="169" t="s">
        <v>161</v>
      </c>
      <c r="G94" s="169"/>
      <c r="H94" s="169"/>
    </row>
    <row r="95" spans="1:10" x14ac:dyDescent="0.25">
      <c r="A95" s="90" t="s">
        <v>159</v>
      </c>
      <c r="B95" s="90"/>
      <c r="C95" s="90"/>
      <c r="D95" s="90"/>
      <c r="E95" s="90"/>
      <c r="F95" s="96">
        <v>4100</v>
      </c>
      <c r="G95" s="96"/>
      <c r="H95" s="96"/>
      <c r="I95" s="20" t="s">
        <v>218</v>
      </c>
    </row>
    <row r="96" spans="1:10" hidden="1" x14ac:dyDescent="0.25">
      <c r="A96" s="90" t="s">
        <v>158</v>
      </c>
      <c r="B96" s="90"/>
      <c r="C96" s="90"/>
      <c r="D96" s="90"/>
      <c r="E96" s="90"/>
      <c r="F96" s="96"/>
      <c r="G96" s="96"/>
      <c r="H96" s="96"/>
    </row>
    <row r="97" spans="1:11" hidden="1" x14ac:dyDescent="0.25">
      <c r="A97" s="90" t="s">
        <v>160</v>
      </c>
      <c r="B97" s="90"/>
      <c r="C97" s="90"/>
      <c r="D97" s="90"/>
      <c r="E97" s="90"/>
      <c r="F97" s="96"/>
      <c r="G97" s="96"/>
      <c r="H97" s="96"/>
    </row>
    <row r="98" spans="1:11" s="32" customFormat="1" hidden="1" x14ac:dyDescent="0.25">
      <c r="A98" s="90" t="s">
        <v>157</v>
      </c>
      <c r="B98" s="90"/>
      <c r="C98" s="90"/>
      <c r="D98" s="90"/>
      <c r="E98" s="90"/>
      <c r="F98" s="96"/>
      <c r="G98" s="96"/>
      <c r="H98" s="96"/>
    </row>
    <row r="99" spans="1:11" s="32" customFormat="1" hidden="1" x14ac:dyDescent="0.25">
      <c r="A99" s="90" t="s">
        <v>97</v>
      </c>
      <c r="B99" s="90"/>
      <c r="C99" s="90"/>
      <c r="D99" s="90"/>
      <c r="E99" s="90"/>
      <c r="F99" s="96"/>
      <c r="G99" s="96"/>
      <c r="H99" s="96"/>
    </row>
    <row r="100" spans="1:11" s="32" customFormat="1" hidden="1" x14ac:dyDescent="0.25">
      <c r="A100" s="90" t="s">
        <v>98</v>
      </c>
      <c r="B100" s="90"/>
      <c r="C100" s="90"/>
      <c r="D100" s="90"/>
      <c r="E100" s="90"/>
      <c r="F100" s="96"/>
      <c r="G100" s="96"/>
      <c r="H100" s="96"/>
    </row>
    <row r="101" spans="1:11" s="32" customFormat="1" hidden="1" x14ac:dyDescent="0.25">
      <c r="A101" s="90" t="s">
        <v>162</v>
      </c>
      <c r="B101" s="90"/>
      <c r="C101" s="90"/>
      <c r="D101" s="90"/>
      <c r="E101" s="90"/>
      <c r="F101" s="96"/>
      <c r="G101" s="96"/>
      <c r="H101" s="96"/>
    </row>
    <row r="102" spans="1:11" s="32" customFormat="1" hidden="1" x14ac:dyDescent="0.25">
      <c r="A102" s="90" t="s">
        <v>99</v>
      </c>
      <c r="B102" s="90"/>
      <c r="C102" s="90"/>
      <c r="D102" s="90"/>
      <c r="E102" s="90"/>
      <c r="F102" s="96"/>
      <c r="G102" s="96"/>
      <c r="H102" s="96"/>
    </row>
    <row r="103" spans="1:11" s="32" customFormat="1" x14ac:dyDescent="0.25">
      <c r="A103" s="90" t="s">
        <v>211</v>
      </c>
      <c r="B103" s="90"/>
      <c r="C103" s="90"/>
      <c r="D103" s="90"/>
      <c r="E103" s="90"/>
      <c r="F103" s="96">
        <v>150000</v>
      </c>
      <c r="G103" s="96"/>
      <c r="H103" s="96"/>
    </row>
    <row r="104" spans="1:11" s="32" customFormat="1" x14ac:dyDescent="0.25">
      <c r="A104" s="90" t="s">
        <v>100</v>
      </c>
      <c r="B104" s="90"/>
      <c r="C104" s="90"/>
      <c r="D104" s="90"/>
      <c r="E104" s="90"/>
      <c r="F104" s="96">
        <v>25000</v>
      </c>
      <c r="G104" s="96"/>
      <c r="H104" s="96"/>
    </row>
    <row r="105" spans="1:11" s="32" customFormat="1" hidden="1" x14ac:dyDescent="0.25">
      <c r="A105" s="90" t="s">
        <v>101</v>
      </c>
      <c r="B105" s="90"/>
      <c r="C105" s="90"/>
      <c r="D105" s="90"/>
      <c r="E105" s="90"/>
      <c r="F105" s="96"/>
      <c r="G105" s="96"/>
      <c r="H105" s="96"/>
    </row>
    <row r="106" spans="1:11" x14ac:dyDescent="0.25">
      <c r="A106" s="90" t="s">
        <v>52</v>
      </c>
      <c r="B106" s="90"/>
      <c r="C106" s="90"/>
      <c r="D106" s="90"/>
      <c r="E106" s="90"/>
      <c r="F106" s="96">
        <v>200000</v>
      </c>
      <c r="G106" s="96"/>
      <c r="H106" s="96"/>
      <c r="I106" s="20" t="s">
        <v>219</v>
      </c>
      <c r="K106" s="20" t="s">
        <v>220</v>
      </c>
    </row>
    <row r="107" spans="1:11" s="33" customFormat="1" x14ac:dyDescent="0.25">
      <c r="A107" s="115" t="s">
        <v>53</v>
      </c>
      <c r="B107" s="115"/>
      <c r="C107" s="115"/>
      <c r="D107" s="115"/>
      <c r="E107" s="115"/>
      <c r="F107" s="96">
        <f>F95*0.8</f>
        <v>3280</v>
      </c>
      <c r="G107" s="96"/>
      <c r="H107" s="96"/>
    </row>
    <row r="108" spans="1:11" s="34" customFormat="1" x14ac:dyDescent="0.25">
      <c r="A108" s="117" t="s">
        <v>72</v>
      </c>
      <c r="B108" s="117"/>
      <c r="C108" s="117"/>
      <c r="D108" s="117"/>
      <c r="E108" s="117"/>
      <c r="F108" s="117"/>
      <c r="G108" s="117"/>
      <c r="H108" s="117"/>
    </row>
    <row r="109" spans="1:11" s="34" customFormat="1" ht="15.75" customHeight="1" x14ac:dyDescent="0.25">
      <c r="A109" s="92" t="s">
        <v>54</v>
      </c>
      <c r="B109" s="92"/>
      <c r="C109" s="108" t="s">
        <v>80</v>
      </c>
      <c r="D109" s="108"/>
      <c r="E109" s="122" t="s">
        <v>55</v>
      </c>
      <c r="F109" s="122"/>
      <c r="G109" s="92" t="s">
        <v>56</v>
      </c>
      <c r="H109" s="92"/>
    </row>
    <row r="110" spans="1:11" s="34" customFormat="1" x14ac:dyDescent="0.25">
      <c r="A110" s="116" t="s">
        <v>197</v>
      </c>
      <c r="B110" s="116"/>
      <c r="C110" s="168">
        <f>COUNT(D119:D124)*5+COUNT(D126:D131)+COUNT(D133:D138)</f>
        <v>42</v>
      </c>
      <c r="D110" s="168"/>
      <c r="E110" s="167">
        <f>SUM(D119:D124)*5+SUM(D126:D131)+SUM(D133:D138)</f>
        <v>20863.559807999998</v>
      </c>
      <c r="F110" s="167"/>
      <c r="G110" s="167">
        <f>SUM(F119:F124)*5+SUM(F126:F131)+SUM(F133:F138)</f>
        <v>30730</v>
      </c>
      <c r="H110" s="167"/>
      <c r="J110" s="59" t="s">
        <v>212</v>
      </c>
      <c r="K110" s="59" t="s">
        <v>213</v>
      </c>
    </row>
    <row r="111" spans="1:11" s="34" customFormat="1" x14ac:dyDescent="0.25">
      <c r="A111" s="116" t="s">
        <v>198</v>
      </c>
      <c r="B111" s="116"/>
      <c r="C111" s="168">
        <f>COUNT(D142:D148)*5+COUNT(D150:D156)+COUNT(D158:D164)</f>
        <v>49</v>
      </c>
      <c r="D111" s="168"/>
      <c r="E111" s="167">
        <f>SUM(D142:D148)*5+SUM(D150:D156)+SUM(D158:D164)</f>
        <v>18362.953439999997</v>
      </c>
      <c r="F111" s="167"/>
      <c r="G111" s="167">
        <f>SUM(F142:F148)*5+SUM(F150:F156)+SUM(F158:F164)</f>
        <v>27335</v>
      </c>
      <c r="H111" s="167"/>
      <c r="J111" s="64">
        <v>3700</v>
      </c>
      <c r="K111" s="65">
        <v>3500</v>
      </c>
    </row>
    <row r="112" spans="1:11" s="34" customFormat="1" x14ac:dyDescent="0.25">
      <c r="A112" s="117" t="s">
        <v>150</v>
      </c>
      <c r="B112" s="117"/>
      <c r="C112" s="107">
        <f>SUM(C110:C111)</f>
        <v>91</v>
      </c>
      <c r="D112" s="108"/>
      <c r="E112" s="107">
        <f t="shared" ref="E112" si="0">SUM(E110:E111)</f>
        <v>39226.513247999996</v>
      </c>
      <c r="F112" s="108"/>
      <c r="G112" s="107">
        <f t="shared" ref="G112" si="1">SUM(G110:G111)</f>
        <v>58065</v>
      </c>
      <c r="H112" s="108"/>
      <c r="J112" s="62" t="s">
        <v>200</v>
      </c>
      <c r="K112" s="60">
        <v>1900000</v>
      </c>
    </row>
    <row r="113" spans="1:14" s="33" customFormat="1" x14ac:dyDescent="0.25">
      <c r="A113" s="102" t="s">
        <v>57</v>
      </c>
      <c r="B113" s="102"/>
      <c r="C113" s="102"/>
      <c r="D113" s="102"/>
      <c r="E113" s="102"/>
      <c r="F113" s="102"/>
      <c r="G113" s="102"/>
      <c r="H113" s="102"/>
      <c r="J113" s="63" t="s">
        <v>204</v>
      </c>
      <c r="K113" s="61">
        <v>1400000</v>
      </c>
    </row>
    <row r="114" spans="1:14" x14ac:dyDescent="0.25">
      <c r="A114" s="102" t="s">
        <v>58</v>
      </c>
      <c r="B114" s="102"/>
      <c r="C114" s="102"/>
      <c r="D114" s="102"/>
      <c r="E114" s="102"/>
      <c r="F114" s="102"/>
      <c r="G114" s="102"/>
      <c r="H114" s="102"/>
      <c r="J114" s="20" t="s">
        <v>214</v>
      </c>
      <c r="K114" s="20">
        <v>3500000</v>
      </c>
    </row>
    <row r="115" spans="1:14" ht="47.25" customHeight="1" x14ac:dyDescent="0.25">
      <c r="A115" s="93" t="s">
        <v>122</v>
      </c>
      <c r="B115" s="93"/>
      <c r="C115" s="71" t="s">
        <v>59</v>
      </c>
      <c r="D115" s="71" t="s">
        <v>60</v>
      </c>
      <c r="E115" s="72" t="s">
        <v>61</v>
      </c>
      <c r="F115" s="71" t="s">
        <v>208</v>
      </c>
      <c r="G115" s="93" t="s">
        <v>62</v>
      </c>
      <c r="H115" s="93"/>
      <c r="I115" s="35"/>
      <c r="J115" s="66" t="s">
        <v>210</v>
      </c>
    </row>
    <row r="116" spans="1:14" s="36" customFormat="1" x14ac:dyDescent="0.25">
      <c r="A116" s="111" t="s">
        <v>197</v>
      </c>
      <c r="B116" s="111"/>
      <c r="C116" s="111"/>
      <c r="D116" s="111"/>
      <c r="E116" s="111"/>
      <c r="F116" s="111"/>
      <c r="G116" s="111"/>
      <c r="H116" s="111"/>
      <c r="J116" s="35"/>
    </row>
    <row r="117" spans="1:14" s="36" customFormat="1" x14ac:dyDescent="0.25">
      <c r="A117" s="81" t="s">
        <v>194</v>
      </c>
      <c r="B117" s="81"/>
      <c r="C117" s="81"/>
      <c r="D117" s="81"/>
      <c r="E117" s="81"/>
      <c r="F117" s="81"/>
      <c r="G117" s="81"/>
      <c r="H117" s="81"/>
      <c r="J117" s="35"/>
    </row>
    <row r="118" spans="1:14" s="36" customFormat="1" x14ac:dyDescent="0.25">
      <c r="A118" s="81" t="s">
        <v>195</v>
      </c>
      <c r="B118" s="81"/>
      <c r="C118" s="81"/>
      <c r="D118" s="81"/>
      <c r="E118" s="81"/>
      <c r="F118" s="81"/>
      <c r="G118" s="81"/>
      <c r="H118" s="81"/>
      <c r="I118" s="35"/>
      <c r="L118" s="75"/>
      <c r="M118" s="75"/>
    </row>
    <row r="119" spans="1:14" s="36" customFormat="1" ht="15.75" customHeight="1" x14ac:dyDescent="0.25">
      <c r="A119" s="88">
        <v>1</v>
      </c>
      <c r="B119" s="89"/>
      <c r="C119" s="57" t="s">
        <v>200</v>
      </c>
      <c r="D119" s="58">
        <f>(28.01+4.03+1.2*(2.75+2+2.6))*10.764</f>
        <v>439.81703999999996</v>
      </c>
      <c r="E119" s="57">
        <v>0</v>
      </c>
      <c r="F119" s="57">
        <v>650</v>
      </c>
      <c r="G119" s="77" t="str">
        <f>A118</f>
        <v>1st to 5th Floor For Residential</v>
      </c>
      <c r="H119" s="78"/>
      <c r="I119" s="35">
        <f>2.75*3.95+2*2.3+2.6*2.3+2*1.2+0.9*1.2+1.2*0.9</f>
        <v>26.002499999999998</v>
      </c>
      <c r="J119" s="35">
        <f>10.86+4.6+8.32+2.4+0.108</f>
        <v>26.288</v>
      </c>
      <c r="K119" s="36">
        <f>0.9*(2+2.6)</f>
        <v>4.1399999999999997</v>
      </c>
      <c r="L119" s="36">
        <f>0.95*(2+2.6)</f>
        <v>4.3699999999999992</v>
      </c>
      <c r="M119" s="36">
        <f>N119/D119</f>
        <v>1.477887259665974</v>
      </c>
      <c r="N119" s="36">
        <v>650</v>
      </c>
    </row>
    <row r="120" spans="1:14" s="36" customFormat="1" ht="15.75" customHeight="1" x14ac:dyDescent="0.25">
      <c r="A120" s="88">
        <f>A119+1</f>
        <v>2</v>
      </c>
      <c r="B120" s="89">
        <f>B119+1</f>
        <v>1</v>
      </c>
      <c r="C120" s="57" t="s">
        <v>200</v>
      </c>
      <c r="D120" s="58">
        <f>(36.1+7.31+1.2*(2.75+2.4+2.5+3.4))*10.764</f>
        <v>609.99587999999994</v>
      </c>
      <c r="E120" s="57">
        <v>0</v>
      </c>
      <c r="F120" s="57">
        <v>895</v>
      </c>
      <c r="G120" s="79"/>
      <c r="H120" s="80"/>
      <c r="I120" s="35">
        <f>2.75*4.03+2.4*2+2.7*1.6+3*1+1.8*2.5+1.05*2.4+2.4*1.2</f>
        <v>33.102499999999999</v>
      </c>
      <c r="J120" s="36">
        <f>11.06+4.8+15.31+2.52+2.88</f>
        <v>36.570000000000007</v>
      </c>
      <c r="K120" s="36">
        <f>0.9*(2.4+4.05+3.4)</f>
        <v>8.8650000000000002</v>
      </c>
      <c r="M120" s="36">
        <f t="shared" ref="M120:M131" si="2">N120/D120</f>
        <v>1.4672230245227231</v>
      </c>
      <c r="N120" s="36">
        <v>895</v>
      </c>
    </row>
    <row r="121" spans="1:14" s="36" customFormat="1" ht="15.75" customHeight="1" x14ac:dyDescent="0.25">
      <c r="A121" s="88">
        <f t="shared" ref="A121:A124" si="3">A120+1</f>
        <v>3</v>
      </c>
      <c r="B121" s="89">
        <f t="shared" ref="B121:B124" si="4">B120+1</f>
        <v>2</v>
      </c>
      <c r="C121" s="57" t="s">
        <v>200</v>
      </c>
      <c r="D121" s="58">
        <f>(38.14+5.27+1.2*(2.75+2.48+2.5+3.4))*10.764</f>
        <v>611.029224</v>
      </c>
      <c r="E121" s="57">
        <v>0</v>
      </c>
      <c r="F121" s="57">
        <v>895</v>
      </c>
      <c r="G121" s="79"/>
      <c r="H121" s="80"/>
      <c r="I121" s="35"/>
      <c r="M121" s="36">
        <f t="shared" si="2"/>
        <v>1.4647417256756283</v>
      </c>
      <c r="N121" s="36">
        <v>895</v>
      </c>
    </row>
    <row r="122" spans="1:14" s="36" customFormat="1" ht="15.75" customHeight="1" x14ac:dyDescent="0.25">
      <c r="A122" s="88">
        <f t="shared" si="3"/>
        <v>4</v>
      </c>
      <c r="B122" s="89">
        <f t="shared" si="4"/>
        <v>3</v>
      </c>
      <c r="C122" s="57" t="s">
        <v>200</v>
      </c>
      <c r="D122" s="58">
        <f>(32.05+1.2*(2.75+2+2.6))*10.764</f>
        <v>439.92467999999997</v>
      </c>
      <c r="E122" s="57">
        <v>0</v>
      </c>
      <c r="F122" s="57">
        <v>650</v>
      </c>
      <c r="G122" s="79"/>
      <c r="H122" s="80"/>
      <c r="I122" s="35">
        <f>2.7*1.6+3*1+1.8*2.5</f>
        <v>11.82</v>
      </c>
      <c r="M122" s="36">
        <f t="shared" si="2"/>
        <v>1.4775256528003839</v>
      </c>
      <c r="N122" s="36">
        <v>650</v>
      </c>
    </row>
    <row r="123" spans="1:14" s="36" customFormat="1" ht="15.75" customHeight="1" x14ac:dyDescent="0.25">
      <c r="A123" s="88">
        <f t="shared" si="3"/>
        <v>5</v>
      </c>
      <c r="B123" s="89">
        <f t="shared" si="4"/>
        <v>4</v>
      </c>
      <c r="C123" s="57" t="s">
        <v>200</v>
      </c>
      <c r="D123" s="58">
        <f>(32.05+1.2*(2.75+2+2.6))*10.764</f>
        <v>439.92467999999997</v>
      </c>
      <c r="E123" s="57">
        <v>0</v>
      </c>
      <c r="F123" s="57">
        <v>650</v>
      </c>
      <c r="G123" s="79"/>
      <c r="H123" s="80"/>
      <c r="I123" s="35"/>
      <c r="M123" s="36">
        <f t="shared" si="2"/>
        <v>1.4775256528003839</v>
      </c>
      <c r="N123" s="36">
        <v>650</v>
      </c>
    </row>
    <row r="124" spans="1:14" s="36" customFormat="1" x14ac:dyDescent="0.25">
      <c r="A124" s="88">
        <f t="shared" si="3"/>
        <v>6</v>
      </c>
      <c r="B124" s="89">
        <f t="shared" si="4"/>
        <v>5</v>
      </c>
      <c r="C124" s="57" t="s">
        <v>200</v>
      </c>
      <c r="D124" s="58">
        <f>(28+4.04+1.2*(2.75+2+2.6))*10.764</f>
        <v>439.81703999999996</v>
      </c>
      <c r="E124" s="57">
        <v>0</v>
      </c>
      <c r="F124" s="57">
        <v>650</v>
      </c>
      <c r="G124" s="79"/>
      <c r="H124" s="80"/>
      <c r="I124" s="35"/>
      <c r="M124" s="36">
        <f t="shared" si="2"/>
        <v>1.477887259665974</v>
      </c>
      <c r="N124" s="36">
        <v>650</v>
      </c>
    </row>
    <row r="125" spans="1:14" s="36" customFormat="1" x14ac:dyDescent="0.25">
      <c r="A125" s="81" t="s">
        <v>196</v>
      </c>
      <c r="B125" s="81"/>
      <c r="C125" s="81"/>
      <c r="D125" s="81"/>
      <c r="E125" s="81"/>
      <c r="F125" s="81"/>
      <c r="G125" s="81"/>
      <c r="H125" s="81"/>
      <c r="I125" s="35"/>
      <c r="L125" s="55"/>
    </row>
    <row r="126" spans="1:14" s="36" customFormat="1" ht="15.75" customHeight="1" x14ac:dyDescent="0.25">
      <c r="A126" s="88">
        <v>1</v>
      </c>
      <c r="B126" s="89"/>
      <c r="C126" s="57" t="s">
        <v>200</v>
      </c>
      <c r="D126" s="58">
        <f>(28.01+4.03+1.2*(2.75+2+2.6))*10.764</f>
        <v>439.81703999999996</v>
      </c>
      <c r="E126" s="57">
        <v>0</v>
      </c>
      <c r="F126" s="57">
        <v>650</v>
      </c>
      <c r="G126" s="77" t="str">
        <f>A125</f>
        <v>6th Floor For Residential</v>
      </c>
      <c r="H126" s="78"/>
      <c r="I126" s="35"/>
      <c r="J126" s="35">
        <f>3500*F126</f>
        <v>2275000</v>
      </c>
      <c r="M126" s="36">
        <f t="shared" si="2"/>
        <v>1.477887259665974</v>
      </c>
      <c r="N126" s="35">
        <v>650</v>
      </c>
    </row>
    <row r="127" spans="1:14" s="36" customFormat="1" ht="15.75" customHeight="1" x14ac:dyDescent="0.25">
      <c r="A127" s="88">
        <f>A126+1</f>
        <v>2</v>
      </c>
      <c r="B127" s="89">
        <f>B126+1</f>
        <v>1</v>
      </c>
      <c r="C127" s="57" t="s">
        <v>200</v>
      </c>
      <c r="D127" s="58">
        <f>(36.1+7.31+1.2*(2.75+2.4+2.5+3.4))*10.764</f>
        <v>609.99587999999994</v>
      </c>
      <c r="E127" s="57">
        <v>0</v>
      </c>
      <c r="F127" s="57">
        <v>895</v>
      </c>
      <c r="G127" s="79"/>
      <c r="H127" s="80"/>
      <c r="I127" s="35"/>
      <c r="J127" s="35">
        <f t="shared" ref="J127:J131" si="5">3500*F127</f>
        <v>3132500</v>
      </c>
      <c r="M127" s="36">
        <f t="shared" si="2"/>
        <v>1.4672230245227231</v>
      </c>
      <c r="N127" s="35">
        <v>895</v>
      </c>
    </row>
    <row r="128" spans="1:14" s="36" customFormat="1" ht="15.75" customHeight="1" x14ac:dyDescent="0.25">
      <c r="A128" s="88">
        <f t="shared" ref="A128:A131" si="6">A127+1</f>
        <v>3</v>
      </c>
      <c r="B128" s="89">
        <f t="shared" ref="B128:B131" si="7">B127+1</f>
        <v>2</v>
      </c>
      <c r="C128" s="57" t="s">
        <v>200</v>
      </c>
      <c r="D128" s="58">
        <f>(38.14+5.27+1.2*(2.75+2.48+2.5+3.4))*10.764</f>
        <v>611.029224</v>
      </c>
      <c r="E128" s="57">
        <v>0</v>
      </c>
      <c r="F128" s="57">
        <v>895</v>
      </c>
      <c r="G128" s="79"/>
      <c r="H128" s="80"/>
      <c r="I128" s="35"/>
      <c r="J128" s="35">
        <f t="shared" si="5"/>
        <v>3132500</v>
      </c>
      <c r="M128" s="36">
        <f t="shared" si="2"/>
        <v>1.4647417256756283</v>
      </c>
      <c r="N128" s="35">
        <v>895</v>
      </c>
    </row>
    <row r="129" spans="1:14" s="36" customFormat="1" ht="15.75" customHeight="1" x14ac:dyDescent="0.25">
      <c r="A129" s="88">
        <f t="shared" si="6"/>
        <v>4</v>
      </c>
      <c r="B129" s="89">
        <f t="shared" si="7"/>
        <v>3</v>
      </c>
      <c r="C129" s="57" t="s">
        <v>200</v>
      </c>
      <c r="D129" s="58">
        <f>(32.05+1.2*(2.75+2+2.6))*10.764</f>
        <v>439.92467999999997</v>
      </c>
      <c r="E129" s="57">
        <v>0</v>
      </c>
      <c r="F129" s="57">
        <v>650</v>
      </c>
      <c r="G129" s="79"/>
      <c r="H129" s="80"/>
      <c r="I129" s="35"/>
      <c r="J129" s="35">
        <f t="shared" si="5"/>
        <v>2275000</v>
      </c>
      <c r="M129" s="36">
        <f t="shared" si="2"/>
        <v>1.4775256528003839</v>
      </c>
      <c r="N129" s="35">
        <v>650</v>
      </c>
    </row>
    <row r="130" spans="1:14" s="36" customFormat="1" ht="15.75" customHeight="1" x14ac:dyDescent="0.25">
      <c r="A130" s="88">
        <f t="shared" si="6"/>
        <v>5</v>
      </c>
      <c r="B130" s="89">
        <f t="shared" si="7"/>
        <v>4</v>
      </c>
      <c r="C130" s="57" t="s">
        <v>200</v>
      </c>
      <c r="D130" s="58">
        <f>(32.05+1.2*(2.75+2+2.6))*10.764</f>
        <v>439.92467999999997</v>
      </c>
      <c r="E130" s="57">
        <v>0</v>
      </c>
      <c r="F130" s="57">
        <v>650</v>
      </c>
      <c r="G130" s="79"/>
      <c r="H130" s="80"/>
      <c r="I130" s="35"/>
      <c r="J130" s="35">
        <f t="shared" si="5"/>
        <v>2275000</v>
      </c>
      <c r="M130" s="36">
        <f t="shared" si="2"/>
        <v>1.4775256528003839</v>
      </c>
      <c r="N130" s="35">
        <v>650</v>
      </c>
    </row>
    <row r="131" spans="1:14" s="36" customFormat="1" x14ac:dyDescent="0.25">
      <c r="A131" s="88">
        <f t="shared" si="6"/>
        <v>6</v>
      </c>
      <c r="B131" s="89">
        <f t="shared" si="7"/>
        <v>5</v>
      </c>
      <c r="C131" s="57" t="s">
        <v>200</v>
      </c>
      <c r="D131" s="58">
        <f>(28+4.04+1.2*(2.75+2+2.6))*10.764</f>
        <v>439.81703999999996</v>
      </c>
      <c r="E131" s="57">
        <v>0</v>
      </c>
      <c r="F131" s="57">
        <v>650</v>
      </c>
      <c r="G131" s="79"/>
      <c r="H131" s="80"/>
      <c r="I131" s="35"/>
      <c r="J131" s="35">
        <f t="shared" si="5"/>
        <v>2275000</v>
      </c>
      <c r="M131" s="36">
        <f t="shared" si="2"/>
        <v>1.477887259665974</v>
      </c>
      <c r="N131" s="35">
        <v>650</v>
      </c>
    </row>
    <row r="132" spans="1:14" s="36" customFormat="1" x14ac:dyDescent="0.25">
      <c r="A132" s="81" t="s">
        <v>202</v>
      </c>
      <c r="B132" s="81"/>
      <c r="C132" s="81"/>
      <c r="D132" s="81"/>
      <c r="E132" s="81"/>
      <c r="F132" s="81"/>
      <c r="G132" s="81"/>
      <c r="H132" s="81"/>
      <c r="I132" s="35"/>
      <c r="L132" s="75"/>
      <c r="M132" s="75"/>
    </row>
    <row r="133" spans="1:14" s="36" customFormat="1" ht="15.75" customHeight="1" x14ac:dyDescent="0.25">
      <c r="A133" s="88">
        <v>1</v>
      </c>
      <c r="B133" s="89"/>
      <c r="C133" s="57" t="s">
        <v>200</v>
      </c>
      <c r="D133" s="58">
        <f>(28.01+4.03+1.2*(2.75+2+2.6))*10.764</f>
        <v>439.81703999999996</v>
      </c>
      <c r="E133" s="57">
        <v>0</v>
      </c>
      <c r="F133" s="57">
        <v>650</v>
      </c>
      <c r="G133" s="77" t="str">
        <f>A132</f>
        <v>7th Floor For Residential</v>
      </c>
      <c r="H133" s="78"/>
      <c r="I133" s="35"/>
      <c r="J133" s="35"/>
      <c r="N133" s="35"/>
    </row>
    <row r="134" spans="1:14" s="36" customFormat="1" ht="15.75" customHeight="1" x14ac:dyDescent="0.25">
      <c r="A134" s="88">
        <f>A133+1</f>
        <v>2</v>
      </c>
      <c r="B134" s="89">
        <f>B133+1</f>
        <v>1</v>
      </c>
      <c r="C134" s="57" t="s">
        <v>200</v>
      </c>
      <c r="D134" s="58">
        <f>(36.1+7.31+1.2*(2.75+2.4+2.5+3.4))*10.764</f>
        <v>609.99587999999994</v>
      </c>
      <c r="E134" s="57">
        <v>0</v>
      </c>
      <c r="F134" s="57">
        <v>895</v>
      </c>
      <c r="G134" s="79"/>
      <c r="H134" s="80"/>
      <c r="I134" s="35"/>
      <c r="N134" s="35"/>
    </row>
    <row r="135" spans="1:14" s="36" customFormat="1" ht="15.75" customHeight="1" x14ac:dyDescent="0.25">
      <c r="A135" s="88">
        <f t="shared" ref="A135:A138" si="8">A134+1</f>
        <v>3</v>
      </c>
      <c r="B135" s="89">
        <f t="shared" ref="B135:B138" si="9">B134+1</f>
        <v>2</v>
      </c>
      <c r="C135" s="57" t="s">
        <v>200</v>
      </c>
      <c r="D135" s="58">
        <f>(38.14+5.27+1.2*(2.75+2.48+2.5+3.4))*10.764</f>
        <v>611.029224</v>
      </c>
      <c r="E135" s="57">
        <v>0</v>
      </c>
      <c r="F135" s="57">
        <v>895</v>
      </c>
      <c r="G135" s="79"/>
      <c r="H135" s="80"/>
      <c r="I135" s="35"/>
      <c r="N135" s="35"/>
    </row>
    <row r="136" spans="1:14" s="36" customFormat="1" ht="15.75" customHeight="1" x14ac:dyDescent="0.25">
      <c r="A136" s="88">
        <f t="shared" si="8"/>
        <v>4</v>
      </c>
      <c r="B136" s="89">
        <f t="shared" si="9"/>
        <v>3</v>
      </c>
      <c r="C136" s="57" t="s">
        <v>200</v>
      </c>
      <c r="D136" s="58">
        <f>(32.05+1.2*(2.75+2+2.6))*10.764</f>
        <v>439.92467999999997</v>
      </c>
      <c r="E136" s="57">
        <v>0</v>
      </c>
      <c r="F136" s="57">
        <v>650</v>
      </c>
      <c r="G136" s="79"/>
      <c r="H136" s="80"/>
      <c r="I136" s="35"/>
      <c r="N136" s="35"/>
    </row>
    <row r="137" spans="1:14" s="36" customFormat="1" ht="15.75" customHeight="1" x14ac:dyDescent="0.25">
      <c r="A137" s="88">
        <f t="shared" si="8"/>
        <v>5</v>
      </c>
      <c r="B137" s="89">
        <f t="shared" si="9"/>
        <v>4</v>
      </c>
      <c r="C137" s="57" t="s">
        <v>200</v>
      </c>
      <c r="D137" s="58">
        <f>(32.05+1.2*(2.75+2+2.6))*10.764</f>
        <v>439.92467999999997</v>
      </c>
      <c r="E137" s="57">
        <v>0</v>
      </c>
      <c r="F137" s="57">
        <v>650</v>
      </c>
      <c r="G137" s="79"/>
      <c r="H137" s="80"/>
      <c r="I137" s="35"/>
      <c r="N137" s="35"/>
    </row>
    <row r="138" spans="1:14" s="36" customFormat="1" x14ac:dyDescent="0.25">
      <c r="A138" s="88">
        <f t="shared" si="8"/>
        <v>6</v>
      </c>
      <c r="B138" s="89">
        <f t="shared" si="9"/>
        <v>5</v>
      </c>
      <c r="C138" s="57" t="s">
        <v>200</v>
      </c>
      <c r="D138" s="58">
        <f>(28+4.04+1.2*(2.75+2+2.6))*10.764</f>
        <v>439.81703999999996</v>
      </c>
      <c r="E138" s="57">
        <v>0</v>
      </c>
      <c r="F138" s="57">
        <v>650</v>
      </c>
      <c r="G138" s="79"/>
      <c r="H138" s="80"/>
      <c r="I138" s="35"/>
      <c r="N138" s="35"/>
    </row>
    <row r="139" spans="1:14" s="36" customFormat="1" x14ac:dyDescent="0.25">
      <c r="A139" s="82" t="s">
        <v>198</v>
      </c>
      <c r="B139" s="83"/>
      <c r="C139" s="83"/>
      <c r="D139" s="83"/>
      <c r="E139" s="83"/>
      <c r="F139" s="83"/>
      <c r="G139" s="83"/>
      <c r="H139" s="84"/>
      <c r="J139" s="35"/>
    </row>
    <row r="140" spans="1:14" s="36" customFormat="1" x14ac:dyDescent="0.25">
      <c r="A140" s="85" t="s">
        <v>199</v>
      </c>
      <c r="B140" s="86"/>
      <c r="C140" s="86"/>
      <c r="D140" s="86"/>
      <c r="E140" s="86"/>
      <c r="F140" s="86"/>
      <c r="G140" s="86"/>
      <c r="H140" s="87"/>
      <c r="I140" s="53">
        <v>10.763999999999999</v>
      </c>
      <c r="J140" s="35"/>
    </row>
    <row r="141" spans="1:14" s="36" customFormat="1" x14ac:dyDescent="0.25">
      <c r="A141" s="81" t="s">
        <v>195</v>
      </c>
      <c r="B141" s="81"/>
      <c r="C141" s="81"/>
      <c r="D141" s="81"/>
      <c r="E141" s="81"/>
      <c r="F141" s="81"/>
      <c r="G141" s="81"/>
      <c r="H141" s="81"/>
      <c r="I141" s="35"/>
      <c r="L141" s="75"/>
      <c r="M141" s="75"/>
    </row>
    <row r="142" spans="1:14" s="36" customFormat="1" ht="15.75" customHeight="1" x14ac:dyDescent="0.25">
      <c r="A142" s="88">
        <v>7</v>
      </c>
      <c r="B142" s="89"/>
      <c r="C142" s="57" t="s">
        <v>200</v>
      </c>
      <c r="D142" s="58">
        <f>(25.19+1.2*(2.75+2.15))*10.764</f>
        <v>334.43747999999999</v>
      </c>
      <c r="E142" s="57">
        <v>0</v>
      </c>
      <c r="F142" s="57">
        <v>500</v>
      </c>
      <c r="G142" s="77" t="str">
        <f>A141</f>
        <v>1st to 5th Floor For Residential</v>
      </c>
      <c r="H142" s="78"/>
      <c r="I142" s="35"/>
      <c r="J142" s="36">
        <f>K142/D142</f>
        <v>1.4950477440506968</v>
      </c>
      <c r="K142" s="36">
        <v>500</v>
      </c>
      <c r="N142" s="35"/>
    </row>
    <row r="143" spans="1:14" s="36" customFormat="1" ht="15.75" customHeight="1" x14ac:dyDescent="0.25">
      <c r="A143" s="88">
        <f>A142+1</f>
        <v>8</v>
      </c>
      <c r="B143" s="89">
        <f>B142+1</f>
        <v>1</v>
      </c>
      <c r="C143" s="57" t="s">
        <v>200</v>
      </c>
      <c r="D143" s="58">
        <f>(25.49+4.03+1.2*(2.75+2.15+2.45))*10.764</f>
        <v>412.69175999999999</v>
      </c>
      <c r="E143" s="57">
        <v>0</v>
      </c>
      <c r="F143" s="57">
        <v>610</v>
      </c>
      <c r="G143" s="79"/>
      <c r="H143" s="80"/>
      <c r="I143" s="35"/>
      <c r="J143" s="36">
        <f t="shared" ref="J143:J148" si="10">K143/D143</f>
        <v>1.4781007500610142</v>
      </c>
      <c r="K143" s="36">
        <v>610</v>
      </c>
      <c r="N143" s="35"/>
    </row>
    <row r="144" spans="1:14" s="36" customFormat="1" ht="15.75" customHeight="1" x14ac:dyDescent="0.25">
      <c r="A144" s="88">
        <f t="shared" ref="A144:A147" si="11">A143+1</f>
        <v>9</v>
      </c>
      <c r="B144" s="89">
        <f t="shared" ref="B144:B147" si="12">B143+1</f>
        <v>2</v>
      </c>
      <c r="C144" s="57" t="s">
        <v>200</v>
      </c>
      <c r="D144" s="58">
        <f>(25.3+4.04+1.2*(2.75+2.15+2.45))*10.764</f>
        <v>410.75423999999992</v>
      </c>
      <c r="E144" s="57">
        <v>0</v>
      </c>
      <c r="F144" s="57">
        <v>605</v>
      </c>
      <c r="G144" s="79"/>
      <c r="H144" s="80"/>
      <c r="I144" s="35"/>
      <c r="J144" s="36">
        <f t="shared" si="10"/>
        <v>1.472900194529946</v>
      </c>
      <c r="K144" s="36">
        <v>605</v>
      </c>
      <c r="N144" s="35"/>
    </row>
    <row r="145" spans="1:14" s="36" customFormat="1" ht="15.75" customHeight="1" x14ac:dyDescent="0.25">
      <c r="A145" s="88">
        <f t="shared" si="11"/>
        <v>10</v>
      </c>
      <c r="B145" s="89">
        <f t="shared" si="12"/>
        <v>3</v>
      </c>
      <c r="C145" s="57" t="s">
        <v>200</v>
      </c>
      <c r="D145" s="58">
        <f>(29.35+1.2*(2.75+2.15+2.45))*10.764</f>
        <v>410.86187999999999</v>
      </c>
      <c r="E145" s="57">
        <v>0</v>
      </c>
      <c r="F145" s="57">
        <v>605</v>
      </c>
      <c r="G145" s="79"/>
      <c r="H145" s="80"/>
      <c r="I145" s="35"/>
      <c r="J145" s="36">
        <f t="shared" si="10"/>
        <v>1.4725143155164457</v>
      </c>
      <c r="K145" s="36">
        <v>605</v>
      </c>
      <c r="N145" s="35"/>
    </row>
    <row r="146" spans="1:14" s="36" customFormat="1" ht="15.75" customHeight="1" x14ac:dyDescent="0.25">
      <c r="A146" s="88">
        <f t="shared" si="11"/>
        <v>11</v>
      </c>
      <c r="B146" s="89">
        <f t="shared" si="12"/>
        <v>4</v>
      </c>
      <c r="C146" s="57" t="s">
        <v>200</v>
      </c>
      <c r="D146" s="58">
        <f>(29.35+1.2*(2.75+2.15+2.45))*10.764</f>
        <v>410.86187999999999</v>
      </c>
      <c r="E146" s="57">
        <v>0</v>
      </c>
      <c r="F146" s="57">
        <v>605</v>
      </c>
      <c r="G146" s="79"/>
      <c r="H146" s="80"/>
      <c r="I146" s="35"/>
      <c r="J146" s="36">
        <f t="shared" si="10"/>
        <v>1.4725143155164457</v>
      </c>
      <c r="K146" s="36">
        <v>605</v>
      </c>
      <c r="N146" s="35"/>
    </row>
    <row r="147" spans="1:14" s="36" customFormat="1" x14ac:dyDescent="0.25">
      <c r="A147" s="88">
        <f t="shared" si="11"/>
        <v>12</v>
      </c>
      <c r="B147" s="89">
        <f t="shared" si="12"/>
        <v>5</v>
      </c>
      <c r="C147" s="57" t="s">
        <v>204</v>
      </c>
      <c r="D147" s="58">
        <f>(21.2+3.68+1.2*(2+2.9))*10.764</f>
        <v>331.10063999999994</v>
      </c>
      <c r="E147" s="57">
        <v>0</v>
      </c>
      <c r="F147" s="57">
        <v>480</v>
      </c>
      <c r="G147" s="79"/>
      <c r="H147" s="80"/>
      <c r="I147" s="52">
        <f>1.6*2.2</f>
        <v>3.5200000000000005</v>
      </c>
      <c r="J147" s="36">
        <f t="shared" si="10"/>
        <v>1.4497102754014612</v>
      </c>
      <c r="K147" s="36">
        <v>480</v>
      </c>
      <c r="N147" s="35"/>
    </row>
    <row r="148" spans="1:14" s="36" customFormat="1" x14ac:dyDescent="0.25">
      <c r="A148" s="88">
        <f t="shared" ref="A148" si="13">A147+1</f>
        <v>13</v>
      </c>
      <c r="B148" s="89">
        <f t="shared" ref="B148" si="14">B147+1</f>
        <v>6</v>
      </c>
      <c r="C148" s="57" t="s">
        <v>200</v>
      </c>
      <c r="D148" s="58">
        <f>(30.03+1.2*(2.75+2.55))*10.764</f>
        <v>391.70195999999999</v>
      </c>
      <c r="E148" s="57">
        <v>0</v>
      </c>
      <c r="F148" s="57">
        <v>580</v>
      </c>
      <c r="G148" s="175"/>
      <c r="H148" s="176"/>
      <c r="I148" s="35"/>
      <c r="J148" s="36">
        <f t="shared" si="10"/>
        <v>1.4807176354185208</v>
      </c>
      <c r="K148" s="36">
        <v>580</v>
      </c>
      <c r="N148" s="35"/>
    </row>
    <row r="149" spans="1:14" s="36" customFormat="1" x14ac:dyDescent="0.25">
      <c r="A149" s="81" t="s">
        <v>201</v>
      </c>
      <c r="B149" s="81"/>
      <c r="C149" s="81"/>
      <c r="D149" s="81"/>
      <c r="E149" s="81"/>
      <c r="F149" s="81"/>
      <c r="G149" s="81"/>
      <c r="H149" s="81"/>
      <c r="I149" s="35"/>
      <c r="L149" s="75"/>
      <c r="M149" s="75"/>
    </row>
    <row r="150" spans="1:14" s="36" customFormat="1" ht="15.75" customHeight="1" x14ac:dyDescent="0.25">
      <c r="A150" s="76">
        <v>7</v>
      </c>
      <c r="B150" s="76"/>
      <c r="C150" s="73" t="s">
        <v>200</v>
      </c>
      <c r="D150" s="58">
        <f>(25.19+1.2*(2.75+2.15))*10.764</f>
        <v>334.43747999999999</v>
      </c>
      <c r="E150" s="73">
        <v>0</v>
      </c>
      <c r="F150" s="73">
        <v>500</v>
      </c>
      <c r="G150" s="76" t="str">
        <f>A149</f>
        <v>6th Floor</v>
      </c>
      <c r="H150" s="76"/>
      <c r="I150" s="35"/>
      <c r="N150" s="35"/>
    </row>
    <row r="151" spans="1:14" s="36" customFormat="1" ht="15.75" customHeight="1" x14ac:dyDescent="0.25">
      <c r="A151" s="76">
        <f>A150+1</f>
        <v>8</v>
      </c>
      <c r="B151" s="76">
        <f>B150+1</f>
        <v>1</v>
      </c>
      <c r="C151" s="73" t="s">
        <v>200</v>
      </c>
      <c r="D151" s="58">
        <f>(25.49+4.03+1.2*(2.75+2.15+2.45))*10.764</f>
        <v>412.69175999999999</v>
      </c>
      <c r="E151" s="73">
        <v>0</v>
      </c>
      <c r="F151" s="73">
        <v>610</v>
      </c>
      <c r="G151" s="76"/>
      <c r="H151" s="76"/>
      <c r="I151" s="35"/>
      <c r="N151" s="35"/>
    </row>
    <row r="152" spans="1:14" s="36" customFormat="1" ht="15.75" customHeight="1" x14ac:dyDescent="0.25">
      <c r="A152" s="76">
        <f t="shared" ref="A152:A156" si="15">A151+1</f>
        <v>9</v>
      </c>
      <c r="B152" s="76">
        <f t="shared" ref="B152:B156" si="16">B151+1</f>
        <v>2</v>
      </c>
      <c r="C152" s="73" t="s">
        <v>200</v>
      </c>
      <c r="D152" s="58">
        <f>(25.3+4.04+1.2*(2.75+2.15+2.45))*10.764</f>
        <v>410.75423999999992</v>
      </c>
      <c r="E152" s="73">
        <v>0</v>
      </c>
      <c r="F152" s="73">
        <v>605</v>
      </c>
      <c r="G152" s="76"/>
      <c r="H152" s="76"/>
      <c r="I152" s="35"/>
      <c r="N152" s="35"/>
    </row>
    <row r="153" spans="1:14" s="36" customFormat="1" ht="15.75" customHeight="1" x14ac:dyDescent="0.25">
      <c r="A153" s="76">
        <f t="shared" si="15"/>
        <v>10</v>
      </c>
      <c r="B153" s="76">
        <f t="shared" si="16"/>
        <v>3</v>
      </c>
      <c r="C153" s="73" t="s">
        <v>200</v>
      </c>
      <c r="D153" s="58">
        <f>(29.35+1.2*(2.75+2.15+2.45))*10.764</f>
        <v>410.86187999999999</v>
      </c>
      <c r="E153" s="73">
        <v>0</v>
      </c>
      <c r="F153" s="73">
        <v>605</v>
      </c>
      <c r="G153" s="76"/>
      <c r="H153" s="76"/>
      <c r="I153" s="35"/>
      <c r="N153" s="35"/>
    </row>
    <row r="154" spans="1:14" s="36" customFormat="1" ht="15.75" customHeight="1" x14ac:dyDescent="0.25">
      <c r="A154" s="76">
        <f t="shared" si="15"/>
        <v>11</v>
      </c>
      <c r="B154" s="76">
        <f t="shared" si="16"/>
        <v>4</v>
      </c>
      <c r="C154" s="73" t="s">
        <v>204</v>
      </c>
      <c r="D154" s="58">
        <f>(21.03+1.2*(2.75+2.15))*10.764</f>
        <v>289.65924000000001</v>
      </c>
      <c r="E154" s="58">
        <f>(2.5*3.2)*10.764</f>
        <v>86.111999999999995</v>
      </c>
      <c r="F154" s="73">
        <v>520</v>
      </c>
      <c r="G154" s="76"/>
      <c r="H154" s="76"/>
      <c r="I154" s="35">
        <f>2.75*3.95+2.15*3.2+2.15*1.2</f>
        <v>20.322499999999998</v>
      </c>
      <c r="J154" s="36">
        <f>10.86+6.88+2.58</f>
        <v>20.32</v>
      </c>
      <c r="N154" s="35"/>
    </row>
    <row r="155" spans="1:14" s="36" customFormat="1" ht="31.5" x14ac:dyDescent="0.25">
      <c r="A155" s="76">
        <f t="shared" si="15"/>
        <v>12</v>
      </c>
      <c r="B155" s="76">
        <f t="shared" si="16"/>
        <v>5</v>
      </c>
      <c r="C155" s="73" t="s">
        <v>205</v>
      </c>
      <c r="D155" s="58">
        <f>(14.75+3.68+1.2*(2.9))*10.764</f>
        <v>235.83923999999999</v>
      </c>
      <c r="E155" s="58">
        <f>(2.4*3)*10.764</f>
        <v>77.500799999999984</v>
      </c>
      <c r="F155" s="73">
        <v>415</v>
      </c>
      <c r="G155" s="76"/>
      <c r="H155" s="76"/>
      <c r="I155" s="35">
        <f>5.05*3.65+2.15*1.2</f>
        <v>21.012499999999996</v>
      </c>
      <c r="J155" s="36">
        <f>15.32+2.58</f>
        <v>17.899999999999999</v>
      </c>
      <c r="K155" s="36">
        <f>2.7*3.6+0.6*2.3+2.15*1.2</f>
        <v>13.680000000000001</v>
      </c>
      <c r="N155" s="35"/>
    </row>
    <row r="156" spans="1:14" s="36" customFormat="1" x14ac:dyDescent="0.25">
      <c r="A156" s="76">
        <f t="shared" si="15"/>
        <v>13</v>
      </c>
      <c r="B156" s="76">
        <f t="shared" si="16"/>
        <v>6</v>
      </c>
      <c r="C156" s="73" t="s">
        <v>204</v>
      </c>
      <c r="D156" s="58">
        <f>(22.64+1.2*(2.75))*10.764</f>
        <v>279.21816000000001</v>
      </c>
      <c r="E156" s="58">
        <f>(2.8*2.6)*10.764</f>
        <v>78.361919999999984</v>
      </c>
      <c r="F156" s="73">
        <v>490</v>
      </c>
      <c r="G156" s="76"/>
      <c r="H156" s="76"/>
      <c r="I156" s="35"/>
      <c r="N156" s="35"/>
    </row>
    <row r="157" spans="1:14" s="36" customFormat="1" x14ac:dyDescent="0.25">
      <c r="A157" s="81" t="s">
        <v>203</v>
      </c>
      <c r="B157" s="81"/>
      <c r="C157" s="81"/>
      <c r="D157" s="81"/>
      <c r="E157" s="81"/>
      <c r="F157" s="81"/>
      <c r="G157" s="81"/>
      <c r="H157" s="81"/>
      <c r="I157" s="35"/>
      <c r="L157" s="75"/>
      <c r="M157" s="75"/>
    </row>
    <row r="158" spans="1:14" s="36" customFormat="1" ht="15.75" customHeight="1" x14ac:dyDescent="0.25">
      <c r="A158" s="76">
        <v>7</v>
      </c>
      <c r="B158" s="76"/>
      <c r="C158" s="57" t="s">
        <v>200</v>
      </c>
      <c r="D158" s="58">
        <f>(25.19+1.2*(2.75+2.15))*10.764</f>
        <v>334.43747999999999</v>
      </c>
      <c r="E158" s="57">
        <v>0</v>
      </c>
      <c r="F158" s="57">
        <v>500</v>
      </c>
      <c r="G158" s="76" t="str">
        <f>A157</f>
        <v>7th Floor</v>
      </c>
      <c r="H158" s="76"/>
      <c r="I158" s="56">
        <f>J158/D158</f>
        <v>1.4950477440506968</v>
      </c>
      <c r="J158" s="54">
        <v>500</v>
      </c>
      <c r="N158" s="35"/>
    </row>
    <row r="159" spans="1:14" s="36" customFormat="1" ht="15.75" customHeight="1" x14ac:dyDescent="0.25">
      <c r="A159" s="76">
        <f>A158+1</f>
        <v>8</v>
      </c>
      <c r="B159" s="76">
        <f>B158+1</f>
        <v>1</v>
      </c>
      <c r="C159" s="57" t="s">
        <v>200</v>
      </c>
      <c r="D159" s="58">
        <f>(25.49+4.03+1.2*(2.75+2.15+2.45))*10.764</f>
        <v>412.69175999999999</v>
      </c>
      <c r="E159" s="57">
        <v>0</v>
      </c>
      <c r="F159" s="57">
        <v>610</v>
      </c>
      <c r="G159" s="76"/>
      <c r="H159" s="76"/>
      <c r="I159" s="56">
        <f t="shared" ref="I159:I164" si="17">J159/D159</f>
        <v>1.4781007500610142</v>
      </c>
      <c r="J159" s="54">
        <v>610</v>
      </c>
      <c r="N159" s="35"/>
    </row>
    <row r="160" spans="1:14" s="36" customFormat="1" ht="15.75" customHeight="1" x14ac:dyDescent="0.25">
      <c r="A160" s="76">
        <f t="shared" ref="A160:A164" si="18">A159+1</f>
        <v>9</v>
      </c>
      <c r="B160" s="76">
        <f t="shared" ref="B160:B164" si="19">B159+1</f>
        <v>2</v>
      </c>
      <c r="C160" s="57" t="s">
        <v>200</v>
      </c>
      <c r="D160" s="58">
        <f>(25.3+4.04+1.2*(2.75+2.15+2.45))*10.764</f>
        <v>410.75423999999992</v>
      </c>
      <c r="E160" s="57">
        <v>0</v>
      </c>
      <c r="F160" s="57">
        <v>605</v>
      </c>
      <c r="G160" s="76"/>
      <c r="H160" s="76"/>
      <c r="I160" s="56">
        <f t="shared" si="17"/>
        <v>1.472900194529946</v>
      </c>
      <c r="J160" s="54">
        <v>605</v>
      </c>
      <c r="N160" s="35"/>
    </row>
    <row r="161" spans="1:14" s="36" customFormat="1" ht="15.75" customHeight="1" x14ac:dyDescent="0.25">
      <c r="A161" s="76">
        <f t="shared" si="18"/>
        <v>10</v>
      </c>
      <c r="B161" s="76">
        <f t="shared" si="19"/>
        <v>3</v>
      </c>
      <c r="C161" s="57" t="s">
        <v>200</v>
      </c>
      <c r="D161" s="58">
        <f>(29.35+1.2*(2.75+2.15+2.45))*10.764</f>
        <v>410.86187999999999</v>
      </c>
      <c r="E161" s="57">
        <v>0</v>
      </c>
      <c r="F161" s="57">
        <v>605</v>
      </c>
      <c r="G161" s="76"/>
      <c r="H161" s="76"/>
      <c r="I161" s="56">
        <f t="shared" si="17"/>
        <v>1.4725143155164457</v>
      </c>
      <c r="J161" s="54">
        <v>605</v>
      </c>
      <c r="N161" s="35"/>
    </row>
    <row r="162" spans="1:14" s="36" customFormat="1" ht="15.75" customHeight="1" x14ac:dyDescent="0.25">
      <c r="A162" s="76">
        <f t="shared" si="18"/>
        <v>11</v>
      </c>
      <c r="B162" s="76">
        <f t="shared" si="19"/>
        <v>4</v>
      </c>
      <c r="C162" s="57" t="s">
        <v>204</v>
      </c>
      <c r="D162" s="58">
        <f>(21.03+1.2*(2.75+2.15+3.2))*10.764</f>
        <v>330.99299999999999</v>
      </c>
      <c r="E162" s="57">
        <v>0</v>
      </c>
      <c r="F162" s="57">
        <v>505</v>
      </c>
      <c r="G162" s="76"/>
      <c r="H162" s="76"/>
      <c r="I162" s="56">
        <f t="shared" si="17"/>
        <v>1.525712024121356</v>
      </c>
      <c r="J162" s="54">
        <v>505</v>
      </c>
      <c r="N162" s="35"/>
    </row>
    <row r="163" spans="1:14" s="36" customFormat="1" ht="31.5" x14ac:dyDescent="0.25">
      <c r="A163" s="76">
        <f t="shared" si="18"/>
        <v>12</v>
      </c>
      <c r="B163" s="76">
        <f t="shared" si="19"/>
        <v>5</v>
      </c>
      <c r="C163" s="57" t="s">
        <v>205</v>
      </c>
      <c r="D163" s="58">
        <f>(14.75+3.68+1.2*(5.2))*10.764</f>
        <v>265.54788000000002</v>
      </c>
      <c r="E163" s="57">
        <v>0</v>
      </c>
      <c r="F163" s="57">
        <v>380</v>
      </c>
      <c r="G163" s="76"/>
      <c r="H163" s="76"/>
      <c r="I163" s="56">
        <f t="shared" si="17"/>
        <v>1.431003704492011</v>
      </c>
      <c r="J163" s="54">
        <v>380</v>
      </c>
      <c r="N163" s="35"/>
    </row>
    <row r="164" spans="1:14" s="36" customFormat="1" x14ac:dyDescent="0.25">
      <c r="A164" s="76">
        <f t="shared" si="18"/>
        <v>13</v>
      </c>
      <c r="B164" s="76">
        <f t="shared" si="19"/>
        <v>6</v>
      </c>
      <c r="C164" s="57" t="s">
        <v>204</v>
      </c>
      <c r="D164" s="58">
        <f>(22.64+1.2*(2.75+2.55))*10.764</f>
        <v>312.15600000000001</v>
      </c>
      <c r="E164" s="57">
        <v>0</v>
      </c>
      <c r="F164" s="57">
        <v>460</v>
      </c>
      <c r="G164" s="76"/>
      <c r="H164" s="76"/>
      <c r="I164" s="56">
        <f t="shared" si="17"/>
        <v>1.4736221632773356</v>
      </c>
      <c r="J164" s="54">
        <v>460</v>
      </c>
      <c r="N164" s="35"/>
    </row>
    <row r="165" spans="1:14" s="34" customFormat="1" x14ac:dyDescent="0.25">
      <c r="A165" s="185" t="s">
        <v>70</v>
      </c>
      <c r="B165" s="185"/>
      <c r="C165" s="185"/>
      <c r="D165" s="185"/>
      <c r="E165" s="185"/>
      <c r="F165" s="185"/>
      <c r="G165" s="185"/>
      <c r="H165" s="185"/>
    </row>
    <row r="166" spans="1:14" s="34" customFormat="1" x14ac:dyDescent="0.25">
      <c r="A166" s="44" t="s">
        <v>153</v>
      </c>
      <c r="B166" s="119" t="s">
        <v>223</v>
      </c>
      <c r="C166" s="120"/>
      <c r="D166" s="120"/>
      <c r="E166" s="120"/>
      <c r="F166" s="120"/>
      <c r="G166" s="120"/>
      <c r="H166" s="121"/>
    </row>
    <row r="167" spans="1:14" s="34" customFormat="1" x14ac:dyDescent="0.25">
      <c r="A167" s="44" t="s">
        <v>153</v>
      </c>
      <c r="B167" s="119" t="str">
        <f>(IF(F115="Saleable area Loading :","We have considered Saleable area of Flats as per our Calculation.","We considered Saleable area of Flat as per Builder area Sheet."))</f>
        <v>We considered Saleable area of Flat as per Builder area Sheet.</v>
      </c>
      <c r="C167" s="120"/>
      <c r="D167" s="120"/>
      <c r="E167" s="120"/>
      <c r="F167" s="120"/>
      <c r="G167" s="120"/>
      <c r="H167" s="121"/>
    </row>
    <row r="168" spans="1:14" s="34" customFormat="1" x14ac:dyDescent="0.25">
      <c r="A168" s="44" t="s">
        <v>153</v>
      </c>
      <c r="B168" s="172" t="s">
        <v>124</v>
      </c>
      <c r="C168" s="173"/>
      <c r="D168" s="173"/>
      <c r="E168" s="173"/>
      <c r="F168" s="173"/>
      <c r="G168" s="173"/>
      <c r="H168" s="174"/>
    </row>
    <row r="169" spans="1:14" s="34" customFormat="1" x14ac:dyDescent="0.25">
      <c r="A169" s="44" t="s">
        <v>153</v>
      </c>
      <c r="B169" s="172" t="s">
        <v>206</v>
      </c>
      <c r="C169" s="173"/>
      <c r="D169" s="173"/>
      <c r="E169" s="173"/>
      <c r="F169" s="173"/>
      <c r="G169" s="173"/>
      <c r="H169" s="174"/>
    </row>
    <row r="170" spans="1:14" s="34" customFormat="1" x14ac:dyDescent="0.25">
      <c r="A170" s="44" t="s">
        <v>153</v>
      </c>
      <c r="B170" s="172" t="s">
        <v>152</v>
      </c>
      <c r="C170" s="173"/>
      <c r="D170" s="173"/>
      <c r="E170" s="173"/>
      <c r="F170" s="173"/>
      <c r="G170" s="173"/>
      <c r="H170" s="174"/>
    </row>
    <row r="171" spans="1:14" s="34" customFormat="1" x14ac:dyDescent="0.25">
      <c r="A171" s="44" t="s">
        <v>153</v>
      </c>
      <c r="B171" s="172" t="s">
        <v>125</v>
      </c>
      <c r="C171" s="173"/>
      <c r="D171" s="173"/>
      <c r="E171" s="173"/>
      <c r="F171" s="173"/>
      <c r="G171" s="173"/>
      <c r="H171" s="174"/>
    </row>
    <row r="172" spans="1:14" s="34" customFormat="1" ht="34.5" customHeight="1" x14ac:dyDescent="0.25">
      <c r="A172" s="44" t="s">
        <v>153</v>
      </c>
      <c r="B172" s="172" t="s">
        <v>154</v>
      </c>
      <c r="C172" s="173"/>
      <c r="D172" s="173"/>
      <c r="E172" s="173"/>
      <c r="F172" s="173"/>
      <c r="G172" s="173"/>
      <c r="H172" s="174"/>
    </row>
    <row r="173" spans="1:14" s="34" customFormat="1" x14ac:dyDescent="0.25">
      <c r="A173" s="44" t="s">
        <v>153</v>
      </c>
      <c r="B173" s="172" t="s">
        <v>126</v>
      </c>
      <c r="C173" s="173"/>
      <c r="D173" s="173"/>
      <c r="E173" s="173"/>
      <c r="F173" s="173"/>
      <c r="G173" s="173"/>
      <c r="H173" s="174"/>
    </row>
    <row r="174" spans="1:14" s="34" customFormat="1" x14ac:dyDescent="0.25">
      <c r="A174" s="74" t="s">
        <v>153</v>
      </c>
      <c r="B174" s="172" t="s">
        <v>221</v>
      </c>
      <c r="C174" s="173"/>
      <c r="D174" s="173"/>
      <c r="E174" s="173"/>
      <c r="F174" s="173"/>
      <c r="G174" s="173"/>
      <c r="H174" s="174"/>
    </row>
    <row r="175" spans="1:14" x14ac:dyDescent="0.25">
      <c r="A175" s="106" t="s">
        <v>63</v>
      </c>
      <c r="B175" s="106"/>
      <c r="C175" s="106"/>
      <c r="D175" s="106"/>
      <c r="E175" s="106"/>
      <c r="F175" s="106"/>
      <c r="G175" s="106"/>
      <c r="H175" s="106"/>
    </row>
    <row r="176" spans="1:14" x14ac:dyDescent="0.25">
      <c r="A176" s="90" t="s">
        <v>64</v>
      </c>
      <c r="B176" s="90"/>
      <c r="C176" s="90"/>
      <c r="D176" s="90"/>
      <c r="E176" s="90"/>
      <c r="F176" s="90"/>
      <c r="G176" s="90"/>
      <c r="H176" s="90"/>
    </row>
    <row r="177" spans="1:8" ht="15.75" customHeight="1" x14ac:dyDescent="0.25">
      <c r="A177" s="91" t="s">
        <v>65</v>
      </c>
      <c r="B177" s="91"/>
      <c r="C177" s="91"/>
      <c r="D177" s="91"/>
      <c r="E177" s="91"/>
      <c r="F177" s="91"/>
      <c r="G177" s="91"/>
      <c r="H177" s="91"/>
    </row>
    <row r="178" spans="1:8" x14ac:dyDescent="0.25">
      <c r="A178" s="90" t="s">
        <v>66</v>
      </c>
      <c r="B178" s="90"/>
      <c r="C178" s="90"/>
      <c r="D178" s="90"/>
      <c r="E178" s="90"/>
      <c r="F178" s="90"/>
      <c r="G178" s="90"/>
      <c r="H178" s="90"/>
    </row>
    <row r="179" spans="1:8" x14ac:dyDescent="0.25">
      <c r="A179" s="90" t="s">
        <v>67</v>
      </c>
      <c r="B179" s="90"/>
      <c r="C179" s="90"/>
      <c r="D179" s="90"/>
      <c r="E179" s="90"/>
      <c r="F179" s="90"/>
      <c r="G179" s="90"/>
      <c r="H179" s="90"/>
    </row>
    <row r="180" spans="1:8" hidden="1" x14ac:dyDescent="0.25">
      <c r="A180" s="90" t="s">
        <v>127</v>
      </c>
      <c r="B180" s="90"/>
      <c r="C180" s="90"/>
      <c r="D180" s="90"/>
      <c r="E180" s="90"/>
      <c r="F180" s="90"/>
      <c r="G180" s="90"/>
      <c r="H180" s="90"/>
    </row>
    <row r="181" spans="1:8" ht="33" hidden="1" customHeight="1" x14ac:dyDescent="0.25">
      <c r="A181" s="118" t="s">
        <v>128</v>
      </c>
      <c r="B181" s="118"/>
      <c r="C181" s="118"/>
      <c r="D181" s="118"/>
      <c r="E181" s="118"/>
      <c r="F181" s="118"/>
      <c r="G181" s="118"/>
      <c r="H181" s="118"/>
    </row>
    <row r="182" spans="1:8" x14ac:dyDescent="0.25">
      <c r="A182" s="114" t="s">
        <v>79</v>
      </c>
      <c r="B182" s="114"/>
      <c r="C182" s="114" t="s">
        <v>189</v>
      </c>
      <c r="D182" s="114"/>
      <c r="E182" s="114" t="s">
        <v>109</v>
      </c>
      <c r="F182" s="114"/>
      <c r="G182" s="114" t="s">
        <v>222</v>
      </c>
      <c r="H182" s="114"/>
    </row>
    <row r="183" spans="1:8" x14ac:dyDescent="0.25">
      <c r="A183" s="113" t="s">
        <v>81</v>
      </c>
      <c r="B183" s="113"/>
      <c r="C183" s="113"/>
      <c r="D183" s="113"/>
      <c r="E183" s="113"/>
      <c r="F183" s="113"/>
      <c r="G183" s="113"/>
      <c r="H183" s="113"/>
    </row>
    <row r="184" spans="1:8" x14ac:dyDescent="0.25">
      <c r="A184" s="113"/>
      <c r="B184" s="113"/>
      <c r="C184" s="113"/>
      <c r="D184" s="113"/>
      <c r="E184" s="113"/>
      <c r="F184" s="113"/>
      <c r="G184" s="113"/>
      <c r="H184" s="113"/>
    </row>
    <row r="185" spans="1:8" x14ac:dyDescent="0.25">
      <c r="A185" s="113"/>
      <c r="B185" s="113"/>
      <c r="C185" s="113"/>
      <c r="D185" s="113"/>
      <c r="E185" s="113"/>
      <c r="F185" s="113"/>
      <c r="G185" s="113"/>
      <c r="H185" s="113"/>
    </row>
    <row r="186" spans="1:8" x14ac:dyDescent="0.25">
      <c r="A186" s="113"/>
      <c r="B186" s="113"/>
      <c r="C186" s="113"/>
      <c r="D186" s="113"/>
      <c r="E186" s="113"/>
      <c r="F186" s="113"/>
      <c r="G186" s="113"/>
      <c r="H186" s="113"/>
    </row>
    <row r="187" spans="1:8" x14ac:dyDescent="0.25">
      <c r="A187" s="37" t="s">
        <v>68</v>
      </c>
      <c r="B187" s="38"/>
      <c r="C187" s="38"/>
      <c r="D187" s="37" t="str">
        <f>E8</f>
        <v>Sai Shanti</v>
      </c>
      <c r="F187" s="38"/>
      <c r="G187" s="38"/>
      <c r="H187" s="38"/>
    </row>
    <row r="188" spans="1:8" x14ac:dyDescent="0.25">
      <c r="A188" s="38"/>
      <c r="B188" s="38"/>
      <c r="C188" s="38"/>
      <c r="D188" s="38"/>
      <c r="E188" s="38"/>
      <c r="F188" s="38"/>
      <c r="G188" s="38"/>
      <c r="H188" s="38"/>
    </row>
    <row r="189" spans="1:8" x14ac:dyDescent="0.25">
      <c r="A189" s="38"/>
      <c r="B189" s="38"/>
      <c r="C189" s="38"/>
      <c r="D189" s="38"/>
      <c r="E189" s="38"/>
      <c r="F189" s="38"/>
      <c r="G189" s="38"/>
      <c r="H189" s="38"/>
    </row>
    <row r="190" spans="1:8" ht="15" customHeight="1" x14ac:dyDescent="0.25"/>
    <row r="229" spans="1:1" x14ac:dyDescent="0.25">
      <c r="A229" s="40" t="s">
        <v>165</v>
      </c>
    </row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spans="1:1" x14ac:dyDescent="0.25">
      <c r="A273" s="40" t="s">
        <v>69</v>
      </c>
    </row>
  </sheetData>
  <mergeCells count="306">
    <mergeCell ref="B174:H174"/>
    <mergeCell ref="A146:B146"/>
    <mergeCell ref="A147:B147"/>
    <mergeCell ref="A148:B148"/>
    <mergeCell ref="A150:B150"/>
    <mergeCell ref="A161:B161"/>
    <mergeCell ref="A162:B162"/>
    <mergeCell ref="A163:B163"/>
    <mergeCell ref="A164:B164"/>
    <mergeCell ref="A151:B151"/>
    <mergeCell ref="A152:B152"/>
    <mergeCell ref="A153:B153"/>
    <mergeCell ref="A154:B154"/>
    <mergeCell ref="A155:B155"/>
    <mergeCell ref="A156:B156"/>
    <mergeCell ref="A158:B158"/>
    <mergeCell ref="A159:B159"/>
    <mergeCell ref="A160:B160"/>
    <mergeCell ref="B169:H169"/>
    <mergeCell ref="A165:H165"/>
    <mergeCell ref="B173:H173"/>
    <mergeCell ref="B171:H171"/>
    <mergeCell ref="B168:H168"/>
    <mergeCell ref="A38:B38"/>
    <mergeCell ref="C38:H38"/>
    <mergeCell ref="B172:H172"/>
    <mergeCell ref="A47:B47"/>
    <mergeCell ref="C47:H47"/>
    <mergeCell ref="B170:H170"/>
    <mergeCell ref="F96:H96"/>
    <mergeCell ref="A96:E96"/>
    <mergeCell ref="A98:E98"/>
    <mergeCell ref="G142:H148"/>
    <mergeCell ref="A125:H125"/>
    <mergeCell ref="G126:H131"/>
    <mergeCell ref="A132:H132"/>
    <mergeCell ref="G133:H138"/>
    <mergeCell ref="A80:B80"/>
    <mergeCell ref="C80:H80"/>
    <mergeCell ref="A82:B82"/>
    <mergeCell ref="C82:H82"/>
    <mergeCell ref="A60:C60"/>
    <mergeCell ref="D59:H59"/>
    <mergeCell ref="E70:F79"/>
    <mergeCell ref="A83:B83"/>
    <mergeCell ref="E83:F83"/>
    <mergeCell ref="G83:H83"/>
    <mergeCell ref="L118:M118"/>
    <mergeCell ref="A105:E105"/>
    <mergeCell ref="G112:H112"/>
    <mergeCell ref="G111:H111"/>
    <mergeCell ref="A111:B111"/>
    <mergeCell ref="C111:D111"/>
    <mergeCell ref="E111:F111"/>
    <mergeCell ref="A77:B77"/>
    <mergeCell ref="C110:D110"/>
    <mergeCell ref="E110:F110"/>
    <mergeCell ref="G110:H110"/>
    <mergeCell ref="F101:H101"/>
    <mergeCell ref="A95:E95"/>
    <mergeCell ref="F94:H94"/>
    <mergeCell ref="F99:H99"/>
    <mergeCell ref="A100:E100"/>
    <mergeCell ref="F100:H100"/>
    <mergeCell ref="A101:E101"/>
    <mergeCell ref="A103:E103"/>
    <mergeCell ref="F97:H97"/>
    <mergeCell ref="A102:E102"/>
    <mergeCell ref="A97:E97"/>
    <mergeCell ref="A94:E94"/>
    <mergeCell ref="F98:H98"/>
    <mergeCell ref="E44:H44"/>
    <mergeCell ref="E45:H45"/>
    <mergeCell ref="A44:D44"/>
    <mergeCell ref="D58:H58"/>
    <mergeCell ref="A57:C58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A54:C54"/>
    <mergeCell ref="A55:C55"/>
    <mergeCell ref="D55:H55"/>
    <mergeCell ref="G52:H52"/>
    <mergeCell ref="C51:H51"/>
    <mergeCell ref="D60:H60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A37:B37"/>
    <mergeCell ref="C37:H37"/>
    <mergeCell ref="A43:D43"/>
    <mergeCell ref="F35:H35"/>
    <mergeCell ref="A45:D45"/>
    <mergeCell ref="A46:H46"/>
    <mergeCell ref="D56:H56"/>
    <mergeCell ref="A56:C56"/>
    <mergeCell ref="G49:H49"/>
    <mergeCell ref="A50:B51"/>
    <mergeCell ref="E41:H41"/>
    <mergeCell ref="A41:D41"/>
    <mergeCell ref="A42:D42"/>
    <mergeCell ref="E42:H42"/>
    <mergeCell ref="E43:H43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G70:H79"/>
    <mergeCell ref="A78:B78"/>
    <mergeCell ref="A79:B79"/>
    <mergeCell ref="A99:E99"/>
    <mergeCell ref="A112:B112"/>
    <mergeCell ref="E112:F112"/>
    <mergeCell ref="A84:B84"/>
    <mergeCell ref="E84:F93"/>
    <mergeCell ref="G84:H93"/>
    <mergeCell ref="A85:B85"/>
    <mergeCell ref="F104:H104"/>
    <mergeCell ref="C109:D109"/>
    <mergeCell ref="A86:B86"/>
    <mergeCell ref="A87:B87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183:H186"/>
    <mergeCell ref="A182:B182"/>
    <mergeCell ref="E182:F182"/>
    <mergeCell ref="C182:D182"/>
    <mergeCell ref="G182:H182"/>
    <mergeCell ref="A106:E106"/>
    <mergeCell ref="F106:H106"/>
    <mergeCell ref="A107:E107"/>
    <mergeCell ref="F107:H107"/>
    <mergeCell ref="A118:H118"/>
    <mergeCell ref="A110:B110"/>
    <mergeCell ref="A178:H178"/>
    <mergeCell ref="A108:H108"/>
    <mergeCell ref="A181:H181"/>
    <mergeCell ref="A179:H179"/>
    <mergeCell ref="A175:H175"/>
    <mergeCell ref="B166:H166"/>
    <mergeCell ref="B167:H167"/>
    <mergeCell ref="A176:H176"/>
    <mergeCell ref="E109:F109"/>
    <mergeCell ref="G109:H109"/>
    <mergeCell ref="A113:H113"/>
    <mergeCell ref="A88:B88"/>
    <mergeCell ref="A89:B89"/>
    <mergeCell ref="A90:B90"/>
    <mergeCell ref="A91:B91"/>
    <mergeCell ref="A92:B92"/>
    <mergeCell ref="A93:B93"/>
    <mergeCell ref="A115:B115"/>
    <mergeCell ref="A119:B119"/>
    <mergeCell ref="A120:B120"/>
    <mergeCell ref="A116:H116"/>
    <mergeCell ref="A121:B121"/>
    <mergeCell ref="A122:B122"/>
    <mergeCell ref="A138:B138"/>
    <mergeCell ref="A142:B142"/>
    <mergeCell ref="A143:B143"/>
    <mergeCell ref="A144:B144"/>
    <mergeCell ref="A145:B145"/>
    <mergeCell ref="C112:D112"/>
    <mergeCell ref="A117:H117"/>
    <mergeCell ref="A180:H180"/>
    <mergeCell ref="A177:H177"/>
    <mergeCell ref="A109:B109"/>
    <mergeCell ref="G115:H115"/>
    <mergeCell ref="A75:B75"/>
    <mergeCell ref="F95:H95"/>
    <mergeCell ref="A48:B48"/>
    <mergeCell ref="C48:E48"/>
    <mergeCell ref="G48:H48"/>
    <mergeCell ref="G50:H50"/>
    <mergeCell ref="D54:H54"/>
    <mergeCell ref="C50:E50"/>
    <mergeCell ref="D57:H57"/>
    <mergeCell ref="A157:H157"/>
    <mergeCell ref="F102:H102"/>
    <mergeCell ref="F105:H105"/>
    <mergeCell ref="F103:H103"/>
    <mergeCell ref="A114:H114"/>
    <mergeCell ref="A104:E104"/>
    <mergeCell ref="C49:E49"/>
    <mergeCell ref="A52:B52"/>
    <mergeCell ref="C52:E52"/>
    <mergeCell ref="A49:B49"/>
    <mergeCell ref="A53:H53"/>
    <mergeCell ref="L157:M157"/>
    <mergeCell ref="G158:H164"/>
    <mergeCell ref="G119:H124"/>
    <mergeCell ref="A149:H149"/>
    <mergeCell ref="L149:M149"/>
    <mergeCell ref="G150:H156"/>
    <mergeCell ref="A139:H139"/>
    <mergeCell ref="A140:H140"/>
    <mergeCell ref="A141:H141"/>
    <mergeCell ref="L141:M141"/>
    <mergeCell ref="L132:M132"/>
    <mergeCell ref="A123:B123"/>
    <mergeCell ref="A124:B124"/>
    <mergeCell ref="A126:B126"/>
    <mergeCell ref="A127:B127"/>
    <mergeCell ref="A128:B128"/>
    <mergeCell ref="A129:B129"/>
    <mergeCell ref="A130:B130"/>
    <mergeCell ref="A131:B131"/>
    <mergeCell ref="A133:B133"/>
    <mergeCell ref="A134:B134"/>
    <mergeCell ref="A135:B135"/>
    <mergeCell ref="A136:B136"/>
    <mergeCell ref="A137:B137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86" max="16383" man="1"/>
    <brk id="228" max="16383" man="1"/>
    <brk id="27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7" zoomScale="85" zoomScaleNormal="85" workbookViewId="0">
      <selection activeCell="B17" sqref="B17"/>
    </sheetView>
  </sheetViews>
  <sheetFormatPr defaultColWidth="8.85546875" defaultRowHeight="15" x14ac:dyDescent="0.25"/>
  <cols>
    <col min="1" max="1" width="8.855468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855468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6" t="s">
        <v>110</v>
      </c>
      <c r="C3" s="186"/>
      <c r="D3" s="186"/>
      <c r="E3" s="186"/>
      <c r="F3" s="186"/>
      <c r="G3" s="186"/>
      <c r="H3" s="186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2025-07-10T06:17:51Z</cp:lastPrinted>
  <dcterms:created xsi:type="dcterms:W3CDTF">2019-07-16T09:29:46Z</dcterms:created>
  <dcterms:modified xsi:type="dcterms:W3CDTF">2025-07-10T06:18:01Z</dcterms:modified>
</cp:coreProperties>
</file>