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807"/>
  </bookViews>
  <sheets>
    <sheet name="Sheet1 (2)" sheetId="16" r:id="rId1"/>
    <sheet name="Sheet1" sheetId="1" r:id="rId2"/>
    <sheet name="Construction %" sheetId="14" r:id="rId3"/>
    <sheet name="Construction % (2)" sheetId="15" r:id="rId4"/>
    <sheet name="Wing A" sheetId="11" r:id="rId5"/>
    <sheet name="Wing B" sheetId="12" r:id="rId6"/>
    <sheet name="Wing C" sheetId="13" r:id="rId7"/>
  </sheets>
  <definedNames>
    <definedName name="_xlnm.Print_Area" localSheetId="0">'Sheet1 (2)'!$A$1:$J$526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1" i="16" l="1"/>
  <c r="C107" i="16" l="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N35" i="13" s="1"/>
  <c r="M35" i="13" s="1"/>
  <c r="K12" i="13"/>
  <c r="G12" i="13"/>
  <c r="N11" i="13"/>
  <c r="K11" i="13"/>
  <c r="G11" i="13"/>
  <c r="N10" i="13"/>
  <c r="K10" i="13"/>
  <c r="G10" i="13"/>
  <c r="G35" i="13" s="1"/>
  <c r="F35" i="13" s="1"/>
  <c r="N9" i="13"/>
  <c r="K9" i="13"/>
  <c r="G9" i="13"/>
  <c r="N8" i="13"/>
  <c r="K8" i="13"/>
  <c r="G8" i="13"/>
  <c r="N7" i="13"/>
  <c r="K7" i="13"/>
  <c r="K35" i="13" s="1"/>
  <c r="J35" i="13" s="1"/>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J35" i="12" s="1"/>
  <c r="I35" i="12" s="1"/>
  <c r="F9" i="12"/>
  <c r="M8" i="12"/>
  <c r="J8" i="12"/>
  <c r="F8" i="12"/>
  <c r="F35" i="12" s="1"/>
  <c r="E35" i="12" s="1"/>
  <c r="M7" i="12"/>
  <c r="M35" i="12" s="1"/>
  <c r="L35" i="12" s="1"/>
  <c r="J7" i="12"/>
  <c r="F7" i="12"/>
  <c r="G40" i="11"/>
  <c r="C39" i="11" s="1"/>
  <c r="H39" i="11"/>
  <c r="B40" i="11" s="1"/>
  <c r="G39" i="11"/>
  <c r="B39" i="11"/>
  <c r="C36" i="11"/>
  <c r="B10" i="11"/>
  <c r="D7" i="11"/>
  <c r="B7" i="11"/>
  <c r="H40" i="11" s="1"/>
  <c r="C40" i="11" s="1"/>
  <c r="D6" i="11"/>
  <c r="H17" i="15"/>
  <c r="G17" i="15"/>
  <c r="B16" i="15"/>
  <c r="E10" i="15" s="1"/>
  <c r="F71" i="1" s="1"/>
  <c r="B14" i="15"/>
  <c r="N7" i="15" s="1"/>
  <c r="H18" i="15" s="1"/>
  <c r="B12" i="15"/>
  <c r="B10" i="15"/>
  <c r="E7" i="15" s="1"/>
  <c r="F68" i="1" s="1"/>
  <c r="E8" i="15"/>
  <c r="B8" i="15"/>
  <c r="O7" i="15"/>
  <c r="H19" i="15" s="1"/>
  <c r="M7" i="15"/>
  <c r="K7" i="15"/>
  <c r="H15" i="15" s="1"/>
  <c r="O6" i="15"/>
  <c r="G19" i="15" s="1"/>
  <c r="M6" i="15"/>
  <c r="K6" i="15"/>
  <c r="G15" i="15" s="1"/>
  <c r="I6" i="15"/>
  <c r="I7" i="15" s="1"/>
  <c r="H13" i="15" s="1"/>
  <c r="E6" i="15"/>
  <c r="F67" i="1" s="1"/>
  <c r="B6" i="15"/>
  <c r="E4" i="15"/>
  <c r="G18" i="14"/>
  <c r="B16" i="14"/>
  <c r="E10" i="14" s="1"/>
  <c r="F61" i="1" s="1"/>
  <c r="B14" i="14"/>
  <c r="G13" i="14"/>
  <c r="B12" i="14"/>
  <c r="E8" i="14" s="1"/>
  <c r="F59" i="1" s="1"/>
  <c r="B10" i="14"/>
  <c r="L7" i="14" s="1"/>
  <c r="H16" i="14" s="1"/>
  <c r="E9" i="14"/>
  <c r="F60" i="1" s="1"/>
  <c r="B8" i="14"/>
  <c r="N7" i="14"/>
  <c r="H18" i="14" s="1"/>
  <c r="M7" i="14"/>
  <c r="H17" i="14" s="1"/>
  <c r="K7" i="14"/>
  <c r="H15" i="14" s="1"/>
  <c r="J7" i="14"/>
  <c r="H14" i="14" s="1"/>
  <c r="N6" i="14"/>
  <c r="M6" i="14"/>
  <c r="G17" i="14" s="1"/>
  <c r="K6" i="14"/>
  <c r="G15" i="14" s="1"/>
  <c r="J6" i="14"/>
  <c r="G14" i="14" s="1"/>
  <c r="I6" i="14"/>
  <c r="I7" i="14" s="1"/>
  <c r="H13" i="14" s="1"/>
  <c r="E6" i="14"/>
  <c r="B6" i="14"/>
  <c r="E5" i="14"/>
  <c r="E4" i="14"/>
  <c r="F55" i="1" s="1"/>
  <c r="E215" i="1"/>
  <c r="G165" i="1"/>
  <c r="E165" i="1"/>
  <c r="D165" i="1"/>
  <c r="E164" i="1"/>
  <c r="D164" i="1"/>
  <c r="G164" i="1" s="1"/>
  <c r="E163" i="1"/>
  <c r="D163" i="1"/>
  <c r="G163" i="1" s="1"/>
  <c r="G162" i="1"/>
  <c r="E162" i="1"/>
  <c r="D162" i="1"/>
  <c r="E161" i="1"/>
  <c r="D161" i="1"/>
  <c r="G161" i="1" s="1"/>
  <c r="E157" i="1"/>
  <c r="D157" i="1"/>
  <c r="G157" i="1" s="1"/>
  <c r="G156" i="1"/>
  <c r="E156" i="1"/>
  <c r="D156" i="1"/>
  <c r="G155" i="1"/>
  <c r="E155" i="1"/>
  <c r="D155" i="1"/>
  <c r="G154" i="1"/>
  <c r="E154" i="1"/>
  <c r="D154" i="1"/>
  <c r="E153" i="1"/>
  <c r="D153" i="1"/>
  <c r="G153" i="1" s="1"/>
  <c r="E152" i="1"/>
  <c r="D152" i="1"/>
  <c r="G152" i="1" s="1"/>
  <c r="G151" i="1"/>
  <c r="D151" i="1"/>
  <c r="E144" i="1"/>
  <c r="D144" i="1"/>
  <c r="G144" i="1" s="1"/>
  <c r="E142" i="1"/>
  <c r="D142" i="1"/>
  <c r="G142" i="1" s="1"/>
  <c r="G141" i="1"/>
  <c r="D141" i="1"/>
  <c r="E138" i="1"/>
  <c r="D138" i="1"/>
  <c r="G138" i="1" s="1"/>
  <c r="E136" i="1"/>
  <c r="D136" i="1"/>
  <c r="G136" i="1" s="1"/>
  <c r="G135" i="1"/>
  <c r="D135" i="1"/>
  <c r="E133" i="1"/>
  <c r="D133" i="1"/>
  <c r="G133" i="1" s="1"/>
  <c r="E131" i="1"/>
  <c r="D131" i="1"/>
  <c r="G131" i="1" s="1"/>
  <c r="G130" i="1"/>
  <c r="D130" i="1"/>
  <c r="E128" i="1"/>
  <c r="D128" i="1"/>
  <c r="G128" i="1" s="1"/>
  <c r="E127" i="1"/>
  <c r="D127" i="1"/>
  <c r="G127" i="1" s="1"/>
  <c r="G126" i="1"/>
  <c r="E126" i="1"/>
  <c r="D126" i="1"/>
  <c r="D125" i="1"/>
  <c r="G125" i="1" s="1"/>
  <c r="G117" i="1"/>
  <c r="D117" i="1"/>
  <c r="D116" i="1"/>
  <c r="G116" i="1" s="1"/>
  <c r="D115" i="1"/>
  <c r="G115" i="1" s="1"/>
  <c r="D111" i="1"/>
  <c r="G111" i="1" s="1"/>
  <c r="G110" i="1"/>
  <c r="D110" i="1"/>
  <c r="D109" i="1"/>
  <c r="G109" i="1" s="1"/>
  <c r="D106" i="1"/>
  <c r="G106" i="1" s="1"/>
  <c r="D105" i="1"/>
  <c r="G105" i="1" s="1"/>
  <c r="G104" i="1"/>
  <c r="D104" i="1"/>
  <c r="D101" i="1"/>
  <c r="G101" i="1" s="1"/>
  <c r="D100" i="1"/>
  <c r="G100" i="1" s="1"/>
  <c r="D99" i="1"/>
  <c r="G99" i="1" s="1"/>
  <c r="G98" i="1"/>
  <c r="D98" i="1"/>
  <c r="G87" i="1"/>
  <c r="F69" i="1"/>
  <c r="F65" i="1"/>
  <c r="F57" i="1"/>
  <c r="F56" i="1"/>
  <c r="D48" i="1"/>
  <c r="D46" i="1"/>
  <c r="H43" i="1"/>
  <c r="C43" i="1"/>
  <c r="F40" i="1"/>
  <c r="F37" i="1"/>
  <c r="F7" i="1"/>
  <c r="E431" i="16"/>
  <c r="D418" i="16"/>
  <c r="G418" i="16" s="1"/>
  <c r="G417" i="16"/>
  <c r="D417" i="16"/>
  <c r="D416" i="16"/>
  <c r="G416" i="16" s="1"/>
  <c r="G415" i="16"/>
  <c r="D415" i="16"/>
  <c r="D414" i="16"/>
  <c r="G414" i="16" s="1"/>
  <c r="I412" i="16"/>
  <c r="G412" i="16"/>
  <c r="D412" i="16"/>
  <c r="D410" i="16"/>
  <c r="G410" i="16" s="1"/>
  <c r="D409" i="16"/>
  <c r="G409" i="16" s="1"/>
  <c r="D408" i="16"/>
  <c r="G408" i="16" s="1"/>
  <c r="D407" i="16"/>
  <c r="G407" i="16" s="1"/>
  <c r="D406" i="16"/>
  <c r="G406" i="16" s="1"/>
  <c r="I404" i="16"/>
  <c r="D404" i="16"/>
  <c r="G404" i="16" s="1"/>
  <c r="D402" i="16"/>
  <c r="G402" i="16" s="1"/>
  <c r="D401" i="16"/>
  <c r="G401" i="16" s="1"/>
  <c r="D400" i="16"/>
  <c r="G400" i="16" s="1"/>
  <c r="D399" i="16"/>
  <c r="G399" i="16" s="1"/>
  <c r="G398" i="16"/>
  <c r="D398" i="16"/>
  <c r="I396" i="16"/>
  <c r="D394" i="16"/>
  <c r="G394" i="16" s="1"/>
  <c r="D393" i="16"/>
  <c r="G393" i="16" s="1"/>
  <c r="D392" i="16"/>
  <c r="G392" i="16" s="1"/>
  <c r="D391" i="16"/>
  <c r="G391" i="16" s="1"/>
  <c r="D390" i="16"/>
  <c r="G390" i="16" s="1"/>
  <c r="D389" i="16"/>
  <c r="G389" i="16" s="1"/>
  <c r="I388" i="16"/>
  <c r="G388" i="16"/>
  <c r="D388" i="16"/>
  <c r="D386" i="16"/>
  <c r="G386" i="16" s="1"/>
  <c r="D385" i="16"/>
  <c r="G385" i="16" s="1"/>
  <c r="D384" i="16"/>
  <c r="G384" i="16" s="1"/>
  <c r="D383" i="16"/>
  <c r="G383" i="16" s="1"/>
  <c r="D382" i="16"/>
  <c r="G382" i="16" s="1"/>
  <c r="I380" i="16"/>
  <c r="D378" i="16"/>
  <c r="G378" i="16" s="1"/>
  <c r="D377" i="16"/>
  <c r="G377" i="16" s="1"/>
  <c r="G376" i="16"/>
  <c r="D376" i="16"/>
  <c r="D375" i="16"/>
  <c r="G375" i="16" s="1"/>
  <c r="D374" i="16"/>
  <c r="G374" i="16" s="1"/>
  <c r="D373" i="16"/>
  <c r="G373" i="16" s="1"/>
  <c r="I372" i="16"/>
  <c r="D372" i="16"/>
  <c r="G372" i="16" s="1"/>
  <c r="D370" i="16"/>
  <c r="G370" i="16" s="1"/>
  <c r="D369" i="16"/>
  <c r="G369" i="16" s="1"/>
  <c r="D368" i="16"/>
  <c r="G368" i="16" s="1"/>
  <c r="D367" i="16"/>
  <c r="G367" i="16" s="1"/>
  <c r="G366" i="16"/>
  <c r="D366" i="16"/>
  <c r="I364" i="16"/>
  <c r="D362" i="16"/>
  <c r="G362" i="16" s="1"/>
  <c r="G361" i="16"/>
  <c r="D361" i="16"/>
  <c r="D360" i="16"/>
  <c r="G360" i="16" s="1"/>
  <c r="D359" i="16"/>
  <c r="G359" i="16" s="1"/>
  <c r="D358" i="16"/>
  <c r="G358" i="16" s="1"/>
  <c r="D357" i="16"/>
  <c r="G357" i="16" s="1"/>
  <c r="I356" i="16"/>
  <c r="G356" i="16"/>
  <c r="D356" i="16"/>
  <c r="D354" i="16"/>
  <c r="G354" i="16" s="1"/>
  <c r="G353" i="16"/>
  <c r="D353" i="16"/>
  <c r="D352" i="16"/>
  <c r="G352" i="16" s="1"/>
  <c r="D351" i="16"/>
  <c r="G351" i="16" s="1"/>
  <c r="D350" i="16"/>
  <c r="G350" i="16" s="1"/>
  <c r="I348" i="16"/>
  <c r="D346" i="16"/>
  <c r="G346" i="16" s="1"/>
  <c r="D345" i="16"/>
  <c r="G345" i="16" s="1"/>
  <c r="D344" i="16"/>
  <c r="G344" i="16" s="1"/>
  <c r="L343" i="16"/>
  <c r="G343" i="16"/>
  <c r="D343" i="16"/>
  <c r="D342" i="16"/>
  <c r="G342" i="16" s="1"/>
  <c r="D341" i="16"/>
  <c r="G341" i="16" s="1"/>
  <c r="I340" i="16"/>
  <c r="D340" i="16"/>
  <c r="D332" i="16"/>
  <c r="G332" i="16" s="1"/>
  <c r="L331" i="16"/>
  <c r="D331" i="16"/>
  <c r="G331" i="16" s="1"/>
  <c r="D330" i="16"/>
  <c r="G330" i="16" s="1"/>
  <c r="I329" i="16"/>
  <c r="D329" i="16"/>
  <c r="G329" i="16" s="1"/>
  <c r="D327" i="16"/>
  <c r="G327" i="16" s="1"/>
  <c r="D325" i="16"/>
  <c r="G325" i="16" s="1"/>
  <c r="I324" i="16"/>
  <c r="D324" i="16"/>
  <c r="G324" i="16" s="1"/>
  <c r="D322" i="16"/>
  <c r="G322" i="16" s="1"/>
  <c r="G320" i="16"/>
  <c r="D320" i="16"/>
  <c r="I319" i="16"/>
  <c r="D319" i="16"/>
  <c r="G319" i="16" s="1"/>
  <c r="G317" i="16"/>
  <c r="D317" i="16"/>
  <c r="D315" i="16"/>
  <c r="G315" i="16" s="1"/>
  <c r="I314" i="16"/>
  <c r="D314" i="16"/>
  <c r="G314" i="16" s="1"/>
  <c r="D311" i="16"/>
  <c r="G311" i="16" s="1"/>
  <c r="D310" i="16"/>
  <c r="G310" i="16" s="1"/>
  <c r="L309" i="16"/>
  <c r="D309" i="16"/>
  <c r="G309" i="16" s="1"/>
  <c r="I308" i="16"/>
  <c r="G308" i="16"/>
  <c r="D308" i="16"/>
  <c r="D306" i="16"/>
  <c r="G306" i="16" s="1"/>
  <c r="G304" i="16"/>
  <c r="D304" i="16"/>
  <c r="I303" i="16"/>
  <c r="D303" i="16"/>
  <c r="G303" i="16" s="1"/>
  <c r="G301" i="16"/>
  <c r="D301" i="16"/>
  <c r="D299" i="16"/>
  <c r="G299" i="16" s="1"/>
  <c r="I298" i="16"/>
  <c r="D298" i="16"/>
  <c r="G298" i="16" s="1"/>
  <c r="G295" i="16"/>
  <c r="D295" i="16"/>
  <c r="D294" i="16"/>
  <c r="G294" i="16" s="1"/>
  <c r="L293" i="16"/>
  <c r="D293" i="16"/>
  <c r="G293" i="16" s="1"/>
  <c r="I292" i="16"/>
  <c r="D292" i="16"/>
  <c r="G292" i="16" s="1"/>
  <c r="D290" i="16"/>
  <c r="G290" i="16" s="1"/>
  <c r="D288" i="16"/>
  <c r="G288" i="16" s="1"/>
  <c r="I287" i="16"/>
  <c r="D287" i="16"/>
  <c r="G287" i="16" s="1"/>
  <c r="D285" i="16"/>
  <c r="G285" i="16" s="1"/>
  <c r="D283" i="16"/>
  <c r="G283" i="16" s="1"/>
  <c r="I282" i="16"/>
  <c r="D282" i="16"/>
  <c r="G282" i="16" s="1"/>
  <c r="D280" i="16"/>
  <c r="G280" i="16" s="1"/>
  <c r="L279" i="16"/>
  <c r="D279" i="16"/>
  <c r="G279" i="16" s="1"/>
  <c r="D278" i="16"/>
  <c r="G278" i="16" s="1"/>
  <c r="I277" i="16"/>
  <c r="G277" i="16"/>
  <c r="D277" i="16"/>
  <c r="D275" i="16"/>
  <c r="G275" i="16" s="1"/>
  <c r="G273" i="16"/>
  <c r="D273" i="16"/>
  <c r="I272" i="16"/>
  <c r="D272" i="16"/>
  <c r="G272" i="16" s="1"/>
  <c r="G270" i="16"/>
  <c r="D270" i="16"/>
  <c r="D268" i="16"/>
  <c r="G268" i="16" s="1"/>
  <c r="I267" i="16"/>
  <c r="D267" i="16"/>
  <c r="G267" i="16" s="1"/>
  <c r="G264" i="16"/>
  <c r="D264" i="16"/>
  <c r="D263" i="16"/>
  <c r="G263" i="16" s="1"/>
  <c r="G262" i="16"/>
  <c r="D262" i="16"/>
  <c r="I261" i="16"/>
  <c r="D261" i="16"/>
  <c r="G261" i="16" s="1"/>
  <c r="G259" i="16"/>
  <c r="D259" i="16"/>
  <c r="D258" i="16"/>
  <c r="G258" i="16" s="1"/>
  <c r="D257" i="16"/>
  <c r="G257" i="16" s="1"/>
  <c r="I256" i="16"/>
  <c r="G256" i="16"/>
  <c r="D256" i="16"/>
  <c r="D254" i="16"/>
  <c r="G254" i="16" s="1"/>
  <c r="G252" i="16"/>
  <c r="D252" i="16"/>
  <c r="I251" i="16"/>
  <c r="D251" i="16"/>
  <c r="G251" i="16" s="1"/>
  <c r="G249" i="16"/>
  <c r="D249" i="16"/>
  <c r="D247" i="16"/>
  <c r="G247" i="16" s="1"/>
  <c r="I246" i="16"/>
  <c r="D246" i="16"/>
  <c r="G237" i="16"/>
  <c r="D237" i="16"/>
  <c r="D236" i="16"/>
  <c r="G236" i="16" s="1"/>
  <c r="I234" i="16"/>
  <c r="D234" i="16"/>
  <c r="G234" i="16" s="1"/>
  <c r="D232" i="16"/>
  <c r="G232" i="16" s="1"/>
  <c r="D231" i="16"/>
  <c r="G231" i="16" s="1"/>
  <c r="D230" i="16"/>
  <c r="G230" i="16" s="1"/>
  <c r="I229" i="16"/>
  <c r="D229" i="16"/>
  <c r="G229" i="16" s="1"/>
  <c r="G227" i="16"/>
  <c r="D227" i="16"/>
  <c r="D226" i="16"/>
  <c r="G226" i="16" s="1"/>
  <c r="D225" i="16"/>
  <c r="G225" i="16" s="1"/>
  <c r="I224" i="16"/>
  <c r="D224" i="16"/>
  <c r="G224" i="16" s="1"/>
  <c r="D222" i="16"/>
  <c r="G222" i="16" s="1"/>
  <c r="D221" i="16"/>
  <c r="G221" i="16" s="1"/>
  <c r="D220" i="16"/>
  <c r="G220" i="16" s="1"/>
  <c r="I219" i="16"/>
  <c r="G217" i="16"/>
  <c r="D217" i="16"/>
  <c r="D216" i="16"/>
  <c r="G216" i="16" s="1"/>
  <c r="D215" i="16"/>
  <c r="G215" i="16" s="1"/>
  <c r="I214" i="16"/>
  <c r="D211" i="16"/>
  <c r="G211" i="16" s="1"/>
  <c r="D210" i="16"/>
  <c r="G210" i="16" s="1"/>
  <c r="L209" i="16"/>
  <c r="D209" i="16"/>
  <c r="G209" i="16" s="1"/>
  <c r="I208" i="16"/>
  <c r="D208" i="16"/>
  <c r="G208" i="16" s="1"/>
  <c r="G206" i="16"/>
  <c r="D206" i="16"/>
  <c r="D205" i="16"/>
  <c r="G205" i="16" s="1"/>
  <c r="D204" i="16"/>
  <c r="G204" i="16" s="1"/>
  <c r="I203" i="16"/>
  <c r="D201" i="16"/>
  <c r="G201" i="16" s="1"/>
  <c r="D200" i="16"/>
  <c r="G200" i="16" s="1"/>
  <c r="G199" i="16"/>
  <c r="D199" i="16"/>
  <c r="I198" i="16"/>
  <c r="D196" i="16"/>
  <c r="G196" i="16" s="1"/>
  <c r="G195" i="16"/>
  <c r="D195" i="16"/>
  <c r="D194" i="16"/>
  <c r="G194" i="16" s="1"/>
  <c r="I193" i="16"/>
  <c r="D190" i="16"/>
  <c r="G190" i="16" s="1"/>
  <c r="D189" i="16"/>
  <c r="G189" i="16" s="1"/>
  <c r="L188" i="16"/>
  <c r="D188" i="16"/>
  <c r="G188" i="16" s="1"/>
  <c r="I187" i="16"/>
  <c r="D187" i="16"/>
  <c r="G187" i="16" s="1"/>
  <c r="G185" i="16"/>
  <c r="D185" i="16"/>
  <c r="D184" i="16"/>
  <c r="G184" i="16" s="1"/>
  <c r="G183" i="16"/>
  <c r="D183" i="16"/>
  <c r="I182" i="16"/>
  <c r="D180" i="16"/>
  <c r="G180" i="16" s="1"/>
  <c r="G179" i="16"/>
  <c r="D179" i="16"/>
  <c r="D178" i="16"/>
  <c r="G178" i="16" s="1"/>
  <c r="I177" i="16"/>
  <c r="D175" i="16"/>
  <c r="G175" i="16" s="1"/>
  <c r="G174" i="16"/>
  <c r="D174" i="16"/>
  <c r="D173" i="16"/>
  <c r="G173" i="16" s="1"/>
  <c r="I172" i="16"/>
  <c r="D172" i="16"/>
  <c r="G172" i="16" s="1"/>
  <c r="D170" i="16"/>
  <c r="G170" i="16" s="1"/>
  <c r="D169" i="16"/>
  <c r="G169" i="16" s="1"/>
  <c r="D168" i="16"/>
  <c r="G168" i="16" s="1"/>
  <c r="I167" i="16"/>
  <c r="D165" i="16"/>
  <c r="G165" i="16" s="1"/>
  <c r="G164" i="16"/>
  <c r="D164" i="16"/>
  <c r="D163" i="16"/>
  <c r="G163" i="16" s="1"/>
  <c r="I162" i="16"/>
  <c r="D159" i="16"/>
  <c r="G159" i="16" s="1"/>
  <c r="D158" i="16"/>
  <c r="G158" i="16" s="1"/>
  <c r="D157" i="16"/>
  <c r="G157" i="16" s="1"/>
  <c r="I156" i="16"/>
  <c r="G156" i="16"/>
  <c r="D156" i="16"/>
  <c r="D154" i="16"/>
  <c r="G154" i="16" s="1"/>
  <c r="G153" i="16"/>
  <c r="D153" i="16"/>
  <c r="D152" i="16"/>
  <c r="G152" i="16" s="1"/>
  <c r="I151" i="16"/>
  <c r="D151" i="16"/>
  <c r="G151" i="16" s="1"/>
  <c r="D149" i="16"/>
  <c r="G149" i="16" s="1"/>
  <c r="D148" i="16"/>
  <c r="G148" i="16" s="1"/>
  <c r="D147" i="16"/>
  <c r="I146" i="16"/>
  <c r="D144" i="16"/>
  <c r="G144" i="16" s="1"/>
  <c r="D143" i="16"/>
  <c r="G143" i="16" s="1"/>
  <c r="D142" i="16"/>
  <c r="G142" i="16" s="1"/>
  <c r="I141" i="16"/>
  <c r="G124" i="16"/>
  <c r="L112" i="16"/>
  <c r="L111" i="16"/>
  <c r="L110" i="16"/>
  <c r="L98" i="16"/>
  <c r="L97" i="16"/>
  <c r="L96" i="16"/>
  <c r="D85" i="16"/>
  <c r="K72" i="16" s="1"/>
  <c r="L84" i="16"/>
  <c r="D84" i="16"/>
  <c r="L83" i="16"/>
  <c r="D83" i="16"/>
  <c r="L82" i="16"/>
  <c r="D82" i="16"/>
  <c r="D81" i="16"/>
  <c r="D80" i="16"/>
  <c r="D79" i="16"/>
  <c r="L78" i="16"/>
  <c r="L79" i="16" s="1"/>
  <c r="D78" i="16"/>
  <c r="L77" i="16"/>
  <c r="L76" i="16"/>
  <c r="D76" i="16"/>
  <c r="L75" i="16"/>
  <c r="L72" i="16"/>
  <c r="L74" i="16" s="1"/>
  <c r="D61" i="16"/>
  <c r="H45" i="16"/>
  <c r="C45" i="16"/>
  <c r="F42" i="16"/>
  <c r="F39" i="16"/>
  <c r="F7" i="16"/>
  <c r="F3" i="16"/>
  <c r="I87" i="16"/>
  <c r="I101" i="16"/>
  <c r="D10" i="11" l="1"/>
  <c r="K40" i="11"/>
  <c r="C43" i="11" s="1"/>
  <c r="K39" i="11"/>
  <c r="B43" i="11" s="1"/>
  <c r="E5" i="15"/>
  <c r="F66" i="1" s="1"/>
  <c r="J7" i="15"/>
  <c r="H14" i="15" s="1"/>
  <c r="J6" i="15"/>
  <c r="G14" i="15" s="1"/>
  <c r="B11" i="11"/>
  <c r="B12" i="11"/>
  <c r="B8" i="11"/>
  <c r="B9" i="11"/>
  <c r="C129" i="16"/>
  <c r="L80" i="16"/>
  <c r="L81" i="16" s="1"/>
  <c r="L85" i="16"/>
  <c r="C77" i="16" s="1"/>
  <c r="G147" i="16"/>
  <c r="G127" i="16" s="1"/>
  <c r="C127" i="16"/>
  <c r="C130" i="16" s="1"/>
  <c r="C128" i="16"/>
  <c r="D128" i="16"/>
  <c r="D129" i="16"/>
  <c r="E9" i="15"/>
  <c r="F70" i="1" s="1"/>
  <c r="D127" i="16"/>
  <c r="G340" i="16"/>
  <c r="G129" i="16" s="1"/>
  <c r="O6" i="14"/>
  <c r="G19" i="14" s="1"/>
  <c r="O7" i="14"/>
  <c r="H19" i="14" s="1"/>
  <c r="H20" i="14" s="1"/>
  <c r="I62" i="1" s="1"/>
  <c r="L6" i="15"/>
  <c r="G16" i="15" s="1"/>
  <c r="L7" i="15"/>
  <c r="H16" i="15" s="1"/>
  <c r="H20" i="15" s="1"/>
  <c r="I72" i="1" s="1"/>
  <c r="E7" i="14"/>
  <c r="F58" i="1" s="1"/>
  <c r="G246" i="16"/>
  <c r="G128" i="16" s="1"/>
  <c r="N6" i="15"/>
  <c r="G18" i="15" s="1"/>
  <c r="G13" i="15"/>
  <c r="G20" i="15" s="1"/>
  <c r="D72" i="1" s="1"/>
  <c r="L6" i="14"/>
  <c r="G16" i="14" s="1"/>
  <c r="G20" i="14" s="1"/>
  <c r="D62" i="1" s="1"/>
  <c r="D112" i="16"/>
  <c r="D108" i="16"/>
  <c r="D106" i="16"/>
  <c r="L104" i="16"/>
  <c r="D111" i="16"/>
  <c r="D107" i="16"/>
  <c r="L100" i="16"/>
  <c r="L102" i="16" s="1"/>
  <c r="D110" i="16"/>
  <c r="L106" i="16"/>
  <c r="L107" i="16" s="1"/>
  <c r="D113" i="16"/>
  <c r="D109" i="16"/>
  <c r="L105" i="16"/>
  <c r="L103" i="16"/>
  <c r="C104" i="16"/>
  <c r="D104" i="16" s="1"/>
  <c r="L91" i="16"/>
  <c r="D90" i="16"/>
  <c r="D99" i="16"/>
  <c r="D95" i="16"/>
  <c r="D98" i="16"/>
  <c r="D94" i="16"/>
  <c r="L90" i="16"/>
  <c r="L92" i="16"/>
  <c r="L93" i="16" s="1"/>
  <c r="L94" i="16" s="1"/>
  <c r="L95" i="16" s="1"/>
  <c r="D97" i="16"/>
  <c r="D93" i="16"/>
  <c r="L86" i="16"/>
  <c r="L88" i="16" s="1"/>
  <c r="D96" i="16"/>
  <c r="D92" i="16"/>
  <c r="L89" i="16"/>
  <c r="D130" i="16" l="1"/>
  <c r="G130" i="16"/>
  <c r="L40" i="11"/>
  <c r="C44" i="11" s="1"/>
  <c r="D11" i="11"/>
  <c r="L39" i="11"/>
  <c r="B44" i="11" s="1"/>
  <c r="L73" i="16"/>
  <c r="F76" i="16"/>
  <c r="D77" i="16"/>
  <c r="K73" i="16" s="1"/>
  <c r="K74" i="16" s="1"/>
  <c r="H76" i="16"/>
  <c r="J40" i="11"/>
  <c r="C42" i="11" s="1"/>
  <c r="D9" i="11"/>
  <c r="J39" i="11"/>
  <c r="B42" i="11" s="1"/>
  <c r="I40" i="11"/>
  <c r="C41" i="11" s="1"/>
  <c r="I39" i="11"/>
  <c r="B41" i="11" s="1"/>
  <c r="D8" i="11"/>
  <c r="M40" i="11"/>
  <c r="C45" i="11" s="1"/>
  <c r="M39" i="11"/>
  <c r="B45" i="11" s="1"/>
  <c r="D12" i="11"/>
  <c r="L108" i="16"/>
  <c r="L109" i="16" s="1"/>
  <c r="L99" i="16"/>
  <c r="C91" i="16" s="1"/>
  <c r="B14" i="11" l="1"/>
  <c r="C14" i="11"/>
  <c r="L113" i="16"/>
  <c r="C105" i="16" s="1"/>
  <c r="L101" i="16" s="1"/>
  <c r="L87" i="16"/>
  <c r="F90" i="16"/>
  <c r="H90" i="16"/>
  <c r="D91" i="16"/>
  <c r="K87" i="16" s="1"/>
  <c r="H104" i="16" l="1"/>
  <c r="D105" i="16"/>
  <c r="K101" i="16" s="1"/>
  <c r="K102" i="16" s="1"/>
  <c r="K100" i="16" s="1"/>
  <c r="C102" i="16" s="1"/>
  <c r="F104" i="16"/>
  <c r="K88" i="16"/>
  <c r="K86" i="16" s="1"/>
</calcChain>
</file>

<file path=xl/sharedStrings.xml><?xml version="1.0" encoding="utf-8"?>
<sst xmlns="http://schemas.openxmlformats.org/spreadsheetml/2006/main" count="1308" uniqueCount="395">
  <si>
    <t>Office No. 1031, Wing J, Akshar Business Park, Plot No. 03 Sector 25, Near APMC Market, 
Vashi, Navi Mumbai, Maharashtra 400703 TEL: 022-46090378/79/80                                                                                                                                    E mail : vsjcapf@gmail.com. Web site : www.vsjadon.com</t>
  </si>
  <si>
    <t xml:space="preserve">Valuation Report </t>
  </si>
  <si>
    <t>Date:</t>
  </si>
  <si>
    <t>CPC Name:</t>
  </si>
  <si>
    <t>Axis Kalina.</t>
  </si>
  <si>
    <t>Date Of Property Visit</t>
  </si>
  <si>
    <t>Name of the builder group</t>
  </si>
  <si>
    <t>M/s. Realgem Buildtech Private Limited</t>
  </si>
  <si>
    <t>Name of the builder company</t>
  </si>
  <si>
    <t>Name of the Project</t>
  </si>
  <si>
    <t>Rustomjee Crown</t>
  </si>
  <si>
    <t>As per RERA Project Name</t>
  </si>
  <si>
    <t>Rustomjee Crown - Phase I (A &amp; B Tower)
Rustomjee Crown - Phase II (C Tower)</t>
  </si>
  <si>
    <t>Contect Details ( Name &amp; Contect No.)</t>
  </si>
  <si>
    <t>Name / no of the Building</t>
  </si>
  <si>
    <t>Phase I (A &amp; B Tower) 
Phase II (C Tower)</t>
  </si>
  <si>
    <t>RERA Number</t>
  </si>
  <si>
    <t>Rustomjee Crown ­ Phase I = P51900003268
Rustomjee Crown ­ Phase II = P51900006367</t>
  </si>
  <si>
    <t>Docouments Provided</t>
  </si>
  <si>
    <t>Approved  Plans &amp; CC.</t>
  </si>
  <si>
    <t xml:space="preserve">Project location details       </t>
  </si>
  <si>
    <t>Rustomjee Crown, FP No. 1043 Of T.P.S.IV. Mahim Division, Gokhale Road South, Prabhadevi, Mumbai 400025</t>
  </si>
  <si>
    <t xml:space="preserve">FP No. </t>
  </si>
  <si>
    <t>1043 Of T.P.S.IV. Mahim Division</t>
  </si>
  <si>
    <t>Locality</t>
  </si>
  <si>
    <t>Prabhadevi</t>
  </si>
  <si>
    <t>Road</t>
  </si>
  <si>
    <t>Gokhale Road.</t>
  </si>
  <si>
    <t>District</t>
  </si>
  <si>
    <t>Mumbai</t>
  </si>
  <si>
    <t>City</t>
  </si>
  <si>
    <t>Pin Code</t>
  </si>
  <si>
    <t>Near by Landmark</t>
  </si>
  <si>
    <t>Motilal Oswal Tower</t>
  </si>
  <si>
    <t xml:space="preserve">Distance from city centre: </t>
  </si>
  <si>
    <t>800m from Prabhadevi Railway Station.</t>
  </si>
  <si>
    <t>Accessibility to the Project from the City:
(Proximity to civic amenities like school, hospital, market)</t>
  </si>
  <si>
    <t>all available at  1 to 2 km.</t>
  </si>
  <si>
    <t>Does property have Electricity / Water / Drainage Connection</t>
  </si>
  <si>
    <t>Yes</t>
  </si>
  <si>
    <t>Class of locality</t>
  </si>
  <si>
    <t>Upper Class</t>
  </si>
  <si>
    <t>Nature of land with topographical condtion</t>
  </si>
  <si>
    <t>Plane</t>
  </si>
  <si>
    <t xml:space="preserve">Nature of the locality </t>
  </si>
  <si>
    <t>Developed</t>
  </si>
  <si>
    <t>Quality of infrastructure in vicinity</t>
  </si>
  <si>
    <t>Good</t>
  </si>
  <si>
    <t>Boundaries</t>
  </si>
  <si>
    <t>East</t>
  </si>
  <si>
    <t>West</t>
  </si>
  <si>
    <t>South</t>
  </si>
  <si>
    <t>North</t>
  </si>
  <si>
    <t>As per deed</t>
  </si>
  <si>
    <t>NA</t>
  </si>
  <si>
    <t>At site</t>
  </si>
  <si>
    <t>Gokhale Road South</t>
  </si>
  <si>
    <t>Suryoaday CHSL</t>
  </si>
  <si>
    <t>New Prabhadevi Marg</t>
  </si>
  <si>
    <t>Kashi Niwas</t>
  </si>
  <si>
    <t>Does the boundaries at site match, as mentioned in the Docoumentation: NA</t>
  </si>
  <si>
    <t>Type of Structure : RCC Frame Structure</t>
  </si>
  <si>
    <t xml:space="preserve">Latitude &amp; Longitude </t>
  </si>
  <si>
    <t>19.0104853,72.8305384</t>
  </si>
  <si>
    <t>Location Link</t>
  </si>
  <si>
    <t>https://goo.gl/maps/bdPwPhuzp71Y9FRB8</t>
  </si>
  <si>
    <t>Approval details:</t>
  </si>
  <si>
    <r>
      <rPr>
        <sz val="11"/>
        <color indexed="8"/>
        <rFont val="Times New Roman"/>
        <family val="1"/>
      </rPr>
      <t xml:space="preserve">Approved usage of the Property: </t>
    </r>
    <r>
      <rPr>
        <sz val="11"/>
        <rFont val="Times New Roman"/>
        <family val="1"/>
      </rPr>
      <t xml:space="preserve">Residential </t>
    </r>
    <r>
      <rPr>
        <sz val="11"/>
        <color indexed="8"/>
        <rFont val="Times New Roman"/>
        <family val="1"/>
      </rPr>
      <t xml:space="preserve">(Restrictive Covenants in regard to Land Use, if any)                                                                                                                                                </t>
    </r>
  </si>
  <si>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</si>
  <si>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</si>
  <si>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</si>
  <si>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</si>
  <si>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</si>
  <si>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</si>
  <si>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</si>
  <si>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</si>
  <si>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EB/5070/GS/A</t>
  </si>
  <si>
    <t>Dated</t>
  </si>
  <si>
    <t>31/12/2021.</t>
  </si>
  <si>
    <t xml:space="preserve">Building plan approval No    </t>
  </si>
  <si>
    <t>Commencement  Certificate No.
Valid Up to:</t>
  </si>
  <si>
    <t xml:space="preserve">EB/5070/GS/A/FCC/2/Amend                                                                                                         </t>
  </si>
  <si>
    <t>Dated
Valid Upto date:</t>
  </si>
  <si>
    <t>23/02/2022
17/02/2023</t>
  </si>
  <si>
    <t xml:space="preserve">CC is hereby endorsed for wing A and ‘B’ upto 63rd floor (i.e., top of 2terrace level &amp; OHT) &amp; for wing ‘C’ upto 22nd floors (i.e., Service floor) and further C.C. extend up to top of 49th floor along with staircase, lift lobby core, lift machine room and overhead water tank above 65th floor of wing ‘C’ as per notification U/no. CHE/DP/30567/Gen dtd. 04.01.2017 and last amended approved plan dated 31.12.2021
</t>
  </si>
  <si>
    <t xml:space="preserve">EB/5070/GS/A/FCC/7/Amend
</t>
  </si>
  <si>
    <t>24/09/2024
17/02/2025</t>
  </si>
  <si>
    <t>This C.C. is endorsed as per approved amended plans dated 04.09.2024.</t>
  </si>
  <si>
    <t>O. Certificate No.:
Approved Upto:
Part 1</t>
  </si>
  <si>
    <t xml:space="preserve">EB/5070/GS/A/OCC/1/New
</t>
  </si>
  <si>
    <t>Date of approval: NA</t>
  </si>
  <si>
    <t>08/08/2023.</t>
  </si>
  <si>
    <t>Expiry date: NA</t>
  </si>
  <si>
    <t>Full OCC for PPL comprising of 1st to 3rd Basement (pt.) + Gr.Flr (pt.) + 1st (pt.) &amp; 2nd Podium (pt.) &amp; 
Part OCC for Wing ‘A’ comprising of Stilt + 4th to  to 12th Podium(pt) +13th Service Floor(pt.) + 14th to 62nd flrs &amp; 
Part Occ for Wing‘C’ comprising of 9th Podium (pt.) Service Floor + 10th &amp; 12th Podium (pt.).</t>
  </si>
  <si>
    <t>O. Certificate No.:
Approved Upto:
Part 2</t>
  </si>
  <si>
    <t>25/08/2023.</t>
  </si>
  <si>
    <t>Development work of Residential building comprising of Part Occupation Certificate for 63rd floor (pt.) of Wing ‘A’on plot bearing FP No.1043</t>
  </si>
  <si>
    <t>O. Certificate No.:
Approved Upto:
Part 3</t>
  </si>
  <si>
    <t xml:space="preserve">EB/5070/GS/A/OCC/2/New
</t>
  </si>
  <si>
    <t>12/03/2024.</t>
  </si>
  <si>
    <t>Wing ‘A’ (pt.) and Wing ‘B’ comprising of stilt at Ground floor + 1st to 12th podium floor (pt.) + 13th service floor (pt.) + 14th to 62nd upper floors</t>
  </si>
  <si>
    <t>Building wise Construction details</t>
  </si>
  <si>
    <t>Approved area of the building in Sq.Mt</t>
  </si>
  <si>
    <t>Approved no of units</t>
  </si>
  <si>
    <t>Flats= 719 units</t>
  </si>
  <si>
    <t>Approved no of Floors</t>
  </si>
  <si>
    <t xml:space="preserve">A &amp; B Wings = 3B + Gr + P1 to P10 + P11 + P12 + 13th Service Floor + 14th to 63rd Floor
C Wing = 3B + Gr + P1 to P9 + P10 + P11 + 12th Service Floor + 13th To 65th Floor
</t>
  </si>
  <si>
    <t>Proposed no of Floors</t>
  </si>
  <si>
    <t>Expected Completion</t>
  </si>
  <si>
    <r>
      <rPr>
        <sz val="11"/>
        <color rgb="FF000000"/>
        <rFont val="Times New Roman"/>
        <family val="1"/>
      </rPr>
      <t xml:space="preserve">As per RERA =  </t>
    </r>
    <r>
      <rPr>
        <b/>
        <sz val="11"/>
        <color rgb="FF000000"/>
        <rFont val="Times New Roman"/>
        <family val="1"/>
      </rPr>
      <t>Phase I</t>
    </r>
    <r>
      <rPr>
        <sz val="11"/>
        <color rgb="FF000000"/>
        <rFont val="Times New Roman"/>
        <family val="1"/>
      </rPr>
      <t xml:space="preserve"> = Completed.
                          </t>
    </r>
    <r>
      <rPr>
        <b/>
        <sz val="11"/>
        <color rgb="FF000000"/>
        <rFont val="Times New Roman"/>
        <family val="1"/>
      </rPr>
      <t>Phase II</t>
    </r>
    <r>
      <rPr>
        <sz val="11"/>
        <color rgb="FF000000"/>
        <rFont val="Times New Roman"/>
        <family val="1"/>
      </rPr>
      <t xml:space="preserve"> = 29/12/2025</t>
    </r>
  </si>
  <si>
    <r>
      <rPr>
        <sz val="11"/>
        <color indexed="8"/>
        <rFont val="Times New Roman"/>
        <family val="1"/>
      </rPr>
      <t xml:space="preserve">Proposed Amenities </t>
    </r>
    <r>
      <rPr>
        <sz val="11"/>
        <rFont val="Times New Roman"/>
        <family val="1"/>
      </rPr>
      <t xml:space="preserve">   </t>
    </r>
    <r>
      <rPr>
        <b/>
        <sz val="11"/>
        <rFont val="Times New Roman"/>
        <family val="1"/>
      </rPr>
      <t xml:space="preserve">                                               </t>
    </r>
  </si>
  <si>
    <t>Indoor Games, Kids Play Area,  Gymnasium,  Lagoon Pool,  Multipurpose Court,  Cloud Walk, etc</t>
  </si>
  <si>
    <t xml:space="preserve">Projected life of the structure: </t>
  </si>
  <si>
    <t>60 Years After Completion</t>
  </si>
  <si>
    <t xml:space="preserve">Violations Observed if any : </t>
  </si>
  <si>
    <t xml:space="preserve">Quality of construction: </t>
  </si>
  <si>
    <t>Material laying at Site: :</t>
  </si>
  <si>
    <t>Bricks, Cement &amp; Steel etc.</t>
  </si>
  <si>
    <t xml:space="preserve">Wheather the construction is as per approved Building plan : </t>
  </si>
  <si>
    <t>Under Construction</t>
  </si>
  <si>
    <t>Construction details:</t>
  </si>
  <si>
    <t>Wing A &amp; B = 3B + Gr + P1 to P10 + P11 + P12 + 13th Service Floor + 14th to 63rd Floor</t>
  </si>
  <si>
    <t>Basement</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</si>
  <si>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</si>
  <si>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</si>
  <si>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</si>
  <si>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</si>
  <si>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</si>
  <si>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</si>
  <si>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</si>
  <si>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</si>
  <si>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</si>
  <si>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</si>
  <si>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</si>
  <si>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</si>
  <si>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</si>
  <si>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</si>
  <si>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</si>
  <si>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</si>
  <si>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</si>
  <si>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</si>
  <si>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</si>
  <si>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</si>
  <si>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</si>
  <si>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</si>
  <si>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Facade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</si>
  <si>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</si>
  <si>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</si>
  <si>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</si>
  <si>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</si>
  <si>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</si>
  <si>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</si>
  <si>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</si>
  <si>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</si>
  <si>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</si>
  <si>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</si>
  <si>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B = 3B + Gr + P1 to P10 + P11 + P12 + 13th Service Floor + 14th to 63rd Floor</t>
  </si>
  <si>
    <t>OC received. Finishin work are in process.</t>
  </si>
  <si>
    <t>Wing C = C Wing = 3B + Gr + P1 to P9 + P10 + P11 + 12th Service Floor + 13th To 65th (pt) Floor</t>
  </si>
  <si>
    <t>Recommended Rates of the Property :</t>
  </si>
  <si>
    <t>Recommended rate of the flat Per Sq. Ft. ( on Saleable area)</t>
  </si>
  <si>
    <t xml:space="preserve">28000 to 33000 &amp; 15L Park </t>
  </si>
  <si>
    <t>Smith</t>
  </si>
  <si>
    <t>Igr</t>
  </si>
  <si>
    <t>Floor rise rate  From 15th Floor</t>
  </si>
  <si>
    <t>PLC charges</t>
  </si>
  <si>
    <t>Club Charges</t>
  </si>
  <si>
    <t>Any Other amenities</t>
  </si>
  <si>
    <t>Maintenance Charges</t>
  </si>
  <si>
    <t>Society formation charges</t>
  </si>
  <si>
    <t xml:space="preserve">Recommended rate of Parking </t>
  </si>
  <si>
    <t>Rate 52000 FR = 150rs from 15th Floor Nilesh Case B6003 verbal  24/01/2025</t>
  </si>
  <si>
    <t>Development charges Per Sq. Ft.</t>
  </si>
  <si>
    <t>Distressed valuation of the Property</t>
  </si>
  <si>
    <t>Rate 55000 FR = 200 
MAINTENANCE 17L   SANJAY CASE A5803   On 12/02/2025</t>
  </si>
  <si>
    <t>Residential Area Details :</t>
  </si>
  <si>
    <t>Building &amp; Wing</t>
  </si>
  <si>
    <t>No. of Units</t>
  </si>
  <si>
    <t>Total Carpet Area</t>
  </si>
  <si>
    <t>Total Saleable Area</t>
  </si>
  <si>
    <t>A</t>
  </si>
  <si>
    <t>B</t>
  </si>
  <si>
    <t>C</t>
  </si>
  <si>
    <t>Total</t>
  </si>
  <si>
    <t>Building details Floor Wise</t>
  </si>
  <si>
    <t xml:space="preserve">Details of Flats in Building   </t>
  </si>
  <si>
    <t>Flat No.</t>
  </si>
  <si>
    <t>Description</t>
  </si>
  <si>
    <t>Gross Carpet area</t>
  </si>
  <si>
    <t>Attached Terrace area</t>
  </si>
  <si>
    <t>Saleable area</t>
  </si>
  <si>
    <t>PLC Y/N</t>
  </si>
  <si>
    <t>Floor</t>
  </si>
  <si>
    <t>A Wing</t>
  </si>
  <si>
    <t>1st to 3rd Basement For Parking</t>
  </si>
  <si>
    <t>Ground Floor For Parking</t>
  </si>
  <si>
    <t xml:space="preserve">1st to 10th Podium Floors For Parking </t>
  </si>
  <si>
    <t>11th &amp; 12th Podium Floor</t>
  </si>
  <si>
    <t>13th, 37th(A) &amp; 54th(A) Service Floors</t>
  </si>
  <si>
    <t>14th Floor (Part refuge Area)</t>
  </si>
  <si>
    <t>Refuge Area</t>
  </si>
  <si>
    <t>4 BHK</t>
  </si>
  <si>
    <t>N</t>
  </si>
  <si>
    <t>5 BHK</t>
  </si>
  <si>
    <t>15th Floor</t>
  </si>
  <si>
    <t>Refuge Area Below</t>
  </si>
  <si>
    <t>16th to 19th Floor</t>
  </si>
  <si>
    <t>20th &amp; 23rd Floor</t>
  </si>
  <si>
    <t>20th(A) Fire Check Floor</t>
  </si>
  <si>
    <t>21st Floor (Part refuge Area)</t>
  </si>
  <si>
    <t>22nd Floor</t>
  </si>
  <si>
    <t>24th to 27th Floor</t>
  </si>
  <si>
    <t>28th Floor (Part refuge Area)</t>
  </si>
  <si>
    <t>29th Floor</t>
  </si>
  <si>
    <t>30th to 34th, 37th, 38th to 41st Floor</t>
  </si>
  <si>
    <t>37th(B) Fire Check Floor</t>
  </si>
  <si>
    <t>35th Floor (Part refuge Area)</t>
  </si>
  <si>
    <t>36th &amp; 43rd Floor</t>
  </si>
  <si>
    <t>42nd Floor (Part refuge Area)</t>
  </si>
  <si>
    <t>44th to 48th, 51st to 55th, 58th to 60th Floor</t>
  </si>
  <si>
    <t>54th(B) Fire Check Floor</t>
  </si>
  <si>
    <t>49th &amp; 56th Floor (Part refuge Area)</t>
  </si>
  <si>
    <t>50th &amp; 57th Floor</t>
  </si>
  <si>
    <t>61th Floor</t>
  </si>
  <si>
    <t>62nd Floor</t>
  </si>
  <si>
    <t>4 BHK
Duplex with 63rd floor</t>
  </si>
  <si>
    <t>63rd Floor</t>
  </si>
  <si>
    <t>4 BHK Duplex with 62nd floor</t>
  </si>
  <si>
    <t>B Wing</t>
  </si>
  <si>
    <t>13th, 37th(A) &amp; 54th(A) Service Floors.</t>
  </si>
  <si>
    <t>35th &amp; 42nd Floor (Part refuge Area)</t>
  </si>
  <si>
    <t>49th Floor (Part refuge Area)</t>
  </si>
  <si>
    <t>56th Floor (Part refuge Area)</t>
  </si>
  <si>
    <t>61 to 63th Floor</t>
  </si>
  <si>
    <t>C Wing</t>
  </si>
  <si>
    <t>1st to 3st Basement For Parking</t>
  </si>
  <si>
    <t xml:space="preserve">1st to 9th Podium Floors For Parking </t>
  </si>
  <si>
    <t>10th, 11th Floor for Fitness center</t>
  </si>
  <si>
    <t>12th, 22nd, 41st(A) (Service) Floor</t>
  </si>
  <si>
    <t>14th to 19th, 21st, 23rd to 27th, 29th to 32nd Floor</t>
  </si>
  <si>
    <t>4BHK</t>
  </si>
  <si>
    <t>3BHK</t>
  </si>
  <si>
    <t>13th, 20th, 28th Floor</t>
  </si>
  <si>
    <t>3 BHK</t>
  </si>
  <si>
    <t>33rd &amp; 34th Floor</t>
  </si>
  <si>
    <t>35th Floor</t>
  </si>
  <si>
    <t>36th to 41st &amp; 43rd Floor</t>
  </si>
  <si>
    <t>42nd Floor</t>
  </si>
  <si>
    <t>44th to 48th, 50th to 55th, 57th to 62nd &amp; 64th Floor</t>
  </si>
  <si>
    <t>49th &amp; 56th Floor</t>
  </si>
  <si>
    <t>63rd Floor (Part Refuge Area)</t>
  </si>
  <si>
    <t>65th Floor (Part Terrace Area)</t>
  </si>
  <si>
    <t>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</si>
  <si>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</si>
  <si>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</si>
  <si>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</si>
  <si>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</si>
  <si>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 xml:space="preserve">4)  The saleable area is as per Our Calculation.  </t>
  </si>
  <si>
    <t>5) Legal title of the property is not verified by us.</t>
  </si>
  <si>
    <t>6) Gross carpet area =  Net Carpet area + Fungible area.</t>
  </si>
  <si>
    <t>7) Fungible Area= Enclosed Balcony + Flower Bed + Covered Balcony + Service Slab + Duct + Chajja + Wheather Shed area.</t>
  </si>
  <si>
    <t>Authorized Signatory
                                                                                                                                                                                                                                                                                     Name &amp; Seal of the agency</t>
  </si>
  <si>
    <t xml:space="preserve">PHOTOGRAPHS OF PROPERTY OF CUSTOMER: 
</t>
  </si>
  <si>
    <t>Google Map :</t>
  </si>
  <si>
    <t>1302-ELLORA FIESTA, PLOT NO. 8, SECTOR 11, OPP. JUINAGAR RAILWAY STATION, SANPADA, NAVI MUMBAI 400 706. TEL: 022-27758396/95. FAX :022-27758394.                                                                       E mail : axisbank@vsjadon.com. vsjcvaluer@gmail.com. Web site : www.vsjadon.com</t>
  </si>
  <si>
    <t>14/02/2019.</t>
  </si>
  <si>
    <t>M/s.Realgem Buildtech Private Limited</t>
  </si>
  <si>
    <t>3 Buildings</t>
  </si>
  <si>
    <t>Rustomjee Crown, FP No. 1043 Of T.P.S.IV. Mahim Division, Gokhale Road South, Prabhadevi, Mumbai.</t>
  </si>
  <si>
    <t>Plot No</t>
  </si>
  <si>
    <t>FP No. 1043 Of T.P.S.IV. Mahim Division</t>
  </si>
  <si>
    <t>S No /G. No/ Khasra No./CTS No.</t>
  </si>
  <si>
    <t>About 800m from Prabhadevi Railway Station.</t>
  </si>
  <si>
    <t>Accessibility to the Project from the City:
(Proximity to civic amenities like school, hospital, market, etc.)</t>
  </si>
  <si>
    <t>Latitude</t>
  </si>
  <si>
    <t>Longitude</t>
  </si>
  <si>
    <r>
      <rPr>
        <sz val="11"/>
        <color indexed="8"/>
        <rFont val="Times New Roman"/>
        <family val="1"/>
      </rPr>
      <t xml:space="preserve">Approved usage of the Property: </t>
    </r>
    <r>
      <rPr>
        <sz val="11"/>
        <rFont val="Times New Roman"/>
        <family val="1"/>
      </rPr>
      <t>Residential</t>
    </r>
    <r>
      <rPr>
        <sz val="11"/>
        <color indexed="8"/>
        <rFont val="Times New Roman"/>
        <family val="1"/>
      </rPr>
      <t xml:space="preserve">
(Restrictive Covenants in regard to Land Use, if any)                                                                                                                                                </t>
    </r>
  </si>
  <si>
    <t>10/10/2019.</t>
  </si>
  <si>
    <t>Date of Commencement of Construction</t>
  </si>
  <si>
    <t>EB/5070/GS/A/FCC/2/Amend                                                                                                         Valid Up to:  basement &amp; podium and top of 63th Floor i.e. terrace level and OHT of Wing ‘A’ &amp; ‘B’ and up to top of podium floor level i.e. top of 11TH podium Floor + Staircase, lift lobby CORE up to 15th floor of Wing ‘C’ as per amended approved plan dated 10.10.2019.</t>
  </si>
  <si>
    <t>23/10/2019.</t>
  </si>
  <si>
    <t>Expiry date: 17/02/2020.</t>
  </si>
  <si>
    <t>O. Certificate No.: NA</t>
  </si>
  <si>
    <t xml:space="preserve">Commencement date of construction </t>
  </si>
  <si>
    <t xml:space="preserve">As per RERA = 31/12/2022 </t>
  </si>
  <si>
    <t>Flats = 362 units</t>
  </si>
  <si>
    <t xml:space="preserve">A &amp; B Wings = 3 Basement + ground To 10th Podium + 11th &amp; 12th Floor + 13th Service Floor + 14th TO 63rd (Residential) Floor
C Wing = 3 Basement + Ground To 9th Podium + 10th &amp; 11th Fitness Centre Level + 12th Service Floor + 13th To 42nd (PT) (Residential) Floor
</t>
  </si>
  <si>
    <t>No of floors at site : See Construction details</t>
  </si>
  <si>
    <t>Quality of construction: Good</t>
  </si>
  <si>
    <t>Projected life of the structure: 60 Years After Completion</t>
  </si>
  <si>
    <t>Material laying at Site: :Bricks, Cement &amp; Steel etc.</t>
  </si>
  <si>
    <r>
      <rPr>
        <b/>
        <sz val="11"/>
        <color indexed="8"/>
        <rFont val="Times New Roman"/>
        <family val="1"/>
      </rPr>
      <t xml:space="preserve">Construction details:    </t>
    </r>
    <r>
      <rPr>
        <b/>
        <sz val="11"/>
        <color indexed="8"/>
        <rFont val="Times New Roman"/>
        <family val="1"/>
      </rPr>
      <t xml:space="preserve">                                                              </t>
    </r>
  </si>
  <si>
    <t>Stage of construction Wing A &amp; B : 3 Basement, Plinth, RCC work upto 38th Slab completed. Other work are in progress……………</t>
  </si>
  <si>
    <t>% Complition</t>
  </si>
  <si>
    <t>RCC</t>
  </si>
  <si>
    <t>Brick</t>
  </si>
  <si>
    <t>Plaster</t>
  </si>
  <si>
    <t>Flooring</t>
  </si>
  <si>
    <t>Painting &amp; Wooden Work</t>
  </si>
  <si>
    <t>Finishing</t>
  </si>
  <si>
    <t>% Progress</t>
  </si>
  <si>
    <t xml:space="preserve">% Disbursement </t>
  </si>
  <si>
    <t>Stage of construction Wing C : 3 Basement Completed. Plinth work is in progress……………</t>
  </si>
  <si>
    <t>Wheather the construction is as per approved Building plan : Under Construction</t>
  </si>
  <si>
    <t>Violations Observed if any : NA</t>
  </si>
  <si>
    <r>
      <rPr>
        <b/>
        <sz val="11"/>
        <rFont val="Times New Roman"/>
        <family val="1"/>
      </rP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</si>
  <si>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Floor rise rate  Per Sq. Ft.</t>
  </si>
  <si>
    <t>Valuation as per Government reckoners rates</t>
  </si>
  <si>
    <t xml:space="preserve">1st to 10th Floors Podium For Parking </t>
  </si>
  <si>
    <t>15th to 19th, 23rd to 27th, 30th to 34th, 37th, 40th to 43rd, 46th to 50th, 53rd to 56th, 59th, 62nd to 67th Floors.</t>
  </si>
  <si>
    <t>13th, 21st, 28th, 35th, 44th, &amp; 51st Floors.</t>
  </si>
  <si>
    <t>Refuge Area.</t>
  </si>
  <si>
    <t>14th, 22nd, 29th, 36th, 45th, 52nd &amp; 61st Floors.</t>
  </si>
  <si>
    <t>Refuge Below.</t>
  </si>
  <si>
    <t>20th, 39th &amp; 58th Fire Check Floors.</t>
  </si>
  <si>
    <t>60th Floor.</t>
  </si>
  <si>
    <t>38th &amp; 57th Service Floors.</t>
  </si>
  <si>
    <t>10th, 11th, 12th Floor for Fitness center</t>
  </si>
  <si>
    <t>14th to 18th Floor.</t>
  </si>
  <si>
    <t>14th &amp; 18th Floor.</t>
  </si>
  <si>
    <t>13th Floor.</t>
  </si>
  <si>
    <t xml:space="preserve">Remarks:  
1. Construction work was in process at the time of visit.
2. We considered Saleable area as per our calculation.
3. We considered Carpet area as per Approved Plan.
4. We considered recommended rate as per our valuation.
5. Internally site visit &amp; Details not allow to our engineer. Construction percentage given as contact person told us &amp; as per external photos.
6. C wing located inside compound wall which was not visible from outside so photos of Wing C are not available. </t>
  </si>
  <si>
    <t>A Wing (Tower A)</t>
  </si>
  <si>
    <t>B Wing ( Tower B)</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</si>
  <si>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</si>
  <si>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</si>
  <si>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</si>
  <si>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</si>
  <si>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</si>
  <si>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</si>
  <si>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</si>
  <si>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</si>
  <si>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</si>
  <si>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</si>
  <si>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</si>
  <si>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</si>
  <si>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</si>
  <si>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</si>
  <si>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</si>
  <si>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</si>
  <si>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</si>
  <si>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</si>
  <si>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</si>
  <si>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</si>
  <si>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</si>
  <si>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Upper Floor</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</si>
  <si>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</si>
  <si>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</si>
  <si>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</si>
  <si>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</si>
  <si>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</si>
  <si>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</si>
  <si>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</si>
  <si>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</si>
  <si>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</si>
  <si>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</si>
  <si>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</si>
  <si>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</si>
  <si>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</si>
  <si>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</si>
  <si>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</si>
  <si>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</si>
  <si>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</si>
  <si>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</si>
  <si>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</si>
  <si>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 xml:space="preserve">total floor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</si>
  <si>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</si>
  <si>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</si>
  <si>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</si>
  <si>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</si>
  <si>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</si>
  <si>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</si>
  <si>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</si>
  <si>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</si>
  <si>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</si>
  <si>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</si>
  <si>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</si>
  <si>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</si>
  <si>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</si>
  <si>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</si>
  <si>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</si>
  <si>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</si>
  <si>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</si>
  <si>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</si>
  <si>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</si>
  <si>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</si>
  <si>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</si>
  <si>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</si>
  <si>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O. Certificate No.:
Approved Upto:
Part 4</t>
  </si>
  <si>
    <t>EB/5070/GS/A/OCC/3/New</t>
  </si>
  <si>
    <t>63rd floor of wing B i.e. Full Occupation for Wing ‘B’ for residential user</t>
  </si>
  <si>
    <t>EB/5070/GS/A/FCC/6/Amend</t>
  </si>
  <si>
    <t>06/06/2024
05/06/2025</t>
  </si>
  <si>
    <t>This C.C. is further extended upto top of 65th (pt.) floor of Wing C as per approved amended plan dated 31.12.2021.</t>
  </si>
  <si>
    <t xml:space="preserve">Remarks:  
1. Wing A &amp; B = All work Completed. OC Received.
    Wing C = Construction work is in process at the time of visit. Part OC received upto 12th  Floor. Internal photographs was not allowed.
2. We considered Saleable area as per our calculation.
3. We considered Carpet area as per Approved Plan.
4. We considered recommended rate as per our valuation.
5. Internal Visit was not allowed. We were not able to identify construction work status of Wing B &amp; C
6. We update revised approved plans (27/11/2019)
7. We have updated revised CC (on 15/02/2023).
8. We have updated revised approved floor plan (on 09/06/2023).
9. We have updated OC For A &amp; B wing &amp; part OC for C Wing (On 19/03/2024).
10. We have updated latest CC from MCGM site (On 18/06/2024).
11. Recommended Rates / Other charges of the Property have been revised on 24/01/2025 &amp; 12/02/2025.
12. We have updated CC from MCGM site on 15/03/2025.
13. Please provide approved plans dtd. 04/09/2024.
14. We have updated full OC for wing B from MCGM site (On 19/04/2025).
10. Validity of CC is expired on 17/02/2023. Please provide revised 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</si>
</sst>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6">
    <font>
      <sz val="11"/>
      <color theme="1"/>
      <name val="Calibri"/>
      <charset val="134"/>
      <scheme val="minor"/>
    </font>
    <font>
      <b/>
      <sz val="11"/>
      <color theme="1"/>
      <name val="Calibri"/>
      <family val="2"/>
      <scheme val="minor"/>
    </font>
    <font>
      <sz val="11"/>
      <color rgb="FF000000"/>
      <name val="Times New Roman"/>
      <family val="1"/>
    </font>
    <font>
      <b/>
      <sz val="11"/>
      <color rgb="FF000000"/>
      <name val="Times New Roman"/>
      <family val="1"/>
    </font>
    <font>
      <b/>
      <sz val="11"/>
      <color theme="1"/>
      <name val="Times New Roman"/>
      <family val="1"/>
    </font>
    <font>
      <sz val="11"/>
      <color indexed="8"/>
      <name val="Calibri"/>
      <family val="2"/>
    </font>
    <font>
      <b/>
      <sz val="11"/>
      <color indexed="8"/>
      <name val="Times New Roman"/>
      <family val="1"/>
    </font>
    <font>
      <sz val="11"/>
      <color indexed="8"/>
      <name val="Times New Roman"/>
      <family val="1"/>
    </font>
    <font>
      <sz val="11"/>
      <name val="Times New Roman"/>
      <family val="1"/>
    </font>
    <font>
      <sz val="11"/>
      <color rgb="FFFF0000"/>
      <name val="Times New Roman"/>
      <family val="1"/>
    </font>
    <font>
      <sz val="10"/>
      <color indexed="8"/>
      <name val="Times New Roman"/>
      <family val="1"/>
    </font>
    <font>
      <sz val="11"/>
      <color theme="1"/>
      <name val="Times New Roman"/>
      <family val="1"/>
    </font>
    <font>
      <b/>
      <sz val="11"/>
      <color rgb="FFFF0000"/>
      <name val="Times New Roman"/>
      <family val="1"/>
    </font>
    <font>
      <b/>
      <sz val="11"/>
      <name val="Times New Roman"/>
      <family val="1"/>
    </font>
    <font>
      <b/>
      <sz val="14"/>
      <color indexed="8"/>
      <name val="Times New Roman"/>
      <family val="1"/>
    </font>
    <font>
      <b/>
      <sz val="12"/>
      <color indexed="8"/>
      <name val="Times New Roman"/>
      <family val="1"/>
    </font>
    <font>
      <b/>
      <sz val="10"/>
      <color indexed="8"/>
      <name val="Times New Roman"/>
      <family val="1"/>
    </font>
    <font>
      <b/>
      <sz val="12"/>
      <name val="Times New Roman"/>
      <family val="1"/>
    </font>
    <font>
      <sz val="12"/>
      <color indexed="8"/>
      <name val="Times New Roman"/>
      <family val="1"/>
    </font>
    <font>
      <sz val="12"/>
      <color theme="1"/>
      <name val="Times New Roman"/>
      <family val="1"/>
    </font>
    <font>
      <u/>
      <sz val="11"/>
      <color theme="10"/>
      <name val="Calibri"/>
      <family val="2"/>
      <scheme val="minor"/>
    </font>
    <font>
      <sz val="12"/>
      <name val="Times New Roman"/>
      <family val="1"/>
    </font>
    <font>
      <b/>
      <sz val="12"/>
      <color theme="1"/>
      <name val="Times New Roman"/>
      <family val="1"/>
    </font>
    <font>
      <sz val="11"/>
      <name val="Calibri"/>
      <family val="2"/>
    </font>
    <font>
      <sz val="11"/>
      <color theme="0"/>
      <name val="Calibri"/>
      <family val="2"/>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diagonal/>
    </border>
  </borders>
  <cellStyleXfs count="5">
    <xf numFmtId="0" fontId="0" fillId="0" borderId="0"/>
    <xf numFmtId="9" fontId="5" fillId="0" borderId="0" applyFont="0" applyFill="0" applyBorder="0" applyAlignment="0" applyProtection="0"/>
    <xf numFmtId="0" fontId="20" fillId="0" borderId="0" applyNumberFormat="0" applyFill="0" applyBorder="0" applyAlignment="0" applyProtection="0"/>
    <xf numFmtId="0" fontId="5" fillId="0" borderId="0"/>
    <xf numFmtId="0" fontId="25" fillId="0" borderId="0"/>
  </cellStyleXfs>
  <cellXfs count="286">
    <xf numFmtId="0" fontId="0" fillId="0" borderId="0" xfId="0"/>
    <xf numFmtId="0" fontId="0" fillId="2" borderId="1" xfId="0" applyFill="1" applyBorder="1"/>
    <xf numFmtId="0" fontId="0" fillId="0" borderId="2" xfId="0" applyBorder="1"/>
    <xf numFmtId="0" fontId="1" fillId="0" borderId="1" xfId="0" applyFont="1" applyBorder="1"/>
    <xf numFmtId="0" fontId="1" fillId="0" borderId="1" xfId="0" applyFont="1" applyBorder="1"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2" fillId="2" borderId="1" xfId="0" applyFont="1" applyFill="1" applyBorder="1"/>
    <xf numFmtId="0" fontId="2" fillId="2" borderId="1" xfId="0" applyFont="1" applyFill="1" applyBorder="1" applyAlignment="1">
      <alignment horizontal="center"/>
    </xf>
    <xf numFmtId="9" fontId="2" fillId="0" borderId="0" xfId="1" applyFont="1" applyBorder="1"/>
    <xf numFmtId="0" fontId="3" fillId="0" borderId="1" xfId="0" applyFont="1" applyBorder="1" applyAlignment="1">
      <alignment horizontal="center"/>
    </xf>
    <xf numFmtId="0" fontId="2" fillId="0" borderId="0" xfId="0" applyFont="1" applyAlignment="1">
      <alignment wrapText="1"/>
    </xf>
    <xf numFmtId="9" fontId="3" fillId="0" borderId="1" xfId="1" applyFont="1" applyBorder="1"/>
    <xf numFmtId="9" fontId="2" fillId="0" borderId="0" xfId="0" applyNumberFormat="1" applyFont="1"/>
    <xf numFmtId="0" fontId="4" fillId="0" borderId="1" xfId="0" applyFont="1" applyBorder="1" applyAlignment="1">
      <alignment horizontal="center"/>
    </xf>
    <xf numFmtId="0" fontId="4" fillId="0" borderId="0" xfId="0" applyFont="1" applyAlignment="1">
      <alignment horizontal="center"/>
    </xf>
    <xf numFmtId="0" fontId="2" fillId="0" borderId="3" xfId="0" applyFont="1" applyBorder="1"/>
    <xf numFmtId="0" fontId="2" fillId="0" borderId="1" xfId="0" applyFont="1" applyBorder="1" applyAlignment="1">
      <alignment wrapText="1"/>
    </xf>
    <xf numFmtId="0" fontId="2" fillId="0" borderId="0" xfId="0" applyFont="1" applyAlignment="1">
      <alignment horizontal="right"/>
    </xf>
    <xf numFmtId="0" fontId="1" fillId="2" borderId="1" xfId="0" applyFont="1" applyFill="1" applyBorder="1"/>
    <xf numFmtId="1" fontId="0" fillId="0" borderId="0" xfId="0" applyNumberFormat="1"/>
    <xf numFmtId="0" fontId="0" fillId="0" borderId="3" xfId="0" applyBorder="1"/>
    <xf numFmtId="0" fontId="0" fillId="0" borderId="0" xfId="0" applyAlignment="1">
      <alignment wrapText="1"/>
    </xf>
    <xf numFmtId="0" fontId="0" fillId="0" borderId="1" xfId="0" applyBorder="1" applyAlignment="1">
      <alignment wrapText="1"/>
    </xf>
    <xf numFmtId="0" fontId="5" fillId="0" borderId="0" xfId="3"/>
    <xf numFmtId="0" fontId="7" fillId="0" borderId="4" xfId="0" applyFont="1" applyBorder="1" applyAlignment="1">
      <alignment vertical="top"/>
    </xf>
    <xf numFmtId="0" fontId="11" fillId="0" borderId="0" xfId="0" applyFont="1" applyAlignment="1">
      <alignment horizontal="left" vertical="top"/>
    </xf>
    <xf numFmtId="0" fontId="7" fillId="0" borderId="1" xfId="0" applyFont="1" applyBorder="1" applyAlignment="1">
      <alignment vertical="top" wrapText="1"/>
    </xf>
    <xf numFmtId="0" fontId="7" fillId="0" borderId="1" xfId="0" applyFont="1" applyBorder="1" applyAlignment="1">
      <alignment vertical="top"/>
    </xf>
    <xf numFmtId="0" fontId="7" fillId="3" borderId="1" xfId="0" applyFont="1" applyFill="1" applyBorder="1" applyAlignment="1">
      <alignment horizontal="left" vertical="top"/>
    </xf>
    <xf numFmtId="0" fontId="7" fillId="3" borderId="1" xfId="0" applyFont="1" applyFill="1" applyBorder="1" applyAlignment="1">
      <alignment vertical="top"/>
    </xf>
    <xf numFmtId="0" fontId="7" fillId="0" borderId="4" xfId="0" applyFont="1" applyBorder="1" applyAlignment="1">
      <alignment vertical="top" wrapText="1"/>
    </xf>
    <xf numFmtId="1" fontId="15" fillId="0" borderId="1" xfId="0" applyNumberFormat="1" applyFont="1" applyBorder="1" applyAlignment="1">
      <alignment horizontal="center" vertical="top" wrapText="1"/>
    </xf>
    <xf numFmtId="1" fontId="16" fillId="0" borderId="1" xfId="0" applyNumberFormat="1" applyFont="1" applyBorder="1" applyAlignment="1">
      <alignment horizontal="center" vertical="top" wrapText="1"/>
    </xf>
    <xf numFmtId="1" fontId="18"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0" fontId="16"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4" fillId="0" borderId="0" xfId="0" applyFont="1"/>
    <xf numFmtId="0" fontId="1" fillId="0" borderId="0" xfId="0" applyFont="1"/>
    <xf numFmtId="0" fontId="19" fillId="0" borderId="0" xfId="0" applyFont="1" applyAlignment="1">
      <alignment horizontal="center" vertical="center"/>
    </xf>
    <xf numFmtId="0" fontId="7" fillId="3" borderId="1" xfId="0" applyFont="1" applyFill="1" applyBorder="1" applyAlignment="1">
      <alignment vertical="top" wrapText="1"/>
    </xf>
    <xf numFmtId="0" fontId="6" fillId="3" borderId="1" xfId="0" applyFont="1" applyFill="1" applyBorder="1" applyAlignment="1">
      <alignment vertical="top"/>
    </xf>
    <xf numFmtId="0" fontId="21" fillId="0" borderId="1" xfId="4" applyFont="1" applyBorder="1" applyAlignment="1" applyProtection="1">
      <alignment horizontal="center" vertical="top" wrapText="1"/>
      <protection locked="0"/>
    </xf>
    <xf numFmtId="0" fontId="21" fillId="0" borderId="1" xfId="4" applyFont="1" applyBorder="1" applyAlignment="1" applyProtection="1">
      <alignment horizontal="center" wrapText="1"/>
      <protection locked="0"/>
    </xf>
    <xf numFmtId="1" fontId="21" fillId="0" borderId="1" xfId="4" applyNumberFormat="1" applyFont="1" applyBorder="1" applyAlignment="1" applyProtection="1">
      <alignment horizontal="center" wrapText="1"/>
      <protection locked="0"/>
    </xf>
    <xf numFmtId="0" fontId="21" fillId="0" borderId="16" xfId="4" applyFont="1" applyBorder="1" applyAlignment="1" applyProtection="1">
      <alignment horizontal="center" wrapText="1"/>
      <protection locked="0"/>
    </xf>
    <xf numFmtId="0" fontId="22" fillId="0" borderId="1" xfId="0" applyFont="1" applyBorder="1" applyAlignment="1">
      <alignment horizontal="center" vertical="center"/>
    </xf>
    <xf numFmtId="0" fontId="23" fillId="2" borderId="21" xfId="0" applyFont="1" applyFill="1" applyBorder="1"/>
    <xf numFmtId="0" fontId="24" fillId="0" borderId="22" xfId="0" applyFont="1" applyBorder="1"/>
    <xf numFmtId="0" fontId="24" fillId="0" borderId="6" xfId="0" applyFont="1" applyBorder="1"/>
    <xf numFmtId="0" fontId="24" fillId="0" borderId="24" xfId="0" applyFont="1" applyBorder="1"/>
    <xf numFmtId="0" fontId="2" fillId="0" borderId="0" xfId="0" applyFont="1" applyProtection="1">
      <protection hidden="1"/>
    </xf>
    <xf numFmtId="0" fontId="19" fillId="0" borderId="25" xfId="4" applyFont="1" applyBorder="1"/>
    <xf numFmtId="0" fontId="2" fillId="0" borderId="25" xfId="0" applyFont="1" applyBorder="1" applyProtection="1">
      <protection hidden="1"/>
    </xf>
    <xf numFmtId="1" fontId="0" fillId="0" borderId="25" xfId="0" applyNumberFormat="1" applyBorder="1"/>
    <xf numFmtId="1" fontId="0" fillId="0" borderId="25" xfId="0" applyNumberFormat="1" applyBorder="1" applyAlignment="1">
      <alignment horizontal="right"/>
    </xf>
    <xf numFmtId="0" fontId="2" fillId="0" borderId="26" xfId="0" applyFont="1" applyBorder="1" applyProtection="1">
      <protection hidden="1"/>
    </xf>
    <xf numFmtId="1" fontId="0" fillId="0" borderId="27" xfId="0" applyNumberFormat="1" applyBorder="1"/>
    <xf numFmtId="0" fontId="0" fillId="2" borderId="0" xfId="0" applyFill="1"/>
    <xf numFmtId="0" fontId="5" fillId="0" borderId="0" xfId="3" applyAlignment="1">
      <alignment horizontal="left" vertical="top"/>
    </xf>
    <xf numFmtId="0" fontId="19" fillId="0" borderId="0" xfId="0" applyFont="1" applyAlignment="1">
      <alignment horizontal="left" vertical="top"/>
    </xf>
    <xf numFmtId="14" fontId="0" fillId="2" borderId="0" xfId="0" applyNumberFormat="1" applyFill="1"/>
    <xf numFmtId="1" fontId="18" fillId="0" borderId="1" xfId="0" applyNumberFormat="1" applyFont="1" applyBorder="1" applyAlignment="1">
      <alignment horizontal="center" vertical="center" wrapText="1"/>
    </xf>
    <xf numFmtId="0" fontId="21" fillId="0" borderId="1" xfId="4" applyFont="1" applyBorder="1" applyAlignment="1" applyProtection="1">
      <alignment horizontal="center" vertical="top" wrapText="1"/>
      <protection locked="0"/>
    </xf>
    <xf numFmtId="0" fontId="21" fillId="0" borderId="1" xfId="4" applyFont="1" applyBorder="1" applyAlignment="1" applyProtection="1">
      <alignment horizontal="center" vertical="top"/>
      <protection locked="0"/>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2" xfId="0" applyFont="1" applyBorder="1" applyAlignment="1">
      <alignment horizontal="left" vertical="top"/>
    </xf>
    <xf numFmtId="0" fontId="7" fillId="0" borderId="11" xfId="0" applyFont="1" applyBorder="1" applyAlignment="1">
      <alignment horizontal="left" vertical="top"/>
    </xf>
    <xf numFmtId="0" fontId="6" fillId="0" borderId="7"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14" fontId="7" fillId="3" borderId="1" xfId="0" applyNumberFormat="1" applyFont="1" applyFill="1" applyBorder="1" applyAlignment="1">
      <alignment horizontal="left" vertical="top" wrapText="1"/>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4" xfId="0" applyFont="1" applyBorder="1" applyAlignment="1">
      <alignment vertical="top"/>
    </xf>
    <xf numFmtId="0" fontId="7" fillId="0" borderId="5" xfId="0" applyFont="1" applyBorder="1" applyAlignment="1">
      <alignment vertical="top"/>
    </xf>
    <xf numFmtId="0" fontId="7" fillId="0" borderId="6" xfId="0" applyFont="1" applyBorder="1" applyAlignment="1">
      <alignment vertical="top"/>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0" fillId="0" borderId="0" xfId="0" applyAlignment="1">
      <alignment horizontal="center"/>
    </xf>
    <xf numFmtId="1" fontId="18" fillId="0" borderId="7" xfId="0" applyNumberFormat="1" applyFont="1" applyBorder="1" applyAlignment="1">
      <alignment horizontal="center" vertical="center" wrapText="1"/>
    </xf>
    <xf numFmtId="1" fontId="18" fillId="0" borderId="9" xfId="0" applyNumberFormat="1" applyFont="1" applyBorder="1" applyAlignment="1">
      <alignment horizontal="center" vertical="center" wrapText="1"/>
    </xf>
    <xf numFmtId="1" fontId="18" fillId="0" borderId="12" xfId="0" applyNumberFormat="1" applyFont="1" applyBorder="1" applyAlignment="1">
      <alignment horizontal="center" vertical="center" wrapText="1"/>
    </xf>
    <xf numFmtId="1" fontId="18" fillId="0" borderId="13" xfId="0" applyNumberFormat="1" applyFont="1" applyBorder="1" applyAlignment="1">
      <alignment horizontal="center" vertical="center" wrapText="1"/>
    </xf>
    <xf numFmtId="1" fontId="18" fillId="0" borderId="10" xfId="0" applyNumberFormat="1" applyFont="1" applyBorder="1" applyAlignment="1">
      <alignment horizontal="center" vertical="center" wrapText="1"/>
    </xf>
    <xf numFmtId="1" fontId="18" fillId="0" borderId="1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12" xfId="0" applyFont="1" applyBorder="1" applyAlignment="1">
      <alignment horizontal="center" vertical="top" wrapText="1"/>
    </xf>
    <xf numFmtId="0" fontId="6" fillId="0" borderId="0" xfId="0" applyFont="1" applyAlignment="1">
      <alignment horizontal="center" vertical="top" wrapText="1"/>
    </xf>
    <xf numFmtId="0" fontId="6" fillId="0" borderId="13" xfId="0" applyFont="1" applyBorder="1" applyAlignment="1">
      <alignment horizontal="center" vertical="top" wrapText="1"/>
    </xf>
    <xf numFmtId="1" fontId="19" fillId="0" borderId="7" xfId="0" applyNumberFormat="1" applyFont="1" applyBorder="1" applyAlignment="1">
      <alignment horizontal="center" vertical="center"/>
    </xf>
    <xf numFmtId="1" fontId="19" fillId="0" borderId="9" xfId="0" applyNumberFormat="1" applyFont="1" applyBorder="1" applyAlignment="1">
      <alignment horizontal="center" vertical="center"/>
    </xf>
    <xf numFmtId="1" fontId="18" fillId="0" borderId="4" xfId="0" applyNumberFormat="1" applyFont="1" applyBorder="1" applyAlignment="1">
      <alignment horizontal="center" vertical="center" wrapText="1"/>
    </xf>
    <xf numFmtId="1" fontId="18" fillId="0" borderId="6" xfId="0" applyNumberFormat="1" applyFont="1" applyBorder="1" applyAlignment="1">
      <alignment horizontal="center" vertical="center" wrapText="1"/>
    </xf>
    <xf numFmtId="1" fontId="19" fillId="0" borderId="4" xfId="0" applyNumberFormat="1" applyFont="1" applyBorder="1" applyAlignment="1">
      <alignment horizontal="center" vertical="center"/>
    </xf>
    <xf numFmtId="1" fontId="19" fillId="0" borderId="6" xfId="0" applyNumberFormat="1" applyFont="1" applyBorder="1" applyAlignment="1">
      <alignment horizontal="center" vertical="center"/>
    </xf>
    <xf numFmtId="0" fontId="13" fillId="0" borderId="7" xfId="3" applyFont="1" applyBorder="1" applyAlignment="1">
      <alignment horizontal="left" vertical="top" wrapText="1"/>
    </xf>
    <xf numFmtId="0" fontId="13" fillId="0" borderId="8" xfId="3" applyFont="1" applyBorder="1" applyAlignment="1">
      <alignment horizontal="left" vertical="top" wrapText="1"/>
    </xf>
    <xf numFmtId="0" fontId="13" fillId="0" borderId="9" xfId="3" applyFont="1" applyBorder="1" applyAlignment="1">
      <alignment horizontal="left" vertical="top" wrapText="1"/>
    </xf>
    <xf numFmtId="1" fontId="15" fillId="0" borderId="4" xfId="0" applyNumberFormat="1" applyFont="1" applyBorder="1" applyAlignment="1">
      <alignment horizontal="center" vertical="center" wrapText="1"/>
    </xf>
    <xf numFmtId="1" fontId="15" fillId="0" borderId="5" xfId="0" applyNumberFormat="1" applyFont="1" applyBorder="1" applyAlignment="1">
      <alignment horizontal="center" vertical="center" wrapText="1"/>
    </xf>
    <xf numFmtId="1" fontId="15" fillId="0" borderId="6" xfId="0" applyNumberFormat="1" applyFont="1" applyBorder="1" applyAlignment="1">
      <alignment horizontal="center" vertical="center" wrapText="1"/>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1" fontId="18" fillId="0" borderId="5" xfId="0" applyNumberFormat="1" applyFont="1" applyBorder="1" applyAlignment="1">
      <alignment horizontal="center" vertical="center" wrapText="1"/>
    </xf>
    <xf numFmtId="1" fontId="19" fillId="0" borderId="1" xfId="0" applyNumberFormat="1" applyFont="1" applyBorder="1" applyAlignment="1">
      <alignment horizontal="center" vertical="center"/>
    </xf>
    <xf numFmtId="1" fontId="15"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1" fontId="15" fillId="0" borderId="7" xfId="0" applyNumberFormat="1" applyFont="1" applyBorder="1" applyAlignment="1">
      <alignment horizontal="center" vertical="center" wrapText="1"/>
    </xf>
    <xf numFmtId="1" fontId="15" fillId="0" borderId="8" xfId="0" applyNumberFormat="1" applyFont="1" applyBorder="1" applyAlignment="1">
      <alignment horizontal="center" vertical="center" wrapText="1"/>
    </xf>
    <xf numFmtId="1" fontId="15" fillId="0" borderId="9" xfId="0" applyNumberFormat="1" applyFont="1" applyBorder="1" applyAlignment="1">
      <alignment horizontal="center" vertical="center" wrapText="1"/>
    </xf>
    <xf numFmtId="1" fontId="17" fillId="0" borderId="4"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 fontId="17" fillId="0" borderId="6" xfId="0" applyNumberFormat="1" applyFont="1" applyBorder="1" applyAlignment="1">
      <alignment horizontal="center" vertical="center" wrapText="1"/>
    </xf>
    <xf numFmtId="1" fontId="19" fillId="0" borderId="4" xfId="0" applyNumberFormat="1" applyFont="1" applyBorder="1" applyAlignment="1">
      <alignment horizontal="center" vertical="top" wrapText="1"/>
    </xf>
    <xf numFmtId="1" fontId="19" fillId="0" borderId="5" xfId="0" applyNumberFormat="1" applyFont="1" applyBorder="1" applyAlignment="1">
      <alignment horizontal="center" vertical="top" wrapText="1"/>
    </xf>
    <xf numFmtId="1" fontId="19" fillId="0" borderId="6" xfId="0" applyNumberFormat="1" applyFont="1" applyBorder="1" applyAlignment="1">
      <alignment horizontal="center" vertical="top" wrapText="1"/>
    </xf>
    <xf numFmtId="1" fontId="18" fillId="0" borderId="4" xfId="0" applyNumberFormat="1" applyFont="1" applyBorder="1" applyAlignment="1">
      <alignment horizontal="center" vertical="top" wrapText="1"/>
    </xf>
    <xf numFmtId="1" fontId="18" fillId="0" borderId="5"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1" fontId="17" fillId="0" borderId="4" xfId="0" applyNumberFormat="1" applyFont="1" applyBorder="1" applyAlignment="1">
      <alignment horizontal="center" vertical="top" wrapText="1"/>
    </xf>
    <xf numFmtId="1" fontId="17" fillId="0" borderId="5" xfId="0" applyNumberFormat="1" applyFont="1" applyBorder="1" applyAlignment="1">
      <alignment horizontal="center" vertical="top" wrapText="1"/>
    </xf>
    <xf numFmtId="1" fontId="17" fillId="0" borderId="6" xfId="0" applyNumberFormat="1" applyFont="1" applyBorder="1" applyAlignment="1">
      <alignment horizontal="center" vertical="top" wrapText="1"/>
    </xf>
    <xf numFmtId="1" fontId="15" fillId="0" borderId="4" xfId="0" applyNumberFormat="1" applyFont="1" applyBorder="1" applyAlignment="1">
      <alignment horizontal="center" vertical="top" wrapText="1"/>
    </xf>
    <xf numFmtId="1" fontId="15" fillId="0" borderId="5" xfId="0" applyNumberFormat="1" applyFont="1" applyBorder="1" applyAlignment="1">
      <alignment horizontal="center" vertical="top" wrapText="1"/>
    </xf>
    <xf numFmtId="1" fontId="15" fillId="0" borderId="6" xfId="0" applyNumberFormat="1" applyFont="1" applyBorder="1" applyAlignment="1">
      <alignment horizontal="center" vertical="top" wrapText="1"/>
    </xf>
    <xf numFmtId="0" fontId="14" fillId="0" borderId="4" xfId="0" applyFont="1" applyBorder="1" applyAlignment="1">
      <alignment horizontal="center"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1" fontId="6" fillId="0" borderId="4"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22" fillId="0" borderId="4" xfId="0" applyFont="1" applyBorder="1" applyAlignment="1">
      <alignment horizontal="center" vertical="top" wrapText="1"/>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3" fontId="7" fillId="3" borderId="4" xfId="0" applyNumberFormat="1"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3" borderId="4" xfId="0" applyFont="1" applyFill="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6" xfId="0" applyFont="1" applyBorder="1" applyAlignment="1">
      <alignment horizontal="left" vertical="top"/>
    </xf>
    <xf numFmtId="0" fontId="7" fillId="3" borderId="4" xfId="0" applyFont="1" applyFill="1" applyBorder="1" applyAlignment="1">
      <alignment horizontal="left" vertical="top"/>
    </xf>
    <xf numFmtId="0" fontId="7" fillId="3" borderId="5" xfId="0" applyFont="1" applyFill="1" applyBorder="1" applyAlignment="1">
      <alignment horizontal="left" vertical="top"/>
    </xf>
    <xf numFmtId="0" fontId="7" fillId="3" borderId="6" xfId="0" applyFont="1" applyFill="1" applyBorder="1" applyAlignment="1">
      <alignment horizontal="left" vertical="top"/>
    </xf>
    <xf numFmtId="0" fontId="8" fillId="3" borderId="4" xfId="0" applyFont="1" applyFill="1" applyBorder="1" applyAlignment="1">
      <alignment horizontal="left" vertical="top"/>
    </xf>
    <xf numFmtId="0" fontId="8" fillId="3" borderId="5" xfId="0" applyFont="1" applyFill="1" applyBorder="1" applyAlignment="1">
      <alignment horizontal="left" vertical="top"/>
    </xf>
    <xf numFmtId="0" fontId="8" fillId="3" borderId="6" xfId="0" applyFont="1" applyFill="1" applyBorder="1" applyAlignment="1">
      <alignment horizontal="left" vertical="top"/>
    </xf>
    <xf numFmtId="0" fontId="21" fillId="0" borderId="14" xfId="4" applyFont="1" applyBorder="1" applyAlignment="1" applyProtection="1">
      <alignment horizontal="center" vertical="top" wrapText="1"/>
      <protection locked="0"/>
    </xf>
    <xf numFmtId="0" fontId="21" fillId="0" borderId="1" xfId="4" applyFont="1" applyBorder="1" applyAlignment="1" applyProtection="1">
      <alignment horizontal="center" vertical="top" wrapText="1"/>
      <protection locked="0"/>
    </xf>
    <xf numFmtId="9" fontId="21" fillId="3" borderId="7" xfId="4" applyNumberFormat="1" applyFont="1" applyFill="1" applyBorder="1" applyAlignment="1" applyProtection="1">
      <alignment horizontal="center" vertical="center" wrapText="1"/>
      <protection hidden="1"/>
    </xf>
    <xf numFmtId="9" fontId="21" fillId="3" borderId="9" xfId="4" applyNumberFormat="1" applyFont="1" applyFill="1" applyBorder="1" applyAlignment="1" applyProtection="1">
      <alignment horizontal="center" vertical="center" wrapText="1"/>
      <protection hidden="1"/>
    </xf>
    <xf numFmtId="9" fontId="21" fillId="3" borderId="17" xfId="4" applyNumberFormat="1" applyFont="1" applyFill="1" applyBorder="1" applyAlignment="1" applyProtection="1">
      <alignment horizontal="center" vertical="center" wrapText="1"/>
      <protection hidden="1"/>
    </xf>
    <xf numFmtId="9" fontId="21" fillId="3" borderId="18" xfId="4" applyNumberFormat="1" applyFont="1" applyFill="1" applyBorder="1" applyAlignment="1" applyProtection="1">
      <alignment horizontal="center" vertical="center" wrapText="1"/>
      <protection hidden="1"/>
    </xf>
    <xf numFmtId="9" fontId="21" fillId="3" borderId="12" xfId="4" applyNumberFormat="1" applyFont="1" applyFill="1" applyBorder="1" applyAlignment="1" applyProtection="1">
      <alignment horizontal="center" vertical="center" wrapText="1"/>
      <protection hidden="1"/>
    </xf>
    <xf numFmtId="9" fontId="21" fillId="3" borderId="13" xfId="4" applyNumberFormat="1" applyFont="1" applyFill="1" applyBorder="1" applyAlignment="1" applyProtection="1">
      <alignment horizontal="center" vertical="center" wrapText="1"/>
      <protection hidden="1"/>
    </xf>
    <xf numFmtId="9" fontId="21" fillId="3" borderId="19" xfId="4" applyNumberFormat="1" applyFont="1" applyFill="1" applyBorder="1" applyAlignment="1" applyProtection="1">
      <alignment horizontal="center" vertical="center" wrapText="1"/>
      <protection hidden="1"/>
    </xf>
    <xf numFmtId="9" fontId="21" fillId="3" borderId="20" xfId="4" applyNumberFormat="1" applyFont="1" applyFill="1" applyBorder="1" applyAlignment="1" applyProtection="1">
      <alignment horizontal="center" vertical="center" wrapText="1"/>
      <protection hidden="1"/>
    </xf>
    <xf numFmtId="9" fontId="21" fillId="3" borderId="8" xfId="4" applyNumberFormat="1" applyFont="1" applyFill="1" applyBorder="1" applyAlignment="1" applyProtection="1">
      <alignment horizontal="center" vertical="center" wrapText="1"/>
      <protection hidden="1"/>
    </xf>
    <xf numFmtId="9" fontId="21" fillId="3" borderId="28" xfId="4" applyNumberFormat="1" applyFont="1" applyFill="1" applyBorder="1" applyAlignment="1" applyProtection="1">
      <alignment horizontal="center" vertical="center" wrapText="1"/>
      <protection hidden="1"/>
    </xf>
    <xf numFmtId="9" fontId="21" fillId="3" borderId="0" xfId="4" applyNumberFormat="1" applyFont="1" applyFill="1" applyAlignment="1" applyProtection="1">
      <alignment horizontal="center" vertical="center" wrapText="1"/>
      <protection hidden="1"/>
    </xf>
    <xf numFmtId="9" fontId="21" fillId="3" borderId="25" xfId="4" applyNumberFormat="1" applyFont="1" applyFill="1" applyBorder="1" applyAlignment="1" applyProtection="1">
      <alignment horizontal="center" vertical="center" wrapText="1"/>
      <protection hidden="1"/>
    </xf>
    <xf numFmtId="9" fontId="21" fillId="3" borderId="26" xfId="4" applyNumberFormat="1" applyFont="1" applyFill="1" applyBorder="1" applyAlignment="1" applyProtection="1">
      <alignment horizontal="center" vertical="center" wrapText="1"/>
      <protection hidden="1"/>
    </xf>
    <xf numFmtId="9" fontId="21" fillId="3" borderId="27" xfId="4" applyNumberFormat="1" applyFont="1" applyFill="1" applyBorder="1" applyAlignment="1" applyProtection="1">
      <alignment horizontal="center" vertical="center" wrapText="1"/>
      <protection hidden="1"/>
    </xf>
    <xf numFmtId="0" fontId="21" fillId="0" borderId="14" xfId="4" applyFont="1" applyBorder="1" applyAlignment="1" applyProtection="1">
      <alignment horizontal="center" vertical="top"/>
      <protection locked="0"/>
    </xf>
    <xf numFmtId="0" fontId="21" fillId="0" borderId="1" xfId="4" applyFont="1" applyBorder="1" applyAlignment="1" applyProtection="1">
      <alignment horizontal="center" vertical="top"/>
      <protection locked="0"/>
    </xf>
    <xf numFmtId="0" fontId="17" fillId="0" borderId="1" xfId="4" applyFont="1" applyBorder="1" applyAlignment="1" applyProtection="1">
      <alignment horizontal="left" vertical="top" wrapText="1"/>
      <protection locked="0"/>
    </xf>
    <xf numFmtId="0" fontId="21" fillId="0" borderId="4" xfId="4" applyFont="1" applyBorder="1" applyAlignment="1" applyProtection="1">
      <alignment horizontal="center" vertical="top" wrapText="1"/>
      <protection locked="0"/>
    </xf>
    <xf numFmtId="0" fontId="21" fillId="0" borderId="6" xfId="4" applyFont="1" applyBorder="1" applyAlignment="1" applyProtection="1">
      <alignment horizontal="center" vertical="top" wrapText="1"/>
      <protection locked="0"/>
    </xf>
    <xf numFmtId="0" fontId="21" fillId="0" borderId="5" xfId="4" applyFont="1" applyBorder="1" applyAlignment="1" applyProtection="1">
      <alignment horizontal="center" vertical="top" wrapText="1"/>
      <protection locked="0"/>
    </xf>
    <xf numFmtId="0" fontId="21" fillId="0" borderId="23" xfId="4" applyFont="1" applyBorder="1" applyAlignment="1" applyProtection="1">
      <alignment horizontal="center" vertical="top" wrapText="1"/>
      <protection locked="0"/>
    </xf>
    <xf numFmtId="9" fontId="21" fillId="3" borderId="1" xfId="4" applyNumberFormat="1" applyFont="1" applyFill="1" applyBorder="1" applyAlignment="1" applyProtection="1">
      <alignment horizontal="center" vertical="center" wrapText="1"/>
      <protection hidden="1"/>
    </xf>
    <xf numFmtId="0" fontId="17" fillId="0" borderId="1" xfId="4" applyFont="1" applyBorder="1" applyAlignment="1" applyProtection="1">
      <alignment horizontal="left" vertical="top"/>
      <protection locked="0"/>
    </xf>
    <xf numFmtId="0" fontId="7" fillId="0" borderId="1" xfId="0" applyFont="1" applyBorder="1" applyAlignment="1">
      <alignment horizontal="left" vertical="top"/>
    </xf>
    <xf numFmtId="0" fontId="2" fillId="0" borderId="4" xfId="0" applyFont="1" applyBorder="1" applyAlignment="1">
      <alignment horizontal="left"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6" fillId="3" borderId="5" xfId="0" applyFont="1" applyFill="1" applyBorder="1" applyAlignment="1">
      <alignment horizontal="left" vertical="top"/>
    </xf>
    <xf numFmtId="0" fontId="6" fillId="3" borderId="6" xfId="0" applyFont="1" applyFill="1" applyBorder="1" applyAlignment="1">
      <alignment horizontal="left" vertical="top"/>
    </xf>
    <xf numFmtId="14" fontId="6" fillId="3" borderId="4" xfId="0" applyNumberFormat="1" applyFont="1" applyFill="1" applyBorder="1" applyAlignment="1">
      <alignment horizontal="left" vertical="top"/>
    </xf>
    <xf numFmtId="0" fontId="6" fillId="0" borderId="4" xfId="0" applyFont="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14" fontId="7" fillId="3" borderId="4" xfId="0" applyNumberFormat="1" applyFont="1" applyFill="1" applyBorder="1" applyAlignment="1">
      <alignment horizontal="left" vertical="top"/>
    </xf>
    <xf numFmtId="14" fontId="7" fillId="3" borderId="5" xfId="0" applyNumberFormat="1" applyFont="1" applyFill="1" applyBorder="1" applyAlignment="1">
      <alignment horizontal="left" vertical="top"/>
    </xf>
    <xf numFmtId="14" fontId="7" fillId="3" borderId="6" xfId="0" applyNumberFormat="1" applyFont="1" applyFill="1" applyBorder="1" applyAlignment="1">
      <alignment horizontal="left" vertical="top"/>
    </xf>
    <xf numFmtId="2" fontId="7" fillId="0" borderId="4" xfId="0" applyNumberFormat="1" applyFont="1" applyBorder="1" applyAlignment="1">
      <alignment horizontal="left" vertical="top"/>
    </xf>
    <xf numFmtId="2" fontId="7" fillId="0" borderId="5" xfId="0" applyNumberFormat="1" applyFont="1" applyBorder="1" applyAlignment="1">
      <alignment horizontal="left" vertical="top"/>
    </xf>
    <xf numFmtId="2" fontId="7" fillId="0" borderId="6" xfId="0" applyNumberFormat="1" applyFont="1" applyBorder="1" applyAlignment="1">
      <alignment horizontal="left" vertical="top"/>
    </xf>
    <xf numFmtId="0" fontId="20" fillId="0" borderId="4" xfId="2" applyFill="1" applyBorder="1" applyAlignment="1">
      <alignment horizontal="left" vertical="top"/>
    </xf>
    <xf numFmtId="0" fontId="7" fillId="0" borderId="4" xfId="0" applyFont="1" applyBorder="1" applyAlignment="1">
      <alignment horizontal="center" vertical="top"/>
    </xf>
    <xf numFmtId="0" fontId="7" fillId="0" borderId="6" xfId="0" applyFont="1" applyBorder="1" applyAlignment="1">
      <alignment horizontal="center" vertical="top"/>
    </xf>
    <xf numFmtId="0" fontId="8"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7" fillId="3" borderId="1" xfId="0" applyFont="1" applyFill="1" applyBorder="1" applyAlignment="1">
      <alignment horizontal="left" vertical="top"/>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14" fontId="7" fillId="0" borderId="4" xfId="0" applyNumberFormat="1" applyFont="1" applyBorder="1" applyAlignment="1">
      <alignment horizontal="left" vertical="top"/>
    </xf>
    <xf numFmtId="14" fontId="7" fillId="0" borderId="5" xfId="0" applyNumberFormat="1" applyFont="1" applyBorder="1" applyAlignment="1">
      <alignment horizontal="left" vertical="top"/>
    </xf>
    <xf numFmtId="14" fontId="7" fillId="0" borderId="6" xfId="0" applyNumberFormat="1" applyFont="1" applyBorder="1" applyAlignment="1">
      <alignment horizontal="left" vertical="top"/>
    </xf>
    <xf numFmtId="0" fontId="6" fillId="0" borderId="10" xfId="0" applyFont="1" applyBorder="1" applyAlignment="1">
      <alignment horizontal="center" vertical="top" wrapText="1"/>
    </xf>
    <xf numFmtId="0" fontId="6" fillId="0" borderId="2" xfId="0" applyFont="1" applyBorder="1" applyAlignment="1">
      <alignment horizontal="center" vertical="top" wrapText="1"/>
    </xf>
    <xf numFmtId="0" fontId="6" fillId="0" borderId="11" xfId="0" applyFont="1" applyBorder="1" applyAlignment="1">
      <alignment horizontal="center" vertical="top" wrapText="1"/>
    </xf>
    <xf numFmtId="0" fontId="6" fillId="0" borderId="7" xfId="3" applyFont="1" applyBorder="1" applyAlignment="1">
      <alignment horizontal="left" vertical="top" wrapText="1"/>
    </xf>
    <xf numFmtId="0" fontId="6" fillId="0" borderId="8" xfId="3" applyFont="1" applyBorder="1" applyAlignment="1">
      <alignment horizontal="left" vertical="top" wrapText="1"/>
    </xf>
    <xf numFmtId="0" fontId="6" fillId="0" borderId="9" xfId="3" applyFont="1" applyBorder="1" applyAlignment="1">
      <alignment horizontal="left" vertical="top" wrapText="1"/>
    </xf>
    <xf numFmtId="0" fontId="13" fillId="0" borderId="7" xfId="0" applyFont="1" applyBorder="1" applyAlignment="1">
      <alignment vertical="top" wrapText="1"/>
    </xf>
    <xf numFmtId="0" fontId="13" fillId="0" borderId="8"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wrapText="1"/>
    </xf>
    <xf numFmtId="0" fontId="13" fillId="0" borderId="0" xfId="0" applyFont="1" applyAlignment="1">
      <alignment vertical="top" wrapText="1"/>
    </xf>
    <xf numFmtId="0" fontId="13" fillId="0" borderId="13" xfId="0" applyFont="1" applyBorder="1" applyAlignment="1">
      <alignment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3" borderId="4"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1" fontId="9" fillId="3" borderId="4" xfId="0" applyNumberFormat="1" applyFont="1" applyFill="1" applyBorder="1" applyAlignment="1">
      <alignment horizontal="center"/>
    </xf>
    <xf numFmtId="1" fontId="9" fillId="3" borderId="6" xfId="0" applyNumberFormat="1" applyFont="1" applyFill="1" applyBorder="1" applyAlignment="1">
      <alignment horizontal="center"/>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2" xfId="0" applyFont="1" applyBorder="1" applyAlignment="1">
      <alignment horizontal="center" vertical="top" wrapText="1"/>
    </xf>
    <xf numFmtId="0" fontId="9" fillId="0" borderId="0" xfId="0" applyFont="1" applyAlignment="1">
      <alignment horizontal="center" vertical="top" wrapText="1"/>
    </xf>
    <xf numFmtId="0" fontId="9" fillId="0" borderId="13" xfId="0" applyFont="1" applyBorder="1" applyAlignment="1">
      <alignment horizontal="center" vertical="top" wrapText="1"/>
    </xf>
    <xf numFmtId="0" fontId="9" fillId="0" borderId="10" xfId="0" applyFont="1" applyBorder="1" applyAlignment="1">
      <alignment horizontal="center" vertical="top" wrapText="1"/>
    </xf>
    <xf numFmtId="0" fontId="9" fillId="0" borderId="2" xfId="0" applyFont="1" applyBorder="1" applyAlignment="1">
      <alignment horizontal="center" vertical="top" wrapText="1"/>
    </xf>
    <xf numFmtId="0" fontId="9" fillId="0" borderId="11" xfId="0" applyFont="1" applyBorder="1" applyAlignment="1">
      <alignment horizontal="center"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1" fontId="9" fillId="3" borderId="4" xfId="0" applyNumberFormat="1" applyFont="1" applyFill="1" applyBorder="1" applyAlignment="1">
      <alignment horizontal="center" vertical="top" wrapText="1"/>
    </xf>
    <xf numFmtId="1" fontId="9" fillId="3" borderId="6" xfId="0" applyNumberFormat="1" applyFont="1" applyFill="1" applyBorder="1" applyAlignment="1">
      <alignment horizontal="center"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7" fillId="0" borderId="1" xfId="0" applyFont="1" applyBorder="1" applyAlignment="1">
      <alignment horizontal="center" vertical="top"/>
    </xf>
    <xf numFmtId="0" fontId="0" fillId="0" borderId="6" xfId="0" applyBorder="1" applyAlignment="1">
      <alignment horizontal="left"/>
    </xf>
    <xf numFmtId="0" fontId="8" fillId="0" borderId="1" xfId="0" applyFont="1" applyBorder="1" applyAlignment="1">
      <alignment horizontal="left" vertical="top" wrapText="1"/>
    </xf>
    <xf numFmtId="0" fontId="7" fillId="0" borderId="1" xfId="0" applyFont="1" applyBorder="1" applyAlignment="1">
      <alignment horizontal="center"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2" fillId="0" borderId="1" xfId="0" applyFont="1" applyBorder="1" applyAlignment="1">
      <alignment horizontal="left"/>
    </xf>
    <xf numFmtId="0" fontId="2" fillId="0" borderId="1" xfId="0" applyFont="1" applyBorder="1" applyAlignment="1">
      <alignment horizontal="center"/>
    </xf>
    <xf numFmtId="0" fontId="2" fillId="2" borderId="1" xfId="0" applyFont="1" applyFill="1" applyBorder="1" applyAlignment="1">
      <alignment horizontal="center"/>
    </xf>
    <xf numFmtId="0" fontId="3" fillId="0" borderId="1" xfId="0" applyFont="1" applyBorder="1" applyAlignment="1">
      <alignment horizontal="center"/>
    </xf>
    <xf numFmtId="0" fontId="0" fillId="2" borderId="1" xfId="0" applyFill="1" applyBorder="1" applyAlignment="1">
      <alignment horizontal="center" wrapText="1"/>
    </xf>
    <xf numFmtId="0" fontId="1" fillId="0" borderId="1" xfId="0" applyFont="1" applyBorder="1" applyAlignment="1">
      <alignment horizontal="center"/>
    </xf>
    <xf numFmtId="0" fontId="21" fillId="0" borderId="15" xfId="4" applyFont="1" applyBorder="1" applyAlignment="1" applyProtection="1">
      <alignment horizontal="center" vertical="top"/>
      <protection locked="0"/>
    </xf>
    <xf numFmtId="0" fontId="21" fillId="0" borderId="16" xfId="4" applyFont="1" applyBorder="1" applyAlignment="1" applyProtection="1">
      <alignment horizontal="center" vertical="top"/>
      <protection locked="0"/>
    </xf>
    <xf numFmtId="164" fontId="0" fillId="0" borderId="0" xfId="0" applyNumberFormat="1"/>
  </cellXfs>
  <cellStyles count="5">
    <cellStyle name="Excel Built-in Normal" xfId="3"/>
    <cellStyle name="Hyperlink" xfId="2" builtinId="8"/>
    <cellStyle name="Normal" xfId="0" builtinId="0"/>
    <cellStyle name="Normal 3" xfId="4"/>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13.jpeg"/><Relationship Id="rId5" Type="http://schemas.openxmlformats.org/officeDocument/2006/relationships/image" Target="../media/image12.jpeg"/><Relationship Id="rId4"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228601</xdr:colOff>
      <xdr:row>484</xdr:row>
      <xdr:rowOff>9525</xdr:rowOff>
    </xdr:from>
    <xdr:to>
      <xdr:col>8</xdr:col>
      <xdr:colOff>476987</xdr:colOff>
      <xdr:row>502</xdr:row>
      <xdr:rowOff>180525</xdr:rowOff>
    </xdr:to>
    <xdr:pic>
      <xdr:nvPicPr>
        <xdr:cNvPr id="255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0260" y="101238685"/>
          <a:ext cx="4946015" cy="359981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503</xdr:row>
      <xdr:rowOff>152400</xdr:rowOff>
    </xdr:from>
    <xdr:to>
      <xdr:col>8</xdr:col>
      <xdr:colOff>638923</xdr:colOff>
      <xdr:row>522</xdr:row>
      <xdr:rowOff>132900</xdr:rowOff>
    </xdr:to>
    <xdr:pic>
      <xdr:nvPicPr>
        <xdr:cNvPr id="2556"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667385" y="105001060"/>
          <a:ext cx="5250815" cy="359981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527539</xdr:colOff>
      <xdr:row>430</xdr:row>
      <xdr:rowOff>0</xdr:rowOff>
    </xdr:from>
    <xdr:ext cx="699422" cy="270910"/>
    <xdr:sp macro="" textlink="">
      <xdr:nvSpPr>
        <xdr:cNvPr id="24" name="TextBox 23"/>
        <xdr:cNvSpPr txBox="1"/>
      </xdr:nvSpPr>
      <xdr:spPr>
        <a:xfrm>
          <a:off x="7891145" y="90751660"/>
          <a:ext cx="699770" cy="27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Tower B </a:t>
          </a:r>
        </a:p>
      </xdr:txBody>
    </xdr:sp>
    <xdr:clientData/>
  </xdr:oneCellAnchor>
  <xdr:oneCellAnchor>
    <xdr:from>
      <xdr:col>14</xdr:col>
      <xdr:colOff>0</xdr:colOff>
      <xdr:row>431</xdr:row>
      <xdr:rowOff>6350</xdr:rowOff>
    </xdr:from>
    <xdr:ext cx="705834" cy="270910"/>
    <xdr:sp macro="" textlink="">
      <xdr:nvSpPr>
        <xdr:cNvPr id="14" name="TextBox 13"/>
        <xdr:cNvSpPr txBox="1"/>
      </xdr:nvSpPr>
      <xdr:spPr>
        <a:xfrm>
          <a:off x="8564245" y="90948510"/>
          <a:ext cx="705485" cy="2705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1"/>
            <a:t>Tower A </a:t>
          </a:r>
        </a:p>
      </xdr:txBody>
    </xdr:sp>
    <xdr:clientData/>
  </xdr:oneCellAnchor>
  <xdr:oneCellAnchor>
    <xdr:from>
      <xdr:col>20</xdr:col>
      <xdr:colOff>549057</xdr:colOff>
      <xdr:row>431</xdr:row>
      <xdr:rowOff>0</xdr:rowOff>
    </xdr:from>
    <xdr:ext cx="705834" cy="270910"/>
    <xdr:sp macro="" textlink="">
      <xdr:nvSpPr>
        <xdr:cNvPr id="15" name="TextBox 14"/>
        <xdr:cNvSpPr txBox="1"/>
      </xdr:nvSpPr>
      <xdr:spPr>
        <a:xfrm>
          <a:off x="12858750" y="90942160"/>
          <a:ext cx="706120" cy="2705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IN" sz="1100" b="1"/>
            <a:t>Tower B </a:t>
          </a:r>
        </a:p>
      </xdr:txBody>
    </xdr:sp>
    <xdr:clientData/>
  </xdr:oneCellAnchor>
  <xdr:twoCellAnchor>
    <xdr:from>
      <xdr:col>20</xdr:col>
      <xdr:colOff>561306</xdr:colOff>
      <xdr:row>432</xdr:row>
      <xdr:rowOff>80410</xdr:rowOff>
    </xdr:from>
    <xdr:to>
      <xdr:col>21</xdr:col>
      <xdr:colOff>292374</xdr:colOff>
      <xdr:row>435</xdr:row>
      <xdr:rowOff>63500</xdr:rowOff>
    </xdr:to>
    <xdr:cxnSp macro="">
      <xdr:nvCxnSpPr>
        <xdr:cNvPr id="16" name="Straight Arrow Connector 15"/>
        <xdr:cNvCxnSpPr>
          <a:stCxn id="15" idx="2"/>
        </xdr:cNvCxnSpPr>
      </xdr:nvCxnSpPr>
      <xdr:spPr>
        <a:xfrm flipH="1">
          <a:off x="12870815" y="91212670"/>
          <a:ext cx="331470" cy="5549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17</xdr:col>
      <xdr:colOff>298450</xdr:colOff>
      <xdr:row>430</xdr:row>
      <xdr:rowOff>101600</xdr:rowOff>
    </xdr:from>
    <xdr:ext cx="699422" cy="270910"/>
    <xdr:sp macro="" textlink="">
      <xdr:nvSpPr>
        <xdr:cNvPr id="27" name="TextBox 26"/>
        <xdr:cNvSpPr txBox="1"/>
      </xdr:nvSpPr>
      <xdr:spPr>
        <a:xfrm>
          <a:off x="10808335" y="90853260"/>
          <a:ext cx="699135" cy="2705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Tower C </a:t>
          </a:r>
        </a:p>
      </xdr:txBody>
    </xdr:sp>
    <xdr:clientData/>
  </xdr:oneCellAnchor>
  <xdr:oneCellAnchor>
    <xdr:from>
      <xdr:col>21</xdr:col>
      <xdr:colOff>176528</xdr:colOff>
      <xdr:row>431</xdr:row>
      <xdr:rowOff>120650</xdr:rowOff>
    </xdr:from>
    <xdr:ext cx="699422" cy="277260"/>
    <xdr:sp macro="" textlink="">
      <xdr:nvSpPr>
        <xdr:cNvPr id="28" name="TextBox 27"/>
        <xdr:cNvSpPr txBox="1"/>
      </xdr:nvSpPr>
      <xdr:spPr>
        <a:xfrm>
          <a:off x="13086080" y="91062810"/>
          <a:ext cx="699770" cy="276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Tower C </a:t>
          </a:r>
        </a:p>
      </xdr:txBody>
    </xdr:sp>
    <xdr:clientData/>
  </xdr:oneCellAnchor>
  <xdr:oneCellAnchor>
    <xdr:from>
      <xdr:col>20</xdr:col>
      <xdr:colOff>398778</xdr:colOff>
      <xdr:row>433</xdr:row>
      <xdr:rowOff>139700</xdr:rowOff>
    </xdr:from>
    <xdr:ext cx="776046" cy="277260"/>
    <xdr:sp macro="" textlink="">
      <xdr:nvSpPr>
        <xdr:cNvPr id="29" name="TextBox 28"/>
        <xdr:cNvSpPr txBox="1"/>
      </xdr:nvSpPr>
      <xdr:spPr>
        <a:xfrm>
          <a:off x="12708255" y="91462860"/>
          <a:ext cx="776605" cy="2768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0000"/>
              </a:solidFill>
              <a:effectLst>
                <a:outerShdw blurRad="38100" dist="25400" dir="5400000" algn="ctr" rotWithShape="0">
                  <a:srgbClr val="6E747A">
                    <a:alpha val="43000"/>
                  </a:srgbClr>
                </a:outerShdw>
              </a:effectLst>
            </a:rPr>
            <a:t>56th Floor</a:t>
          </a:r>
        </a:p>
      </xdr:txBody>
    </xdr:sp>
    <xdr:clientData/>
  </xdr:oneCellAnchor>
  <xdr:twoCellAnchor>
    <xdr:from>
      <xdr:col>21</xdr:col>
      <xdr:colOff>177201</xdr:colOff>
      <xdr:row>435</xdr:row>
      <xdr:rowOff>35960</xdr:rowOff>
    </xdr:from>
    <xdr:to>
      <xdr:col>22</xdr:col>
      <xdr:colOff>65028</xdr:colOff>
      <xdr:row>435</xdr:row>
      <xdr:rowOff>101600</xdr:rowOff>
    </xdr:to>
    <xdr:cxnSp macro="">
      <xdr:nvCxnSpPr>
        <xdr:cNvPr id="30" name="Straight Arrow Connector 29"/>
        <xdr:cNvCxnSpPr>
          <a:stCxn id="29" idx="2"/>
        </xdr:cNvCxnSpPr>
      </xdr:nvCxnSpPr>
      <xdr:spPr>
        <a:xfrm>
          <a:off x="13087350" y="91739720"/>
          <a:ext cx="487680" cy="660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426</xdr:row>
      <xdr:rowOff>0</xdr:rowOff>
    </xdr:from>
    <xdr:to>
      <xdr:col>13</xdr:col>
      <xdr:colOff>255905</xdr:colOff>
      <xdr:row>428</xdr:row>
      <xdr:rowOff>120650</xdr:rowOff>
    </xdr:to>
    <xdr:sp macro="" textlink="">
      <xdr:nvSpPr>
        <xdr:cNvPr id="32" name="TextBox 43"/>
        <xdr:cNvSpPr txBox="1"/>
      </xdr:nvSpPr>
      <xdr:spPr>
        <a:xfrm>
          <a:off x="7715250" y="89268300"/>
          <a:ext cx="884555" cy="311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en-US">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en-IN" sz="1400" b="1" cap="none" spc="0">
              <a:ln w="0"/>
              <a:solidFill>
                <a:sysClr val="windowText" lastClr="000000"/>
              </a:solidFill>
              <a:effectLst>
                <a:outerShdw blurRad="38100" dist="25400" dir="5400000" algn="ctr" rotWithShape="0">
                  <a:srgbClr val="6E747A">
                    <a:alpha val="43000"/>
                  </a:srgbClr>
                </a:outerShdw>
              </a:effectLst>
            </a:rPr>
            <a:t>Tower C</a:t>
          </a:r>
          <a:r>
            <a:rPr lang="en-IN" sz="1400" b="0" cap="none" spc="0">
              <a:ln w="0"/>
              <a:solidFill>
                <a:sysClr val="windowText" lastClr="000000"/>
              </a:solidFill>
              <a:effectLst>
                <a:outerShdw blurRad="38100" dist="25400" dir="5400000" algn="ctr" rotWithShape="0">
                  <a:srgbClr val="6E747A">
                    <a:alpha val="43000"/>
                  </a:srgbClr>
                </a:outerShdw>
              </a:effectLst>
            </a:rPr>
            <a:t> </a:t>
          </a:r>
        </a:p>
      </xdr:txBody>
    </xdr:sp>
    <xdr:clientData/>
  </xdr:twoCellAnchor>
  <xdr:twoCellAnchor>
    <xdr:from>
      <xdr:col>0</xdr:col>
      <xdr:colOff>415636</xdr:colOff>
      <xdr:row>433</xdr:row>
      <xdr:rowOff>173182</xdr:rowOff>
    </xdr:from>
    <xdr:to>
      <xdr:col>9</xdr:col>
      <xdr:colOff>259772</xdr:colOff>
      <xdr:row>477</xdr:row>
      <xdr:rowOff>86591</xdr:rowOff>
    </xdr:to>
    <xdr:grpSp>
      <xdr:nvGrpSpPr>
        <xdr:cNvPr id="55" name="Group 54"/>
        <xdr:cNvGrpSpPr/>
      </xdr:nvGrpSpPr>
      <xdr:grpSpPr>
        <a:xfrm>
          <a:off x="415636" y="94695818"/>
          <a:ext cx="5888181" cy="8295409"/>
          <a:chOff x="623753" y="47714"/>
          <a:chExt cx="6176998" cy="8417592"/>
        </a:xfrm>
      </xdr:grpSpPr>
      <xdr:grpSp>
        <xdr:nvGrpSpPr>
          <xdr:cNvPr id="56" name="Group 55"/>
          <xdr:cNvGrpSpPr/>
        </xdr:nvGrpSpPr>
        <xdr:grpSpPr>
          <a:xfrm>
            <a:off x="623753" y="47714"/>
            <a:ext cx="6091371" cy="8417592"/>
            <a:chOff x="251105" y="159524"/>
            <a:chExt cx="6639262" cy="8784528"/>
          </a:xfrm>
        </xdr:grpSpPr>
        <xdr:pic>
          <xdr:nvPicPr>
            <xdr:cNvPr id="58" name="Picture 57" descr="https://vsjcllp.vsjadon.com/upload/insp-240059-1022.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89215" y="159524"/>
              <a:ext cx="2101152" cy="28044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0059-9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1105" y="159524"/>
              <a:ext cx="4347298" cy="58024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0059-1512.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12131" y="6155489"/>
              <a:ext cx="2089243" cy="27885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0059-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808401" y="6155489"/>
              <a:ext cx="2089243" cy="27885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pic>
        <xdr:nvPicPr>
          <xdr:cNvPr id="57" name="Picture 56" descr="https://vsjcllp.vsjadon.com/upload/insp-240059-86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87366" y="2920469"/>
            <a:ext cx="2013385" cy="26873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262</xdr:row>
      <xdr:rowOff>161925</xdr:rowOff>
    </xdr:from>
    <xdr:to>
      <xdr:col>9</xdr:col>
      <xdr:colOff>0</xdr:colOff>
      <xdr:row>283</xdr:row>
      <xdr:rowOff>180975</xdr:rowOff>
    </xdr:to>
    <xdr:pic>
      <xdr:nvPicPr>
        <xdr:cNvPr id="147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28600" y="64016255"/>
          <a:ext cx="5480685" cy="40195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238125</xdr:colOff>
      <xdr:row>286</xdr:row>
      <xdr:rowOff>9525</xdr:rowOff>
    </xdr:from>
    <xdr:to>
      <xdr:col>9</xdr:col>
      <xdr:colOff>38100</xdr:colOff>
      <xdr:row>306</xdr:row>
      <xdr:rowOff>19050</xdr:rowOff>
    </xdr:to>
    <xdr:pic>
      <xdr:nvPicPr>
        <xdr:cNvPr id="1472"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38125" y="68435855"/>
          <a:ext cx="5509260" cy="381952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216</xdr:row>
      <xdr:rowOff>0</xdr:rowOff>
    </xdr:from>
    <xdr:to>
      <xdr:col>4</xdr:col>
      <xdr:colOff>19050</xdr:colOff>
      <xdr:row>234</xdr:row>
      <xdr:rowOff>171450</xdr:rowOff>
    </xdr:to>
    <xdr:pic>
      <xdr:nvPicPr>
        <xdr:cNvPr id="147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42875" y="55091330"/>
          <a:ext cx="256095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314325</xdr:colOff>
      <xdr:row>215</xdr:row>
      <xdr:rowOff>152400</xdr:rowOff>
    </xdr:from>
    <xdr:to>
      <xdr:col>9</xdr:col>
      <xdr:colOff>0</xdr:colOff>
      <xdr:row>234</xdr:row>
      <xdr:rowOff>133350</xdr:rowOff>
    </xdr:to>
    <xdr:pic>
      <xdr:nvPicPr>
        <xdr:cNvPr id="1474" name="Pictur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2999105" y="55053230"/>
          <a:ext cx="2710180"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104775</xdr:colOff>
      <xdr:row>236</xdr:row>
      <xdr:rowOff>171450</xdr:rowOff>
    </xdr:from>
    <xdr:to>
      <xdr:col>9</xdr:col>
      <xdr:colOff>76200</xdr:colOff>
      <xdr:row>257</xdr:row>
      <xdr:rowOff>152400</xdr:rowOff>
    </xdr:to>
    <xdr:pic>
      <xdr:nvPicPr>
        <xdr:cNvPr id="1475" name="Picture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a:xfrm>
          <a:off x="2789555" y="59072780"/>
          <a:ext cx="2995930" cy="3981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142875</xdr:colOff>
      <xdr:row>237</xdr:row>
      <xdr:rowOff>0</xdr:rowOff>
    </xdr:from>
    <xdr:to>
      <xdr:col>3</xdr:col>
      <xdr:colOff>419100</xdr:colOff>
      <xdr:row>257</xdr:row>
      <xdr:rowOff>171450</xdr:rowOff>
    </xdr:to>
    <xdr:pic>
      <xdr:nvPicPr>
        <xdr:cNvPr id="1476" name="Picture 8"/>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a:xfrm>
          <a:off x="142875" y="59091830"/>
          <a:ext cx="2476500" cy="3981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bdPwPhuzp71Y9FRB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82"/>
  <sheetViews>
    <sheetView tabSelected="1" view="pageBreakPreview" topLeftCell="A446" zoomScale="55" zoomScaleNormal="100" zoomScaleSheetLayoutView="55" workbookViewId="0">
      <selection activeCell="V477" sqref="V477"/>
    </sheetView>
  </sheetViews>
  <sheetFormatPr defaultColWidth="9" defaultRowHeight="15"/>
  <cols>
    <col min="1" max="1" width="8.7109375" customWidth="1"/>
    <col min="2" max="2" width="9.85546875" customWidth="1"/>
    <col min="3" max="3" width="14.42578125" customWidth="1"/>
    <col min="4" max="4" width="7.28515625" customWidth="1"/>
    <col min="5" max="5" width="8.42578125" customWidth="1"/>
    <col min="6" max="7" width="9.85546875" customWidth="1"/>
    <col min="8" max="8" width="10.85546875" customWidth="1"/>
    <col min="9" max="9" width="11.140625" customWidth="1"/>
    <col min="10" max="10" width="7.5703125" customWidth="1"/>
    <col min="11" max="11" width="3.5703125" customWidth="1"/>
    <col min="17" max="17" width="11.140625" customWidth="1"/>
  </cols>
  <sheetData>
    <row r="1" spans="1:10" ht="43.9" customHeight="1">
      <c r="A1" s="226" t="s">
        <v>0</v>
      </c>
      <c r="B1" s="227"/>
      <c r="C1" s="227"/>
      <c r="D1" s="227"/>
      <c r="E1" s="227"/>
      <c r="F1" s="227"/>
      <c r="G1" s="227"/>
      <c r="H1" s="227"/>
      <c r="I1" s="227"/>
      <c r="J1" s="228"/>
    </row>
    <row r="2" spans="1:10">
      <c r="A2" s="154" t="s">
        <v>1</v>
      </c>
      <c r="B2" s="155"/>
      <c r="C2" s="155"/>
      <c r="D2" s="155"/>
      <c r="E2" s="155"/>
      <c r="F2" s="155"/>
      <c r="G2" s="155"/>
      <c r="H2" s="155"/>
      <c r="I2" s="155"/>
      <c r="J2" s="156"/>
    </row>
    <row r="3" spans="1:10">
      <c r="A3" s="88" t="s">
        <v>2</v>
      </c>
      <c r="B3" s="89"/>
      <c r="C3" s="89"/>
      <c r="D3" s="89"/>
      <c r="E3" s="90"/>
      <c r="F3" s="229" t="str">
        <f ca="1">TEXT(TODAY(),"DD/MM/YYYY")</f>
        <v>09/07/2025</v>
      </c>
      <c r="G3" s="230"/>
      <c r="H3" s="230"/>
      <c r="I3" s="230"/>
      <c r="J3" s="231"/>
    </row>
    <row r="4" spans="1:10">
      <c r="A4" s="88" t="s">
        <v>3</v>
      </c>
      <c r="B4" s="89"/>
      <c r="C4" s="89"/>
      <c r="D4" s="89"/>
      <c r="E4" s="90"/>
      <c r="F4" s="88" t="s">
        <v>4</v>
      </c>
      <c r="G4" s="89"/>
      <c r="H4" s="89"/>
      <c r="I4" s="89"/>
      <c r="J4" s="90"/>
    </row>
    <row r="5" spans="1:10">
      <c r="A5" s="88" t="s">
        <v>5</v>
      </c>
      <c r="B5" s="89"/>
      <c r="C5" s="89"/>
      <c r="D5" s="89"/>
      <c r="E5" s="90"/>
      <c r="F5" s="229">
        <v>45846</v>
      </c>
      <c r="G5" s="230"/>
      <c r="H5" s="230"/>
      <c r="I5" s="230"/>
      <c r="J5" s="231"/>
    </row>
    <row r="6" spans="1:10" ht="16.5" customHeight="1">
      <c r="A6" s="88" t="s">
        <v>6</v>
      </c>
      <c r="B6" s="89"/>
      <c r="C6" s="89"/>
      <c r="D6" s="89"/>
      <c r="E6" s="90"/>
      <c r="F6" s="97" t="s">
        <v>7</v>
      </c>
      <c r="G6" s="98"/>
      <c r="H6" s="98"/>
      <c r="I6" s="98"/>
      <c r="J6" s="99"/>
    </row>
    <row r="7" spans="1:10" ht="15" customHeight="1">
      <c r="A7" s="88" t="s">
        <v>8</v>
      </c>
      <c r="B7" s="89"/>
      <c r="C7" s="89"/>
      <c r="D7" s="89"/>
      <c r="E7" s="90"/>
      <c r="F7" s="97" t="str">
        <f>F6</f>
        <v>M/s. Realgem Buildtech Private Limited</v>
      </c>
      <c r="G7" s="98"/>
      <c r="H7" s="98"/>
      <c r="I7" s="98"/>
      <c r="J7" s="99"/>
    </row>
    <row r="8" spans="1:10">
      <c r="A8" s="88" t="s">
        <v>9</v>
      </c>
      <c r="B8" s="89"/>
      <c r="C8" s="89"/>
      <c r="D8" s="89"/>
      <c r="E8" s="90"/>
      <c r="F8" s="166" t="s">
        <v>10</v>
      </c>
      <c r="G8" s="167"/>
      <c r="H8" s="167"/>
      <c r="I8" s="167"/>
      <c r="J8" s="168"/>
    </row>
    <row r="9" spans="1:10" ht="30" customHeight="1">
      <c r="A9" s="88" t="s">
        <v>11</v>
      </c>
      <c r="B9" s="89"/>
      <c r="C9" s="89"/>
      <c r="D9" s="89"/>
      <c r="E9" s="90"/>
      <c r="F9" s="97" t="s">
        <v>12</v>
      </c>
      <c r="G9" s="89"/>
      <c r="H9" s="89"/>
      <c r="I9" s="89"/>
      <c r="J9" s="90"/>
    </row>
    <row r="10" spans="1:10">
      <c r="A10" s="88" t="s">
        <v>13</v>
      </c>
      <c r="B10" s="89"/>
      <c r="C10" s="89"/>
      <c r="D10" s="89"/>
      <c r="E10" s="90"/>
      <c r="F10" s="88">
        <v>9167969617</v>
      </c>
      <c r="G10" s="89"/>
      <c r="H10" s="89"/>
      <c r="I10" s="89"/>
      <c r="J10" s="90"/>
    </row>
    <row r="11" spans="1:10" ht="32.25" customHeight="1">
      <c r="A11" s="88" t="s">
        <v>14</v>
      </c>
      <c r="B11" s="89"/>
      <c r="C11" s="89"/>
      <c r="D11" s="89"/>
      <c r="E11" s="90"/>
      <c r="F11" s="97" t="s">
        <v>15</v>
      </c>
      <c r="G11" s="89"/>
      <c r="H11" s="89"/>
      <c r="I11" s="89"/>
      <c r="J11" s="90"/>
    </row>
    <row r="12" spans="1:10" ht="30.75" customHeight="1">
      <c r="A12" s="88" t="s">
        <v>16</v>
      </c>
      <c r="B12" s="89"/>
      <c r="C12" s="89"/>
      <c r="D12" s="89"/>
      <c r="E12" s="90"/>
      <c r="F12" s="94" t="s">
        <v>17</v>
      </c>
      <c r="G12" s="224"/>
      <c r="H12" s="224"/>
      <c r="I12" s="224"/>
      <c r="J12" s="225"/>
    </row>
    <row r="13" spans="1:10">
      <c r="A13" s="88" t="s">
        <v>18</v>
      </c>
      <c r="B13" s="89"/>
      <c r="C13" s="89"/>
      <c r="D13" s="89"/>
      <c r="E13" s="90"/>
      <c r="F13" s="94" t="s">
        <v>19</v>
      </c>
      <c r="G13" s="224"/>
      <c r="H13" s="224"/>
      <c r="I13" s="224"/>
      <c r="J13" s="225"/>
    </row>
    <row r="14" spans="1:10" ht="30" customHeight="1">
      <c r="A14" s="85" t="s">
        <v>20</v>
      </c>
      <c r="B14" s="85"/>
      <c r="C14" s="97" t="s">
        <v>21</v>
      </c>
      <c r="D14" s="98"/>
      <c r="E14" s="98"/>
      <c r="F14" s="98"/>
      <c r="G14" s="98"/>
      <c r="H14" s="98"/>
      <c r="I14" s="98"/>
      <c r="J14" s="99"/>
    </row>
    <row r="15" spans="1:10">
      <c r="A15" s="200" t="s">
        <v>22</v>
      </c>
      <c r="B15" s="200"/>
      <c r="C15" s="85" t="s">
        <v>23</v>
      </c>
      <c r="D15" s="85"/>
      <c r="E15" s="85"/>
      <c r="F15" s="85" t="s">
        <v>24</v>
      </c>
      <c r="G15" s="85"/>
      <c r="H15" s="85" t="s">
        <v>25</v>
      </c>
      <c r="I15" s="85"/>
      <c r="J15" s="85"/>
    </row>
    <row r="16" spans="1:10">
      <c r="A16" s="200" t="s">
        <v>26</v>
      </c>
      <c r="B16" s="200"/>
      <c r="C16" s="85" t="s">
        <v>27</v>
      </c>
      <c r="D16" s="85"/>
      <c r="E16" s="85"/>
      <c r="F16" s="85" t="s">
        <v>28</v>
      </c>
      <c r="G16" s="85"/>
      <c r="H16" s="85" t="s">
        <v>29</v>
      </c>
      <c r="I16" s="85"/>
      <c r="J16" s="85"/>
    </row>
    <row r="17" spans="1:10">
      <c r="A17" s="200" t="s">
        <v>30</v>
      </c>
      <c r="B17" s="200"/>
      <c r="C17" s="85" t="s">
        <v>29</v>
      </c>
      <c r="D17" s="85"/>
      <c r="E17" s="85"/>
      <c r="F17" s="85" t="s">
        <v>31</v>
      </c>
      <c r="G17" s="85"/>
      <c r="H17" s="85">
        <v>400025</v>
      </c>
      <c r="I17" s="85"/>
      <c r="J17" s="85"/>
    </row>
    <row r="18" spans="1:10" ht="32.25" customHeight="1">
      <c r="A18" s="200" t="s">
        <v>32</v>
      </c>
      <c r="B18" s="200"/>
      <c r="C18" s="223" t="s">
        <v>33</v>
      </c>
      <c r="D18" s="223"/>
      <c r="E18" s="223"/>
      <c r="F18" s="85" t="s">
        <v>34</v>
      </c>
      <c r="G18" s="85"/>
      <c r="H18" s="85" t="s">
        <v>35</v>
      </c>
      <c r="I18" s="85"/>
      <c r="J18" s="85"/>
    </row>
    <row r="19" spans="1:10" ht="15" customHeight="1">
      <c r="A19" s="69" t="s">
        <v>36</v>
      </c>
      <c r="B19" s="70"/>
      <c r="C19" s="70"/>
      <c r="D19" s="70"/>
      <c r="E19" s="71"/>
      <c r="F19" s="75" t="s">
        <v>37</v>
      </c>
      <c r="G19" s="76"/>
      <c r="H19" s="76"/>
      <c r="I19" s="76"/>
      <c r="J19" s="77"/>
    </row>
    <row r="20" spans="1:10">
      <c r="A20" s="72"/>
      <c r="B20" s="73"/>
      <c r="C20" s="73"/>
      <c r="D20" s="73"/>
      <c r="E20" s="74"/>
      <c r="F20" s="78"/>
      <c r="G20" s="79"/>
      <c r="H20" s="79"/>
      <c r="I20" s="79"/>
      <c r="J20" s="80"/>
    </row>
    <row r="21" spans="1:10" ht="15" customHeight="1">
      <c r="A21" s="69" t="s">
        <v>38</v>
      </c>
      <c r="B21" s="70"/>
      <c r="C21" s="70"/>
      <c r="D21" s="70"/>
      <c r="E21" s="71"/>
      <c r="F21" s="69" t="s">
        <v>39</v>
      </c>
      <c r="G21" s="70"/>
      <c r="H21" s="70"/>
      <c r="I21" s="70"/>
      <c r="J21" s="71"/>
    </row>
    <row r="22" spans="1:10">
      <c r="A22" s="72"/>
      <c r="B22" s="73"/>
      <c r="C22" s="73"/>
      <c r="D22" s="73"/>
      <c r="E22" s="74"/>
      <c r="F22" s="72"/>
      <c r="G22" s="73"/>
      <c r="H22" s="73"/>
      <c r="I22" s="73"/>
      <c r="J22" s="74"/>
    </row>
    <row r="23" spans="1:10">
      <c r="A23" s="88" t="s">
        <v>40</v>
      </c>
      <c r="B23" s="89"/>
      <c r="C23" s="89"/>
      <c r="D23" s="89"/>
      <c r="E23" s="90"/>
      <c r="F23" s="220" t="s">
        <v>41</v>
      </c>
      <c r="G23" s="221"/>
      <c r="H23" s="221"/>
      <c r="I23" s="221"/>
      <c r="J23" s="222"/>
    </row>
    <row r="24" spans="1:10">
      <c r="A24" s="88" t="s">
        <v>42</v>
      </c>
      <c r="B24" s="89"/>
      <c r="C24" s="89"/>
      <c r="D24" s="89"/>
      <c r="E24" s="90"/>
      <c r="F24" s="91" t="s">
        <v>43</v>
      </c>
      <c r="G24" s="92"/>
      <c r="H24" s="92"/>
      <c r="I24" s="92"/>
      <c r="J24" s="93"/>
    </row>
    <row r="25" spans="1:10">
      <c r="A25" s="88" t="s">
        <v>44</v>
      </c>
      <c r="B25" s="89"/>
      <c r="C25" s="89"/>
      <c r="D25" s="89"/>
      <c r="E25" s="90"/>
      <c r="F25" s="220" t="s">
        <v>45</v>
      </c>
      <c r="G25" s="221"/>
      <c r="H25" s="221"/>
      <c r="I25" s="221"/>
      <c r="J25" s="222"/>
    </row>
    <row r="26" spans="1:10">
      <c r="A26" s="88" t="s">
        <v>46</v>
      </c>
      <c r="B26" s="89"/>
      <c r="C26" s="89"/>
      <c r="D26" s="89"/>
      <c r="E26" s="90"/>
      <c r="F26" s="91" t="s">
        <v>47</v>
      </c>
      <c r="G26" s="92"/>
      <c r="H26" s="92"/>
      <c r="I26" s="92"/>
      <c r="J26" s="93"/>
    </row>
    <row r="27" spans="1:10">
      <c r="A27" s="218" t="s">
        <v>48</v>
      </c>
      <c r="B27" s="219"/>
      <c r="C27" s="218" t="s">
        <v>49</v>
      </c>
      <c r="D27" s="219"/>
      <c r="E27" s="218" t="s">
        <v>50</v>
      </c>
      <c r="F27" s="219"/>
      <c r="G27" s="218" t="s">
        <v>51</v>
      </c>
      <c r="H27" s="219"/>
      <c r="I27" s="218" t="s">
        <v>52</v>
      </c>
      <c r="J27" s="219"/>
    </row>
    <row r="28" spans="1:10" hidden="1">
      <c r="A28" s="218" t="s">
        <v>53</v>
      </c>
      <c r="B28" s="219"/>
      <c r="C28" s="218" t="s">
        <v>54</v>
      </c>
      <c r="D28" s="219"/>
      <c r="E28" s="218" t="s">
        <v>54</v>
      </c>
      <c r="F28" s="219"/>
      <c r="G28" s="218" t="s">
        <v>54</v>
      </c>
      <c r="H28" s="219"/>
      <c r="I28" s="218" t="s">
        <v>54</v>
      </c>
      <c r="J28" s="219"/>
    </row>
    <row r="29" spans="1:10">
      <c r="A29" s="218" t="s">
        <v>55</v>
      </c>
      <c r="B29" s="219"/>
      <c r="C29" s="218" t="s">
        <v>56</v>
      </c>
      <c r="D29" s="219"/>
      <c r="E29" s="218" t="s">
        <v>57</v>
      </c>
      <c r="F29" s="219"/>
      <c r="G29" s="218" t="s">
        <v>58</v>
      </c>
      <c r="H29" s="219"/>
      <c r="I29" s="218" t="s">
        <v>59</v>
      </c>
      <c r="J29" s="219"/>
    </row>
    <row r="30" spans="1:10">
      <c r="A30" s="88" t="s">
        <v>60</v>
      </c>
      <c r="B30" s="89"/>
      <c r="C30" s="89"/>
      <c r="D30" s="89"/>
      <c r="E30" s="89"/>
      <c r="F30" s="89"/>
      <c r="G30" s="89"/>
      <c r="H30" s="89"/>
      <c r="I30" s="89"/>
      <c r="J30" s="90"/>
    </row>
    <row r="31" spans="1:10">
      <c r="A31" s="88" t="s">
        <v>61</v>
      </c>
      <c r="B31" s="89"/>
      <c r="C31" s="89"/>
      <c r="D31" s="89"/>
      <c r="E31" s="89"/>
      <c r="F31" s="89"/>
      <c r="G31" s="89"/>
      <c r="H31" s="89"/>
      <c r="I31" s="89"/>
      <c r="J31" s="90"/>
    </row>
    <row r="32" spans="1:10">
      <c r="A32" s="88" t="s">
        <v>62</v>
      </c>
      <c r="B32" s="90"/>
      <c r="C32" s="166" t="s">
        <v>63</v>
      </c>
      <c r="D32" s="167"/>
      <c r="E32" s="167"/>
      <c r="F32" s="167"/>
      <c r="G32" s="167"/>
      <c r="H32" s="167"/>
      <c r="I32" s="167"/>
      <c r="J32" s="168"/>
    </row>
    <row r="33" spans="1:10">
      <c r="A33" s="88" t="s">
        <v>64</v>
      </c>
      <c r="B33" s="90"/>
      <c r="C33" s="217" t="s">
        <v>65</v>
      </c>
      <c r="D33" s="89"/>
      <c r="E33" s="89"/>
      <c r="F33" s="89"/>
      <c r="G33" s="89"/>
      <c r="H33" s="89"/>
      <c r="I33" s="89"/>
      <c r="J33" s="90"/>
    </row>
    <row r="34" spans="1:10">
      <c r="A34" s="166" t="s">
        <v>66</v>
      </c>
      <c r="B34" s="167"/>
      <c r="C34" s="167"/>
      <c r="D34" s="167"/>
      <c r="E34" s="167"/>
      <c r="F34" s="167"/>
      <c r="G34" s="167"/>
      <c r="H34" s="167"/>
      <c r="I34" s="167"/>
      <c r="J34" s="168"/>
    </row>
    <row r="35" spans="1:10" ht="15" customHeight="1">
      <c r="A35" s="69" t="s">
        <v>67</v>
      </c>
      <c r="B35" s="70"/>
      <c r="C35" s="70"/>
      <c r="D35" s="70"/>
      <c r="E35" s="70"/>
      <c r="F35" s="70"/>
      <c r="G35" s="70"/>
      <c r="H35" s="70"/>
      <c r="I35" s="70"/>
      <c r="J35" s="71"/>
    </row>
    <row r="36" spans="1:10" hidden="1">
      <c r="A36" s="72"/>
      <c r="B36" s="73"/>
      <c r="C36" s="73"/>
      <c r="D36" s="73"/>
      <c r="E36" s="73"/>
      <c r="F36" s="73"/>
      <c r="G36" s="73"/>
      <c r="H36" s="73"/>
      <c r="I36" s="73"/>
      <c r="J36" s="74"/>
    </row>
    <row r="37" spans="1:10" ht="16.5" customHeight="1">
      <c r="A37" s="88" t="s">
        <v>68</v>
      </c>
      <c r="B37" s="89"/>
      <c r="C37" s="89"/>
      <c r="D37" s="89"/>
      <c r="E37" s="90"/>
      <c r="F37" s="97">
        <v>23291.52</v>
      </c>
      <c r="G37" s="98"/>
      <c r="H37" s="98"/>
      <c r="I37" s="98"/>
      <c r="J37" s="99"/>
    </row>
    <row r="38" spans="1:10">
      <c r="A38" s="88" t="s">
        <v>69</v>
      </c>
      <c r="B38" s="89"/>
      <c r="C38" s="89"/>
      <c r="D38" s="89"/>
      <c r="E38" s="90"/>
      <c r="F38" s="214">
        <v>1.33</v>
      </c>
      <c r="G38" s="215"/>
      <c r="H38" s="215"/>
      <c r="I38" s="215"/>
      <c r="J38" s="216"/>
    </row>
    <row r="39" spans="1:10">
      <c r="A39" s="88" t="s">
        <v>70</v>
      </c>
      <c r="B39" s="89"/>
      <c r="C39" s="89"/>
      <c r="D39" s="89"/>
      <c r="E39" s="90"/>
      <c r="F39" s="214">
        <f>F41/F37-F38</f>
        <v>2.0369610227241499</v>
      </c>
      <c r="G39" s="215"/>
      <c r="H39" s="215"/>
      <c r="I39" s="215"/>
      <c r="J39" s="216"/>
    </row>
    <row r="40" spans="1:10">
      <c r="A40" s="88" t="s">
        <v>71</v>
      </c>
      <c r="B40" s="89"/>
      <c r="C40" s="89"/>
      <c r="D40" s="89"/>
      <c r="E40" s="90"/>
      <c r="F40" s="214">
        <v>4</v>
      </c>
      <c r="G40" s="215"/>
      <c r="H40" s="215"/>
      <c r="I40" s="215"/>
      <c r="J40" s="216"/>
    </row>
    <row r="41" spans="1:10">
      <c r="A41" s="88" t="s">
        <v>72</v>
      </c>
      <c r="B41" s="89"/>
      <c r="C41" s="89"/>
      <c r="D41" s="89"/>
      <c r="E41" s="90"/>
      <c r="F41" s="88">
        <v>78421.64</v>
      </c>
      <c r="G41" s="89"/>
      <c r="H41" s="89"/>
      <c r="I41" s="89"/>
      <c r="J41" s="90"/>
    </row>
    <row r="42" spans="1:10">
      <c r="A42" s="88" t="s">
        <v>73</v>
      </c>
      <c r="B42" s="89"/>
      <c r="C42" s="89"/>
      <c r="D42" s="89"/>
      <c r="E42" s="90"/>
      <c r="F42" s="88" t="str">
        <f>F11</f>
        <v>Phase I (A &amp; B Tower) 
Phase II (C Tower)</v>
      </c>
      <c r="G42" s="89"/>
      <c r="H42" s="89"/>
      <c r="I42" s="89"/>
      <c r="J42" s="90"/>
    </row>
    <row r="43" spans="1:10">
      <c r="A43" s="166" t="s">
        <v>74</v>
      </c>
      <c r="B43" s="167"/>
      <c r="C43" s="167"/>
      <c r="D43" s="167"/>
      <c r="E43" s="167"/>
      <c r="F43" s="167"/>
      <c r="G43" s="167"/>
      <c r="H43" s="167"/>
      <c r="I43" s="167"/>
      <c r="J43" s="168"/>
    </row>
    <row r="44" spans="1:10" ht="16.5" customHeight="1">
      <c r="A44" s="97" t="s">
        <v>75</v>
      </c>
      <c r="B44" s="99"/>
      <c r="C44" s="169" t="s">
        <v>76</v>
      </c>
      <c r="D44" s="170"/>
      <c r="E44" s="170"/>
      <c r="F44" s="171"/>
      <c r="G44" s="31" t="s">
        <v>77</v>
      </c>
      <c r="H44" s="211" t="s">
        <v>78</v>
      </c>
      <c r="I44" s="170"/>
      <c r="J44" s="171"/>
    </row>
    <row r="45" spans="1:10" ht="31.5" customHeight="1">
      <c r="A45" s="97" t="s">
        <v>79</v>
      </c>
      <c r="B45" s="99"/>
      <c r="C45" s="169" t="str">
        <f>C44</f>
        <v>EB/5070/GS/A</v>
      </c>
      <c r="D45" s="170"/>
      <c r="E45" s="170"/>
      <c r="F45" s="171"/>
      <c r="G45" s="31" t="s">
        <v>77</v>
      </c>
      <c r="H45" s="211" t="str">
        <f>H44</f>
        <v>31/12/2021.</v>
      </c>
      <c r="I45" s="212"/>
      <c r="J45" s="213"/>
    </row>
    <row r="46" spans="1:10" ht="45" customHeight="1">
      <c r="A46" s="85" t="s">
        <v>80</v>
      </c>
      <c r="B46" s="85"/>
      <c r="C46" s="86" t="s">
        <v>81</v>
      </c>
      <c r="D46" s="86"/>
      <c r="E46" s="86"/>
      <c r="F46" s="86"/>
      <c r="G46" s="44" t="s">
        <v>82</v>
      </c>
      <c r="H46" s="87" t="s">
        <v>83</v>
      </c>
      <c r="I46" s="87"/>
      <c r="J46" s="87"/>
    </row>
    <row r="47" spans="1:10" ht="79.5" customHeight="1">
      <c r="A47" s="85"/>
      <c r="B47" s="85"/>
      <c r="C47" s="86" t="s">
        <v>84</v>
      </c>
      <c r="D47" s="86"/>
      <c r="E47" s="86"/>
      <c r="F47" s="86"/>
      <c r="G47" s="86"/>
      <c r="H47" s="86"/>
      <c r="I47" s="86"/>
      <c r="J47" s="86"/>
    </row>
    <row r="48" spans="1:10" ht="45" hidden="1" customHeight="1">
      <c r="A48" s="85"/>
      <c r="B48" s="85"/>
      <c r="C48" s="86" t="s">
        <v>391</v>
      </c>
      <c r="D48" s="86"/>
      <c r="E48" s="86"/>
      <c r="F48" s="86"/>
      <c r="G48" s="44" t="s">
        <v>82</v>
      </c>
      <c r="H48" s="87" t="s">
        <v>392</v>
      </c>
      <c r="I48" s="87"/>
      <c r="J48" s="87"/>
    </row>
    <row r="49" spans="1:10" ht="28.5" hidden="1" customHeight="1">
      <c r="A49" s="85"/>
      <c r="B49" s="85"/>
      <c r="C49" s="86" t="s">
        <v>393</v>
      </c>
      <c r="D49" s="86"/>
      <c r="E49" s="86"/>
      <c r="F49" s="86"/>
      <c r="G49" s="86"/>
      <c r="H49" s="86"/>
      <c r="I49" s="86"/>
      <c r="J49" s="86"/>
    </row>
    <row r="50" spans="1:10" ht="45" customHeight="1">
      <c r="A50" s="85"/>
      <c r="B50" s="85"/>
      <c r="C50" s="86" t="s">
        <v>85</v>
      </c>
      <c r="D50" s="86"/>
      <c r="E50" s="86"/>
      <c r="F50" s="86"/>
      <c r="G50" s="44" t="s">
        <v>82</v>
      </c>
      <c r="H50" s="87" t="s">
        <v>86</v>
      </c>
      <c r="I50" s="87"/>
      <c r="J50" s="87"/>
    </row>
    <row r="51" spans="1:10">
      <c r="A51" s="85"/>
      <c r="B51" s="85"/>
      <c r="C51" s="86" t="s">
        <v>87</v>
      </c>
      <c r="D51" s="86"/>
      <c r="E51" s="86"/>
      <c r="F51" s="86"/>
      <c r="G51" s="86"/>
      <c r="H51" s="86"/>
      <c r="I51" s="86"/>
      <c r="J51" s="86"/>
    </row>
    <row r="52" spans="1:10" s="42" customFormat="1" ht="15" customHeight="1">
      <c r="A52" s="81" t="s">
        <v>88</v>
      </c>
      <c r="B52" s="82"/>
      <c r="C52" s="202" t="s">
        <v>89</v>
      </c>
      <c r="D52" s="205"/>
      <c r="E52" s="205"/>
      <c r="F52" s="206" t="s">
        <v>90</v>
      </c>
      <c r="G52" s="45" t="s">
        <v>77</v>
      </c>
      <c r="H52" s="207" t="s">
        <v>91</v>
      </c>
      <c r="I52" s="205" t="s">
        <v>92</v>
      </c>
      <c r="J52" s="206"/>
    </row>
    <row r="53" spans="1:10" s="42" customFormat="1" ht="90.75" customHeight="1">
      <c r="A53" s="83"/>
      <c r="B53" s="84"/>
      <c r="C53" s="202" t="s">
        <v>93</v>
      </c>
      <c r="D53" s="203"/>
      <c r="E53" s="203"/>
      <c r="F53" s="203"/>
      <c r="G53" s="203"/>
      <c r="H53" s="203"/>
      <c r="I53" s="203"/>
      <c r="J53" s="204"/>
    </row>
    <row r="54" spans="1:10" s="42" customFormat="1">
      <c r="A54" s="81" t="s">
        <v>94</v>
      </c>
      <c r="B54" s="82"/>
      <c r="C54" s="202" t="s">
        <v>89</v>
      </c>
      <c r="D54" s="205"/>
      <c r="E54" s="205"/>
      <c r="F54" s="206" t="s">
        <v>90</v>
      </c>
      <c r="G54" s="45" t="s">
        <v>77</v>
      </c>
      <c r="H54" s="207" t="s">
        <v>95</v>
      </c>
      <c r="I54" s="205" t="s">
        <v>92</v>
      </c>
      <c r="J54" s="206"/>
    </row>
    <row r="55" spans="1:10" s="42" customFormat="1" ht="32.25" customHeight="1">
      <c r="A55" s="83"/>
      <c r="B55" s="84"/>
      <c r="C55" s="202" t="s">
        <v>96</v>
      </c>
      <c r="D55" s="203"/>
      <c r="E55" s="203"/>
      <c r="F55" s="203"/>
      <c r="G55" s="203"/>
      <c r="H55" s="203"/>
      <c r="I55" s="203"/>
      <c r="J55" s="204"/>
    </row>
    <row r="56" spans="1:10" s="42" customFormat="1" ht="15" customHeight="1">
      <c r="A56" s="81" t="s">
        <v>97</v>
      </c>
      <c r="B56" s="82"/>
      <c r="C56" s="202" t="s">
        <v>98</v>
      </c>
      <c r="D56" s="205"/>
      <c r="E56" s="205"/>
      <c r="F56" s="206" t="s">
        <v>90</v>
      </c>
      <c r="G56" s="45" t="s">
        <v>77</v>
      </c>
      <c r="H56" s="207" t="s">
        <v>99</v>
      </c>
      <c r="I56" s="205" t="s">
        <v>92</v>
      </c>
      <c r="J56" s="206"/>
    </row>
    <row r="57" spans="1:10" s="42" customFormat="1" ht="35.25" customHeight="1">
      <c r="A57" s="83"/>
      <c r="B57" s="84"/>
      <c r="C57" s="202" t="s">
        <v>100</v>
      </c>
      <c r="D57" s="203"/>
      <c r="E57" s="203"/>
      <c r="F57" s="203"/>
      <c r="G57" s="203"/>
      <c r="H57" s="203"/>
      <c r="I57" s="203"/>
      <c r="J57" s="204"/>
    </row>
    <row r="58" spans="1:10" s="42" customFormat="1" ht="15" customHeight="1">
      <c r="A58" s="81" t="s">
        <v>388</v>
      </c>
      <c r="B58" s="82"/>
      <c r="C58" s="202" t="s">
        <v>389</v>
      </c>
      <c r="D58" s="205"/>
      <c r="E58" s="205"/>
      <c r="F58" s="206"/>
      <c r="G58" s="45" t="s">
        <v>77</v>
      </c>
      <c r="H58" s="207">
        <v>45562</v>
      </c>
      <c r="I58" s="205"/>
      <c r="J58" s="206"/>
    </row>
    <row r="59" spans="1:10" s="42" customFormat="1" ht="30" customHeight="1">
      <c r="A59" s="83"/>
      <c r="B59" s="84"/>
      <c r="C59" s="202" t="s">
        <v>390</v>
      </c>
      <c r="D59" s="203"/>
      <c r="E59" s="203"/>
      <c r="F59" s="203"/>
      <c r="G59" s="203"/>
      <c r="H59" s="203"/>
      <c r="I59" s="203"/>
      <c r="J59" s="204"/>
    </row>
    <row r="60" spans="1:10">
      <c r="A60" s="208" t="s">
        <v>101</v>
      </c>
      <c r="B60" s="209"/>
      <c r="C60" s="209"/>
      <c r="D60" s="209"/>
      <c r="E60" s="209"/>
      <c r="F60" s="209"/>
      <c r="G60" s="209"/>
      <c r="H60" s="209"/>
      <c r="I60" s="209"/>
      <c r="J60" s="210"/>
    </row>
    <row r="61" spans="1:10" ht="17.25" customHeight="1">
      <c r="A61" s="88" t="s">
        <v>102</v>
      </c>
      <c r="B61" s="89"/>
      <c r="C61" s="90"/>
      <c r="D61" s="88">
        <f>F41</f>
        <v>78421.64</v>
      </c>
      <c r="E61" s="89"/>
      <c r="F61" s="89"/>
      <c r="G61" s="89"/>
      <c r="H61" s="89"/>
      <c r="I61" s="89"/>
      <c r="J61" s="90"/>
    </row>
    <row r="62" spans="1:10" ht="17.25" customHeight="1">
      <c r="A62" s="88" t="s">
        <v>103</v>
      </c>
      <c r="B62" s="89"/>
      <c r="C62" s="90"/>
      <c r="D62" s="88" t="s">
        <v>104</v>
      </c>
      <c r="E62" s="89"/>
      <c r="F62" s="89"/>
      <c r="G62" s="89"/>
      <c r="H62" s="89"/>
      <c r="I62" s="89"/>
      <c r="J62" s="90"/>
    </row>
    <row r="63" spans="1:10" ht="63" customHeight="1">
      <c r="A63" s="88" t="s">
        <v>105</v>
      </c>
      <c r="B63" s="89"/>
      <c r="C63" s="90"/>
      <c r="D63" s="97" t="s">
        <v>106</v>
      </c>
      <c r="E63" s="89"/>
      <c r="F63" s="89"/>
      <c r="G63" s="89"/>
      <c r="H63" s="89"/>
      <c r="I63" s="89"/>
      <c r="J63" s="90"/>
    </row>
    <row r="64" spans="1:10" ht="60.75" customHeight="1">
      <c r="A64" s="88" t="s">
        <v>107</v>
      </c>
      <c r="B64" s="89"/>
      <c r="C64" s="90"/>
      <c r="D64" s="97" t="s">
        <v>106</v>
      </c>
      <c r="E64" s="98"/>
      <c r="F64" s="98"/>
      <c r="G64" s="98"/>
      <c r="H64" s="98"/>
      <c r="I64" s="98"/>
      <c r="J64" s="99"/>
    </row>
    <row r="65" spans="1:12" ht="30" customHeight="1">
      <c r="A65" s="200" t="s">
        <v>108</v>
      </c>
      <c r="B65" s="200"/>
      <c r="C65" s="200"/>
      <c r="D65" s="201" t="s">
        <v>109</v>
      </c>
      <c r="E65" s="98"/>
      <c r="F65" s="98"/>
      <c r="G65" s="98"/>
      <c r="H65" s="98"/>
      <c r="I65" s="98"/>
      <c r="J65" s="99"/>
    </row>
    <row r="66" spans="1:12" ht="33.75" customHeight="1">
      <c r="A66" s="88" t="s">
        <v>110</v>
      </c>
      <c r="B66" s="89"/>
      <c r="C66" s="90"/>
      <c r="D66" s="97" t="s">
        <v>111</v>
      </c>
      <c r="E66" s="98"/>
      <c r="F66" s="98"/>
      <c r="G66" s="98"/>
      <c r="H66" s="98"/>
      <c r="I66" s="98"/>
      <c r="J66" s="99"/>
    </row>
    <row r="67" spans="1:12">
      <c r="A67" s="88" t="s">
        <v>112</v>
      </c>
      <c r="B67" s="89"/>
      <c r="C67" s="90"/>
      <c r="D67" s="97" t="s">
        <v>113</v>
      </c>
      <c r="E67" s="98"/>
      <c r="F67" s="98"/>
      <c r="G67" s="98"/>
      <c r="H67" s="98"/>
      <c r="I67" s="98"/>
      <c r="J67" s="99"/>
    </row>
    <row r="68" spans="1:12">
      <c r="A68" s="88" t="s">
        <v>114</v>
      </c>
      <c r="B68" s="89"/>
      <c r="C68" s="90"/>
      <c r="D68" s="97" t="s">
        <v>54</v>
      </c>
      <c r="E68" s="98"/>
      <c r="F68" s="98"/>
      <c r="G68" s="98"/>
      <c r="H68" s="98"/>
      <c r="I68" s="98"/>
      <c r="J68" s="99"/>
    </row>
    <row r="69" spans="1:12">
      <c r="A69" s="88" t="s">
        <v>115</v>
      </c>
      <c r="B69" s="89"/>
      <c r="C69" s="90"/>
      <c r="D69" s="97" t="s">
        <v>47</v>
      </c>
      <c r="E69" s="98"/>
      <c r="F69" s="98"/>
      <c r="G69" s="98"/>
      <c r="H69" s="98"/>
      <c r="I69" s="98"/>
      <c r="J69" s="99"/>
    </row>
    <row r="70" spans="1:12">
      <c r="A70" s="88" t="s">
        <v>116</v>
      </c>
      <c r="B70" s="89"/>
      <c r="C70" s="90"/>
      <c r="D70" s="97" t="s">
        <v>117</v>
      </c>
      <c r="E70" s="98"/>
      <c r="F70" s="98"/>
      <c r="G70" s="98"/>
      <c r="H70" s="98"/>
      <c r="I70" s="98"/>
      <c r="J70" s="99"/>
    </row>
    <row r="71" spans="1:12" ht="30" customHeight="1">
      <c r="A71" s="69" t="s">
        <v>118</v>
      </c>
      <c r="B71" s="70"/>
      <c r="C71" s="71"/>
      <c r="D71" s="69" t="s">
        <v>119</v>
      </c>
      <c r="E71" s="70"/>
      <c r="F71" s="70"/>
      <c r="G71" s="70"/>
      <c r="H71" s="70"/>
      <c r="I71" s="70"/>
      <c r="J71" s="71"/>
    </row>
    <row r="72" spans="1:12" ht="31.5" customHeight="1">
      <c r="A72" s="193" t="s">
        <v>120</v>
      </c>
      <c r="B72" s="193"/>
      <c r="C72" s="193" t="s">
        <v>121</v>
      </c>
      <c r="D72" s="193"/>
      <c r="E72" s="193"/>
      <c r="F72" s="193"/>
      <c r="G72" s="193"/>
      <c r="H72" s="193"/>
      <c r="I72" s="193"/>
      <c r="J72" s="193"/>
      <c r="K72" s="51" t="str">
        <f>IF(D85=100%,"All work Completed. Possession granted to the Building.",IF(D84=100%,"All work Completed, Waiting for OC",K73&amp;""&amp;K74&amp;""&amp;L73&amp;""&amp;L72&amp;" "&amp;L74))</f>
        <v>All work Completed. Possession granted to the Building.</v>
      </c>
      <c r="L72" s="52" t="str">
        <f>(IF(C78=(D73+G73+I73),"",IF(C78&gt;0,", RCC upto "&amp;C78&amp;" Slab","")))&amp;(IF(C79=I73,"",IF(C79&gt;0,", Brickwork upto "&amp;C79&amp;" Floor","")))&amp;(IF(C80=I73,"",IF(C80&gt;0,", Internal Plaster upto "&amp;C80&amp;" Floor","")))&amp;(IF(C81=I73,"",IF(C81&gt;0,", External Plaster upto "&amp;C81&amp;" Floor","")))&amp;(IF(C82=I73,"",IF(C82&gt;0,", Flooring upto "&amp;C82&amp;" Floor","")))&amp;(IF(C83=I73,"",IF(C83&gt;0,", Painting upto "&amp;C83&amp;" Floor","")))&amp;(IF(C84=I73,"",IF(C84&gt;0,", Finishing upto "&amp;C84&amp;" Floor","")))&amp;(IF(C85=I73,"",IF(C85&gt;0,", Possession upto "&amp;C85&amp;" Floor","")))</f>
        <v/>
      </c>
    </row>
    <row r="73" spans="1:12" ht="15.75">
      <c r="A73" s="68" t="s">
        <v>122</v>
      </c>
      <c r="B73" s="68">
        <v>3</v>
      </c>
      <c r="C73" s="68" t="s">
        <v>123</v>
      </c>
      <c r="D73" s="192">
        <v>1</v>
      </c>
      <c r="E73" s="192"/>
      <c r="F73" s="68" t="s">
        <v>124</v>
      </c>
      <c r="G73" s="68">
        <v>0</v>
      </c>
      <c r="H73" s="68" t="s">
        <v>125</v>
      </c>
      <c r="I73" s="192">
        <v>63</v>
      </c>
      <c r="J73" s="192"/>
      <c r="K73" s="53" t="str">
        <f>IF(D76=100%,"Excavation","")&amp;IF(D77=100%,", Plinth","")&amp;IF(D78=100%,", RCC Slab","")&amp;IF(D79=100%,", Brickwork","")&amp;IF(D80=100%,", Internal Plaster","")&amp;IF(D81=100%,", External Plaster","")&amp;IF(D82=100%,", Flooring","")&amp;IF(D83=100%,", Painting","")&amp;IF(D84=100%,", Building common Amenities","")</f>
        <v>Excavation, Plinth, RCC Slab, Brickwork, Internal Plaster, External Plaster, Flooring, Painting, Building common Amenities</v>
      </c>
      <c r="L73" s="54" t="str">
        <f>(IF(C76=0,"Work not yet Started.",IF(D76=25%,"Piling work in process",IF(D76=50%,"Excavation work in process",IF(D76=100%,"","0")))))&amp;(IF(C77=0%,"",IF(C77=L78,", Footing work is process",IF(C77=L79,", Footing work Completed",IF(C77=L80,", 1st Basement Completed",IF(C77=L81,", 1st &amp; 2nd Basement Completed",IF(C77=L82,", 1st to 3rd Basement Completed",IF(C77=L83,", 1st to 4th Basement Completed",IF(C77=L84,", Plinth work is process",IF(C77=L85,"","0"))))))))))</f>
        <v/>
      </c>
    </row>
    <row r="74" spans="1:12" ht="15.75">
      <c r="A74" s="199" t="s">
        <v>126</v>
      </c>
      <c r="B74" s="199"/>
      <c r="C74" s="193" t="s">
        <v>127</v>
      </c>
      <c r="D74" s="193"/>
      <c r="E74" s="193"/>
      <c r="F74" s="193"/>
      <c r="G74" s="193"/>
      <c r="H74" s="193"/>
      <c r="I74" s="193"/>
      <c r="J74" s="193"/>
      <c r="K74" s="53" t="str">
        <f>IF(K73&lt;&gt;""," Completed","")</f>
        <v xml:space="preserve"> Completed</v>
      </c>
      <c r="L74" s="54" t="str">
        <f>IF(L72&lt;&gt;"","Completed","")</f>
        <v/>
      </c>
    </row>
    <row r="75" spans="1:12" ht="15.75">
      <c r="A75" s="176" t="s">
        <v>128</v>
      </c>
      <c r="B75" s="176"/>
      <c r="C75" s="67" t="s">
        <v>129</v>
      </c>
      <c r="D75" s="176" t="s">
        <v>130</v>
      </c>
      <c r="E75" s="176"/>
      <c r="F75" s="176" t="s">
        <v>131</v>
      </c>
      <c r="G75" s="176"/>
      <c r="H75" s="176" t="s">
        <v>132</v>
      </c>
      <c r="I75" s="176"/>
      <c r="J75" s="176"/>
      <c r="K75" s="55" t="s">
        <v>133</v>
      </c>
      <c r="L75" s="56">
        <f>I73*25%</f>
        <v>15.75</v>
      </c>
    </row>
    <row r="76" spans="1:12" ht="15.75">
      <c r="A76" s="176" t="s">
        <v>134</v>
      </c>
      <c r="B76" s="176"/>
      <c r="C76" s="47">
        <v>63</v>
      </c>
      <c r="D76" s="198">
        <f>((100/I73)*C76)/100</f>
        <v>1</v>
      </c>
      <c r="E76" s="198"/>
      <c r="F76" s="198">
        <f>(((C77/I73*10)+(40/(D73+G73+I73)*C78)+(7.5/(I73)*C79)+(7.5/(I73)*C80)+(10/I73*C81)+(10/I73*C82)+(5/I73*C83)+(5/I73*C84)+(5/I73*C85))/100)</f>
        <v>1</v>
      </c>
      <c r="G76" s="198"/>
      <c r="H76" s="198">
        <f>((((C76/I73)*20)+((C77/I73)*25)+(30/(I73+G73+D73)*C78)+(5/I73*C79)+(5/I73*C80)+(5/I73*C81)+(5/I73*C82)+(0/I73*C83)+(0/I73*C84)+(5/I73*C85))/100)</f>
        <v>1</v>
      </c>
      <c r="I76" s="198"/>
      <c r="J76" s="198"/>
      <c r="K76" s="55" t="s">
        <v>135</v>
      </c>
      <c r="L76" s="57">
        <f>I73*50%</f>
        <v>31.5</v>
      </c>
    </row>
    <row r="77" spans="1:12" ht="15.75">
      <c r="A77" s="176" t="s">
        <v>136</v>
      </c>
      <c r="B77" s="176"/>
      <c r="C77" s="48">
        <f>L85</f>
        <v>62.999999999999993</v>
      </c>
      <c r="D77" s="198">
        <f>((100/I73)*C77)/100</f>
        <v>0.99999999999999989</v>
      </c>
      <c r="E77" s="198"/>
      <c r="F77" s="198"/>
      <c r="G77" s="198"/>
      <c r="H77" s="198"/>
      <c r="I77" s="198"/>
      <c r="J77" s="198"/>
      <c r="K77" s="55" t="s">
        <v>137</v>
      </c>
      <c r="L77" s="57">
        <f>I73</f>
        <v>63</v>
      </c>
    </row>
    <row r="78" spans="1:12" ht="15.75">
      <c r="A78" s="176" t="s">
        <v>138</v>
      </c>
      <c r="B78" s="176"/>
      <c r="C78" s="48">
        <v>64</v>
      </c>
      <c r="D78" s="198">
        <f>((100/(D73+G73+I73))*C78)/100</f>
        <v>1</v>
      </c>
      <c r="E78" s="198"/>
      <c r="F78" s="198"/>
      <c r="G78" s="198"/>
      <c r="H78" s="198"/>
      <c r="I78" s="198"/>
      <c r="J78" s="198"/>
      <c r="K78" s="55" t="s">
        <v>139</v>
      </c>
      <c r="L78" s="58">
        <f>(IF(B73&gt;1,(I73/(B73+2)),I73/4))</f>
        <v>12.6</v>
      </c>
    </row>
    <row r="79" spans="1:12" ht="15.75">
      <c r="A79" s="176" t="s">
        <v>140</v>
      </c>
      <c r="B79" s="176" t="s">
        <v>141</v>
      </c>
      <c r="C79" s="47">
        <v>63</v>
      </c>
      <c r="D79" s="198">
        <f>((100/I73)*C79)/100</f>
        <v>1</v>
      </c>
      <c r="E79" s="198"/>
      <c r="F79" s="198"/>
      <c r="G79" s="198"/>
      <c r="H79" s="198"/>
      <c r="I79" s="198"/>
      <c r="J79" s="198"/>
      <c r="K79" s="55" t="s">
        <v>142</v>
      </c>
      <c r="L79" s="58">
        <f>(IF(B73&gt;1,(I73/(B73+2)+L78),I73/4+L78))</f>
        <v>25.2</v>
      </c>
    </row>
    <row r="80" spans="1:12" ht="15.75">
      <c r="A80" s="176" t="s">
        <v>143</v>
      </c>
      <c r="B80" s="176" t="s">
        <v>141</v>
      </c>
      <c r="C80" s="47">
        <v>63</v>
      </c>
      <c r="D80" s="198">
        <f>((100/I73)*C80)/100</f>
        <v>1</v>
      </c>
      <c r="E80" s="198"/>
      <c r="F80" s="198"/>
      <c r="G80" s="198"/>
      <c r="H80" s="198"/>
      <c r="I80" s="198"/>
      <c r="J80" s="198"/>
      <c r="K80" s="55" t="s">
        <v>144</v>
      </c>
      <c r="L80" s="58">
        <f>(IF(B73&gt;1,(I73/(B73+2)+L79),0))</f>
        <v>37.799999999999997</v>
      </c>
    </row>
    <row r="81" spans="1:12" ht="15.75">
      <c r="A81" s="192" t="s">
        <v>145</v>
      </c>
      <c r="B81" s="192" t="s">
        <v>146</v>
      </c>
      <c r="C81" s="47">
        <v>63</v>
      </c>
      <c r="D81" s="198">
        <f>((100/(I73))*C81)/100</f>
        <v>1</v>
      </c>
      <c r="E81" s="198"/>
      <c r="F81" s="198"/>
      <c r="G81" s="198"/>
      <c r="H81" s="198"/>
      <c r="I81" s="198"/>
      <c r="J81" s="198"/>
      <c r="K81" s="55" t="s">
        <v>147</v>
      </c>
      <c r="L81" s="58">
        <f>(IF(B73&gt;2,(I73/(B73+2)+L80),0))</f>
        <v>50.4</v>
      </c>
    </row>
    <row r="82" spans="1:12" ht="15.75">
      <c r="A82" s="176" t="s">
        <v>148</v>
      </c>
      <c r="B82" s="176" t="s">
        <v>148</v>
      </c>
      <c r="C82" s="47">
        <v>63</v>
      </c>
      <c r="D82" s="198">
        <f>((100/I73)*C82)/100</f>
        <v>1</v>
      </c>
      <c r="E82" s="198"/>
      <c r="F82" s="198"/>
      <c r="G82" s="198"/>
      <c r="H82" s="198"/>
      <c r="I82" s="198"/>
      <c r="J82" s="198"/>
      <c r="K82" s="55" t="s">
        <v>149</v>
      </c>
      <c r="L82" s="59">
        <f>(IF(B73&gt;3,(I73/(B73+2)+L81),0))</f>
        <v>0</v>
      </c>
    </row>
    <row r="83" spans="1:12" ht="15.75">
      <c r="A83" s="192" t="s">
        <v>150</v>
      </c>
      <c r="B83" s="192"/>
      <c r="C83" s="47">
        <v>63</v>
      </c>
      <c r="D83" s="198">
        <f>((100/I73)*C83)/100</f>
        <v>1</v>
      </c>
      <c r="E83" s="198"/>
      <c r="F83" s="198"/>
      <c r="G83" s="198"/>
      <c r="H83" s="198"/>
      <c r="I83" s="198"/>
      <c r="J83" s="198"/>
      <c r="K83" s="55" t="s">
        <v>151</v>
      </c>
      <c r="L83" s="58">
        <f>(IF(B73&gt;4,(I73/(B73+2)+L82),0))</f>
        <v>0</v>
      </c>
    </row>
    <row r="84" spans="1:12" ht="15.75">
      <c r="A84" s="176" t="s">
        <v>152</v>
      </c>
      <c r="B84" s="176" t="s">
        <v>152</v>
      </c>
      <c r="C84" s="47">
        <v>63</v>
      </c>
      <c r="D84" s="198">
        <f>((100/(I73))*C84)/100</f>
        <v>1</v>
      </c>
      <c r="E84" s="198"/>
      <c r="F84" s="198"/>
      <c r="G84" s="198"/>
      <c r="H84" s="198"/>
      <c r="I84" s="198"/>
      <c r="J84" s="198"/>
      <c r="K84" s="55" t="s">
        <v>153</v>
      </c>
      <c r="L84" s="58">
        <f>(IF(B73=1,(I73/(B73+3)+L79),IF(B73=0,(I73/4+L79),IF(B73&gt;1,0))))</f>
        <v>0</v>
      </c>
    </row>
    <row r="85" spans="1:12" ht="15.75">
      <c r="A85" s="176" t="s">
        <v>154</v>
      </c>
      <c r="B85" s="176"/>
      <c r="C85" s="47">
        <v>63</v>
      </c>
      <c r="D85" s="198">
        <f>((100/(I73))*C85)/100</f>
        <v>1</v>
      </c>
      <c r="E85" s="198"/>
      <c r="F85" s="198"/>
      <c r="G85" s="198"/>
      <c r="H85" s="198"/>
      <c r="I85" s="198"/>
      <c r="J85" s="198"/>
      <c r="K85" s="60" t="s">
        <v>155</v>
      </c>
      <c r="L85" s="61">
        <f>(IF(B73&gt;1.5,(I73/(B73+2)+L79+MAX(0,L80-L79)+MAX(0,L81-L80)+MAX(0,L82-L81)+MAX(0,L83-L82)+MAX(0,L84-L83)),IF(B73=1,(I73/(B73+3)+L84),IF(B73=0,I73/4+L84))))</f>
        <v>62.999999999999993</v>
      </c>
    </row>
    <row r="86" spans="1:12" ht="19.5" hidden="1" customHeight="1">
      <c r="A86" s="193" t="s">
        <v>120</v>
      </c>
      <c r="B86" s="193"/>
      <c r="C86" s="193" t="s">
        <v>156</v>
      </c>
      <c r="D86" s="193"/>
      <c r="E86" s="193"/>
      <c r="F86" s="193"/>
      <c r="G86" s="193"/>
      <c r="H86" s="193"/>
      <c r="I86" s="193"/>
      <c r="J86" s="193"/>
      <c r="K86" s="51" t="str">
        <f ca="1">IF(D99=100%,"All work Completed. Possession granted to the Building.",IF(D98=100%,"All work Completed, Waiting for OC",K87&amp;""&amp;K88&amp;""&amp;L87&amp;""&amp;L86&amp;" "&amp;L88))</f>
        <v>Excavation, Plinth, RCC Slab, Brickwork, Internal Plaster, External Plaster, Flooring Completed, Painting upto 60 Floor, Finishing upto 60 Floor Completed</v>
      </c>
      <c r="L86" s="52" t="str">
        <f ca="1">(IF(C92=(D87+G87+I87),"",IF(C92&gt;0,", RCC upto "&amp;C92&amp;" Slab","")))&amp;(IF(C93=I87,"",IF(C93&gt;0,", Brickwork upto "&amp;C93&amp;" Floor","")))&amp;(IF(C94=I87,"",IF(C94&gt;0,", Internal Plaster upto "&amp;C94&amp;" Floor","")))&amp;(IF(C95=I87,"",IF(C95&gt;0,", External Plaster upto "&amp;C95&amp;" Floor","")))&amp;(IF(C96=I87,"",IF(C96&gt;0,", Flooring upto "&amp;C96&amp;" Floor","")))&amp;(IF(C97=I87,"",IF(C97&gt;0,", Painting upto "&amp;C97&amp;" Floor","")))&amp;(IF(C98=I87,"",IF(C98&gt;0,", Finishing upto "&amp;C98&amp;" Floor","")))&amp;(IF(C99=I87,"",IF(C99&gt;0,", Possession upto "&amp;C99&amp;" Floor","")))</f>
        <v>, Painting upto 60 Floor, Finishing upto 60 Floor</v>
      </c>
    </row>
    <row r="87" spans="1:12" ht="15.75" hidden="1">
      <c r="A87" s="68" t="s">
        <v>122</v>
      </c>
      <c r="B87" s="68">
        <v>3</v>
      </c>
      <c r="C87" s="68" t="s">
        <v>123</v>
      </c>
      <c r="D87" s="192">
        <v>1</v>
      </c>
      <c r="E87" s="192"/>
      <c r="F87" s="68" t="s">
        <v>124</v>
      </c>
      <c r="G87" s="68">
        <v>0</v>
      </c>
      <c r="H87" s="68" t="s">
        <v>125</v>
      </c>
      <c r="I87" s="192">
        <f ca="1">--TRIM(RIGHT(SUBSTITUTE(LEFT(C86,_xlfn.AGGREGATE(16,6,FIND({0,1,2,3,4,5,6,7,8,9},C86,ROW(INDIRECT("1:"&amp;LEN(C86)))),1))," ",REPT(" ",LEN(C86))),LEN(C86)))</f>
        <v>63</v>
      </c>
      <c r="J87" s="192"/>
      <c r="K87" s="53" t="str">
        <f ca="1">IF(D90=100%,"Excavation","")&amp;IF(D91=100%,", Plinth","")&amp;IF(D92=100%,", RCC Slab","")&amp;IF(D93=100%,", Brickwork","")&amp;IF(D94=100%,", Internal Plaster","")&amp;IF(D95=100%,", External Plaster","")&amp;IF(D96=100%,", Flooring","")&amp;IF(D97=100%,", Painting","")&amp;IF(D98=100%,", Building common Amenities","")</f>
        <v>Excavation, Plinth, RCC Slab, Brickwork, Internal Plaster, External Plaster, Flooring</v>
      </c>
      <c r="L87" s="54" t="str">
        <f ca="1">(IF(C90=0,"Work not yet Started.",IF(D90=25%,"Piling work in process",IF(D90=50%,"Excavation work in process",IF(D90=100%,"","0")))))&amp;(IF(C91=0%,"",IF(C91=L92,", Footing work is process",IF(C91=L93,", Footing work Completed",IF(C91=L94,", 1st Basement Completed",IF(C91=L95,", 1st &amp; 2nd Basement Completed",IF(C91=L96,", 1st to 3rd Basement Completed",IF(C91=L97,", 1st to 4th Basement Completed",IF(C91=L98,", Plinth work is process",IF(C91=L99,"","0"))))))))))</f>
        <v/>
      </c>
    </row>
    <row r="88" spans="1:12" ht="15.75" hidden="1">
      <c r="A88" s="199" t="s">
        <v>126</v>
      </c>
      <c r="B88" s="199"/>
      <c r="C88" s="193" t="s">
        <v>157</v>
      </c>
      <c r="D88" s="193"/>
      <c r="E88" s="193"/>
      <c r="F88" s="193"/>
      <c r="G88" s="193"/>
      <c r="H88" s="193"/>
      <c r="I88" s="193"/>
      <c r="J88" s="193"/>
      <c r="K88" s="53" t="str">
        <f ca="1">IF(K87&lt;&gt;""," Completed","")</f>
        <v xml:space="preserve"> Completed</v>
      </c>
      <c r="L88" s="54" t="str">
        <f ca="1">IF(L86&lt;&gt;"","Completed","")</f>
        <v>Completed</v>
      </c>
    </row>
    <row r="89" spans="1:12" ht="15.75" hidden="1">
      <c r="A89" s="176" t="s">
        <v>128</v>
      </c>
      <c r="B89" s="176"/>
      <c r="C89" s="67" t="s">
        <v>129</v>
      </c>
      <c r="D89" s="176" t="s">
        <v>130</v>
      </c>
      <c r="E89" s="176"/>
      <c r="F89" s="176" t="s">
        <v>131</v>
      </c>
      <c r="G89" s="176"/>
      <c r="H89" s="176" t="s">
        <v>132</v>
      </c>
      <c r="I89" s="176"/>
      <c r="J89" s="176"/>
      <c r="K89" s="55" t="s">
        <v>133</v>
      </c>
      <c r="L89" s="56">
        <f ca="1">I87*25%</f>
        <v>15.75</v>
      </c>
    </row>
    <row r="90" spans="1:12" ht="15.75" hidden="1">
      <c r="A90" s="176" t="s">
        <v>134</v>
      </c>
      <c r="B90" s="176"/>
      <c r="C90" s="47">
        <v>63</v>
      </c>
      <c r="D90" s="198">
        <f ca="1">((100/I87)*C90)/100</f>
        <v>1</v>
      </c>
      <c r="E90" s="198"/>
      <c r="F90" s="198">
        <f ca="1">(((C91/I87*10)+(40/(D87+G87+I87)*C92)+(7.5/(I87)*C93)+(7.5/(I87)*C94)+(10/I87*C95)+(10/I87*C96)+(5/I87*C97)+(5/I87*C98)+(5/I87*C99))/100)</f>
        <v>0.94523809523809521</v>
      </c>
      <c r="G90" s="198"/>
      <c r="H90" s="198">
        <f ca="1">((((C90/I87)*20)+((C91/I87)*25)+(30/(I87+G87+D87)*C92)+(5/I87*C93)+(5/I87*C94)+(5/I87*C95)+(5/I87*C96)+(0/I87*C97)+(0/I87*C98)+(5/I87*C99))/100)</f>
        <v>0.95</v>
      </c>
      <c r="I90" s="198"/>
      <c r="J90" s="198"/>
      <c r="K90" s="55" t="s">
        <v>135</v>
      </c>
      <c r="L90" s="57">
        <f ca="1">I87*50%</f>
        <v>31.5</v>
      </c>
    </row>
    <row r="91" spans="1:12" ht="15.75" hidden="1">
      <c r="A91" s="176" t="s">
        <v>136</v>
      </c>
      <c r="B91" s="176"/>
      <c r="C91" s="48">
        <f ca="1">L99</f>
        <v>62.999999999999993</v>
      </c>
      <c r="D91" s="198">
        <f ca="1">((100/I87)*C91)/100</f>
        <v>0.99999999999999989</v>
      </c>
      <c r="E91" s="198"/>
      <c r="F91" s="198"/>
      <c r="G91" s="198"/>
      <c r="H91" s="198"/>
      <c r="I91" s="198"/>
      <c r="J91" s="198"/>
      <c r="K91" s="55" t="s">
        <v>137</v>
      </c>
      <c r="L91" s="57">
        <f ca="1">I87</f>
        <v>63</v>
      </c>
    </row>
    <row r="92" spans="1:12" ht="15.75" hidden="1">
      <c r="A92" s="176" t="s">
        <v>138</v>
      </c>
      <c r="B92" s="176"/>
      <c r="C92" s="48">
        <v>64</v>
      </c>
      <c r="D92" s="198">
        <f ca="1">((100/(D87+G87+I87))*C92)/100</f>
        <v>1</v>
      </c>
      <c r="E92" s="198"/>
      <c r="F92" s="198"/>
      <c r="G92" s="198"/>
      <c r="H92" s="198"/>
      <c r="I92" s="198"/>
      <c r="J92" s="198"/>
      <c r="K92" s="55" t="s">
        <v>139</v>
      </c>
      <c r="L92" s="58">
        <f ca="1">(IF(B87&gt;1,(I87/(B87+2)),I87/4))</f>
        <v>12.6</v>
      </c>
    </row>
    <row r="93" spans="1:12" ht="15.75" hidden="1">
      <c r="A93" s="176" t="s">
        <v>140</v>
      </c>
      <c r="B93" s="176" t="s">
        <v>141</v>
      </c>
      <c r="C93" s="47">
        <v>63</v>
      </c>
      <c r="D93" s="198">
        <f ca="1">((100/I87)*C93)/100</f>
        <v>1</v>
      </c>
      <c r="E93" s="198"/>
      <c r="F93" s="198"/>
      <c r="G93" s="198"/>
      <c r="H93" s="198"/>
      <c r="I93" s="198"/>
      <c r="J93" s="198"/>
      <c r="K93" s="55" t="s">
        <v>142</v>
      </c>
      <c r="L93" s="58">
        <f ca="1">(IF(B87&gt;1,(I87/(B87+2)+L92),I87/4+L92))</f>
        <v>25.2</v>
      </c>
    </row>
    <row r="94" spans="1:12" ht="15.75" hidden="1">
      <c r="A94" s="176" t="s">
        <v>143</v>
      </c>
      <c r="B94" s="176" t="s">
        <v>141</v>
      </c>
      <c r="C94" s="47">
        <v>63</v>
      </c>
      <c r="D94" s="198">
        <f ca="1">((100/I87)*C94)/100</f>
        <v>1</v>
      </c>
      <c r="E94" s="198"/>
      <c r="F94" s="198"/>
      <c r="G94" s="198"/>
      <c r="H94" s="198"/>
      <c r="I94" s="198"/>
      <c r="J94" s="198"/>
      <c r="K94" s="55" t="s">
        <v>144</v>
      </c>
      <c r="L94" s="58">
        <f ca="1">(IF(B87&gt;1,(I87/(B87+2)+L93),0))</f>
        <v>37.799999999999997</v>
      </c>
    </row>
    <row r="95" spans="1:12" ht="15.75" hidden="1" customHeight="1">
      <c r="A95" s="176" t="s">
        <v>145</v>
      </c>
      <c r="B95" s="176" t="s">
        <v>146</v>
      </c>
      <c r="C95" s="47">
        <v>63</v>
      </c>
      <c r="D95" s="198">
        <f ca="1">((100/(I87))*C95)/100</f>
        <v>1</v>
      </c>
      <c r="E95" s="198"/>
      <c r="F95" s="198"/>
      <c r="G95" s="198"/>
      <c r="H95" s="198"/>
      <c r="I95" s="198"/>
      <c r="J95" s="198"/>
      <c r="K95" s="55" t="s">
        <v>147</v>
      </c>
      <c r="L95" s="58">
        <f ca="1">(IF(B87&gt;2,(I87/(B87+2)+L94),0))</f>
        <v>50.4</v>
      </c>
    </row>
    <row r="96" spans="1:12" ht="15.75" hidden="1">
      <c r="A96" s="176" t="s">
        <v>148</v>
      </c>
      <c r="B96" s="176" t="s">
        <v>148</v>
      </c>
      <c r="C96" s="47">
        <v>63</v>
      </c>
      <c r="D96" s="198">
        <f ca="1">((100/I87)*C96)/100</f>
        <v>1</v>
      </c>
      <c r="E96" s="198"/>
      <c r="F96" s="198"/>
      <c r="G96" s="198"/>
      <c r="H96" s="198"/>
      <c r="I96" s="198"/>
      <c r="J96" s="198"/>
      <c r="K96" s="55" t="s">
        <v>149</v>
      </c>
      <c r="L96" s="59">
        <f>(IF(B87&gt;3,(I87/(B87+2)+L95),0))</f>
        <v>0</v>
      </c>
    </row>
    <row r="97" spans="1:12" ht="15.75" hidden="1">
      <c r="A97" s="176" t="s">
        <v>150</v>
      </c>
      <c r="B97" s="176"/>
      <c r="C97" s="47">
        <v>60</v>
      </c>
      <c r="D97" s="198">
        <f ca="1">((100/I87)*C97)/100</f>
        <v>0.95238095238095222</v>
      </c>
      <c r="E97" s="198"/>
      <c r="F97" s="198"/>
      <c r="G97" s="198"/>
      <c r="H97" s="198"/>
      <c r="I97" s="198"/>
      <c r="J97" s="198"/>
      <c r="K97" s="55" t="s">
        <v>151</v>
      </c>
      <c r="L97" s="58">
        <f>(IF(B87&gt;4,(I87/(B87+2)+L96),0))</f>
        <v>0</v>
      </c>
    </row>
    <row r="98" spans="1:12" ht="15.75" hidden="1">
      <c r="A98" s="176" t="s">
        <v>152</v>
      </c>
      <c r="B98" s="176" t="s">
        <v>152</v>
      </c>
      <c r="C98" s="47">
        <v>60</v>
      </c>
      <c r="D98" s="198">
        <f ca="1">((100/(I87))*C98)/100</f>
        <v>0.95238095238095222</v>
      </c>
      <c r="E98" s="198"/>
      <c r="F98" s="198"/>
      <c r="G98" s="198"/>
      <c r="H98" s="198"/>
      <c r="I98" s="198"/>
      <c r="J98" s="198"/>
      <c r="K98" s="55" t="s">
        <v>153</v>
      </c>
      <c r="L98" s="58">
        <f>(IF(B87=1,(I87/(B87+3)+L93),IF(B87=0,(I87/4+L93),IF(B87&gt;1,0))))</f>
        <v>0</v>
      </c>
    </row>
    <row r="99" spans="1:12" ht="15.75" hidden="1">
      <c r="A99" s="176" t="s">
        <v>154</v>
      </c>
      <c r="B99" s="176"/>
      <c r="C99" s="47">
        <v>0</v>
      </c>
      <c r="D99" s="198">
        <f ca="1">((100/(I87))*C99)/100</f>
        <v>0</v>
      </c>
      <c r="E99" s="198"/>
      <c r="F99" s="198"/>
      <c r="G99" s="198"/>
      <c r="H99" s="198"/>
      <c r="I99" s="198"/>
      <c r="J99" s="198"/>
      <c r="K99" s="60" t="s">
        <v>155</v>
      </c>
      <c r="L99" s="61">
        <f ca="1">(IF(B87&gt;1.5,(I87/(B87+2)+L93+MAX(0,L94-L93)+MAX(0,L95-L94)+MAX(0,L96-L95)+MAX(0,L97-L96)+MAX(0,L98-L97)),IF(B87=1,(I87/(B87+3)+L98),IF(B87=0,I87/4+L98))))</f>
        <v>62.999999999999993</v>
      </c>
    </row>
    <row r="100" spans="1:12" ht="34.5" customHeight="1">
      <c r="A100" s="193" t="s">
        <v>120</v>
      </c>
      <c r="B100" s="193"/>
      <c r="C100" s="193" t="s">
        <v>158</v>
      </c>
      <c r="D100" s="193"/>
      <c r="E100" s="193"/>
      <c r="F100" s="193"/>
      <c r="G100" s="193"/>
      <c r="H100" s="193"/>
      <c r="I100" s="193"/>
      <c r="J100" s="193"/>
      <c r="K100" s="51" t="str">
        <f ca="1">IF(D113=100%,"All work Completed. Possession granted to the Building.",IF(D112=100%,"All work Completed, Waiting for OC",K101&amp;""&amp;K102&amp;""&amp;L101&amp;""&amp;L100&amp;" "&amp;L102))</f>
        <v>Excavation, Plinth, RCC Slab, Brickwork Completed, Internal Plaster upto 54 Floor, External Plaster upto 28 Floor, Flooring upto 24 Floor, Painting upto 12 Floor, Finishing upto 12 Floor, Possession upto 12 Floor Completed</v>
      </c>
      <c r="L100" s="52" t="str">
        <f ca="1">(IF(C106=(D101+G101+I101),"",IF(C106&gt;0,", RCC upto "&amp;C106&amp;" Slab","")))&amp;(IF(C107=I101,"",IF(C107&gt;0,", Brickwork upto "&amp;C107&amp;" Floor","")))&amp;(IF(C108=I101,"",IF(C108&gt;0,", Internal Plaster upto "&amp;C108&amp;" Floor","")))&amp;(IF(C109=I101,"",IF(C109&gt;0,", External Plaster upto "&amp;C109&amp;" Floor","")))&amp;(IF(C110=I101,"",IF(C110&gt;0,", Flooring upto "&amp;C110&amp;" Floor","")))&amp;(IF(C111=I101,"",IF(C111&gt;0,", Painting upto "&amp;C111&amp;" Floor","")))&amp;(IF(C112=I101,"",IF(C112&gt;0,", Finishing upto "&amp;C112&amp;" Floor","")))&amp;(IF(C113=I101,"",IF(C113&gt;0,", Possession upto "&amp;C113&amp;" Floor","")))</f>
        <v>, Internal Plaster upto 54 Floor, External Plaster upto 28 Floor, Flooring upto 24 Floor, Painting upto 12 Floor, Finishing upto 12 Floor, Possession upto 12 Floor</v>
      </c>
    </row>
    <row r="101" spans="1:12" ht="15.75">
      <c r="A101" s="68" t="s">
        <v>122</v>
      </c>
      <c r="B101" s="68">
        <v>3</v>
      </c>
      <c r="C101" s="68" t="s">
        <v>123</v>
      </c>
      <c r="D101" s="192">
        <v>1</v>
      </c>
      <c r="E101" s="192"/>
      <c r="F101" s="68" t="s">
        <v>124</v>
      </c>
      <c r="G101" s="68">
        <v>0</v>
      </c>
      <c r="H101" s="68" t="s">
        <v>125</v>
      </c>
      <c r="I101" s="192">
        <f ca="1">--TRIM(RIGHT(SUBSTITUTE(LEFT(C100,_xlfn.AGGREGATE(16,6,FIND({0,1,2,3,4,5,6,7,8,9},C100,ROW(INDIRECT("1:"&amp;LEN(C100)))),1))," ",REPT(" ",LEN(C100))),LEN(C100)))</f>
        <v>65</v>
      </c>
      <c r="J101" s="192"/>
      <c r="K101" s="53" t="str">
        <f ca="1">IF(D104=100%,"Excavation","")&amp;IF(D105=100%,", Plinth","")&amp;IF(D106=100%,", RCC Slab","")&amp;IF(D107=100%,", Brickwork","")&amp;IF(D108=100%,", Internal Plaster","")&amp;IF(D109=100%,", External Plaster","")&amp;IF(D110=100%,", Flooring","")&amp;IF(D111=100%,", Painting","")&amp;IF(D112=100%,", Building common Amenities","")</f>
        <v>Excavation, Plinth, RCC Slab, Brickwork</v>
      </c>
      <c r="L101" s="54" t="str">
        <f ca="1">(IF(C104=0,"Work not yet Started.",IF(D104=25%,"Piling work in process",IF(D104=50%,"Excavation work in process",IF(D104=100%,"","0")))))&amp;(IF(C105=0%,"",IF(C105=L106,", Footing work is process",IF(C105=L107,", Footing work Completed",IF(C105=L108,", 1st Basement Completed",IF(C105=L109,", 1st &amp; 2nd Basement Completed",IF(C105=L110,", 1st to 3rd Basement Completed",IF(C105=L111,", 1st to 4th Basement Completed",IF(C105=L112,", Plinth work is process",IF(C105=L113,"","0"))))))))))</f>
        <v/>
      </c>
    </row>
    <row r="102" spans="1:12" ht="50.1" customHeight="1">
      <c r="A102" s="193" t="s">
        <v>126</v>
      </c>
      <c r="B102" s="193"/>
      <c r="C102" s="193" t="str">
        <f ca="1">K100</f>
        <v>Excavation, Plinth, RCC Slab, Brickwork Completed, Internal Plaster upto 54 Floor, External Plaster upto 28 Floor, Flooring upto 24 Floor, Painting upto 12 Floor, Finishing upto 12 Floor, Possession upto 12 Floor Completed</v>
      </c>
      <c r="D102" s="193"/>
      <c r="E102" s="193"/>
      <c r="F102" s="193"/>
      <c r="G102" s="193"/>
      <c r="H102" s="193"/>
      <c r="I102" s="193"/>
      <c r="J102" s="193"/>
      <c r="K102" s="53" t="str">
        <f ca="1">IF(K101&lt;&gt;""," Completed","")</f>
        <v xml:space="preserve"> Completed</v>
      </c>
      <c r="L102" s="54" t="str">
        <f ca="1">IF(L100&lt;&gt;"","Completed","")</f>
        <v>Completed</v>
      </c>
    </row>
    <row r="103" spans="1:12" ht="15.75">
      <c r="A103" s="175" t="s">
        <v>128</v>
      </c>
      <c r="B103" s="176"/>
      <c r="C103" s="46" t="s">
        <v>129</v>
      </c>
      <c r="D103" s="194" t="s">
        <v>130</v>
      </c>
      <c r="E103" s="195"/>
      <c r="F103" s="194" t="s">
        <v>131</v>
      </c>
      <c r="G103" s="195"/>
      <c r="H103" s="194" t="s">
        <v>132</v>
      </c>
      <c r="I103" s="196"/>
      <c r="J103" s="197"/>
      <c r="K103" s="55" t="s">
        <v>133</v>
      </c>
      <c r="L103" s="56">
        <f ca="1">I101*25%</f>
        <v>16.25</v>
      </c>
    </row>
    <row r="104" spans="1:12" ht="15.75">
      <c r="A104" s="175" t="s">
        <v>134</v>
      </c>
      <c r="B104" s="176"/>
      <c r="C104" s="47">
        <f ca="1">I101</f>
        <v>65</v>
      </c>
      <c r="D104" s="177">
        <f ca="1">((100/I101)*C104)/100</f>
        <v>1</v>
      </c>
      <c r="E104" s="178"/>
      <c r="F104" s="177">
        <f ca="1">(((C105/I101*10)+(40/(D101+G101+I101)*C106)+(7.5/(I101)*C107)+(7.5/(I101)*C108)+(10/I101*C109)+(10/I101*C110)+(5/I101*C111)+(5/I101*C112)+(5/I101*C113))/100)</f>
        <v>0.745</v>
      </c>
      <c r="G104" s="178"/>
      <c r="H104" s="177">
        <f ca="1">((((C104/I101)*20)+((C105/I101)*25)+(30/(I101+G101+D101)*C106)+(5/I101*C107)+(5/I101*C108)+(5/I101*C109)+(5/I101*C110)+(0/I101*C111)+(0/I101*C112)+(5/I101*C113))/100)</f>
        <v>0.89076923076923076</v>
      </c>
      <c r="I104" s="185"/>
      <c r="J104" s="186"/>
      <c r="K104" s="55" t="s">
        <v>135</v>
      </c>
      <c r="L104" s="57">
        <f ca="1">I101*50%</f>
        <v>32.5</v>
      </c>
    </row>
    <row r="105" spans="1:12" ht="15.75">
      <c r="A105" s="175" t="s">
        <v>136</v>
      </c>
      <c r="B105" s="176"/>
      <c r="C105" s="48">
        <f ca="1">L113</f>
        <v>65</v>
      </c>
      <c r="D105" s="177">
        <f ca="1">((100/I101)*C105)/100</f>
        <v>1</v>
      </c>
      <c r="E105" s="178"/>
      <c r="F105" s="181"/>
      <c r="G105" s="182"/>
      <c r="H105" s="181"/>
      <c r="I105" s="187"/>
      <c r="J105" s="188"/>
      <c r="K105" s="55" t="s">
        <v>137</v>
      </c>
      <c r="L105" s="57">
        <f ca="1">I101</f>
        <v>65</v>
      </c>
    </row>
    <row r="106" spans="1:12" ht="15.75">
      <c r="A106" s="175" t="s">
        <v>138</v>
      </c>
      <c r="B106" s="176"/>
      <c r="C106" s="48">
        <v>66</v>
      </c>
      <c r="D106" s="177">
        <f ca="1">((100/(D101+G101+I101))*C106)/100</f>
        <v>1</v>
      </c>
      <c r="E106" s="178"/>
      <c r="F106" s="181"/>
      <c r="G106" s="182"/>
      <c r="H106" s="181"/>
      <c r="I106" s="187"/>
      <c r="J106" s="188"/>
      <c r="K106" s="55" t="s">
        <v>139</v>
      </c>
      <c r="L106" s="58">
        <f ca="1">(IF(B101&gt;1,(I101/(B101+2)),I101/4))</f>
        <v>13</v>
      </c>
    </row>
    <row r="107" spans="1:12" ht="15.75">
      <c r="A107" s="175" t="s">
        <v>140</v>
      </c>
      <c r="B107" s="176" t="s">
        <v>141</v>
      </c>
      <c r="C107" s="48">
        <f>C106-D101</f>
        <v>65</v>
      </c>
      <c r="D107" s="177">
        <f ca="1">((100/I101)*C107)/100</f>
        <v>1</v>
      </c>
      <c r="E107" s="178"/>
      <c r="F107" s="181"/>
      <c r="G107" s="182"/>
      <c r="H107" s="181"/>
      <c r="I107" s="187"/>
      <c r="J107" s="188"/>
      <c r="K107" s="55" t="s">
        <v>142</v>
      </c>
      <c r="L107" s="58">
        <f ca="1">(IF(B101&gt;1,(I101/(B101+2)+L106),I101/4+L106))</f>
        <v>26</v>
      </c>
    </row>
    <row r="108" spans="1:12" ht="15.75">
      <c r="A108" s="175" t="s">
        <v>143</v>
      </c>
      <c r="B108" s="176" t="s">
        <v>141</v>
      </c>
      <c r="C108" s="48">
        <v>54</v>
      </c>
      <c r="D108" s="177">
        <f ca="1">((100/I101)*C108)/100</f>
        <v>0.83076923076923082</v>
      </c>
      <c r="E108" s="178"/>
      <c r="F108" s="181"/>
      <c r="G108" s="182"/>
      <c r="H108" s="181"/>
      <c r="I108" s="187"/>
      <c r="J108" s="188"/>
      <c r="K108" s="55" t="s">
        <v>144</v>
      </c>
      <c r="L108" s="58">
        <f ca="1">(IF(B101&gt;1,(I101/(B101+2)+L107),0))</f>
        <v>39</v>
      </c>
    </row>
    <row r="109" spans="1:12" ht="15.75" customHeight="1">
      <c r="A109" s="191" t="s">
        <v>145</v>
      </c>
      <c r="B109" s="192" t="s">
        <v>146</v>
      </c>
      <c r="C109" s="48">
        <v>28</v>
      </c>
      <c r="D109" s="177">
        <f ca="1">((100/(I101))*C109)/100</f>
        <v>0.43076923076923079</v>
      </c>
      <c r="E109" s="178"/>
      <c r="F109" s="181"/>
      <c r="G109" s="182"/>
      <c r="H109" s="181"/>
      <c r="I109" s="187"/>
      <c r="J109" s="188"/>
      <c r="K109" s="55" t="s">
        <v>147</v>
      </c>
      <c r="L109" s="58">
        <f ca="1">(IF(B101&gt;2,(I101/(B101+2)+L108),0))</f>
        <v>52</v>
      </c>
    </row>
    <row r="110" spans="1:12" ht="15.75">
      <c r="A110" s="175" t="s">
        <v>148</v>
      </c>
      <c r="B110" s="176" t="s">
        <v>148</v>
      </c>
      <c r="C110" s="47">
        <v>24</v>
      </c>
      <c r="D110" s="177">
        <f ca="1">((100/I101)*C110)/100</f>
        <v>0.36923076923076925</v>
      </c>
      <c r="E110" s="178"/>
      <c r="F110" s="181"/>
      <c r="G110" s="182"/>
      <c r="H110" s="181"/>
      <c r="I110" s="187"/>
      <c r="J110" s="188"/>
      <c r="K110" s="55" t="s">
        <v>149</v>
      </c>
      <c r="L110" s="59">
        <f>(IF(B101&gt;3,(I101/(B101+2)+L109),0))</f>
        <v>0</v>
      </c>
    </row>
    <row r="111" spans="1:12" ht="15.75">
      <c r="A111" s="191" t="s">
        <v>150</v>
      </c>
      <c r="B111" s="192"/>
      <c r="C111" s="47">
        <v>12</v>
      </c>
      <c r="D111" s="177">
        <f ca="1">((100/I101)*C111)/100</f>
        <v>0.18461538461538463</v>
      </c>
      <c r="E111" s="178"/>
      <c r="F111" s="181"/>
      <c r="G111" s="182"/>
      <c r="H111" s="181"/>
      <c r="I111" s="187"/>
      <c r="J111" s="188"/>
      <c r="K111" s="55" t="s">
        <v>151</v>
      </c>
      <c r="L111" s="58">
        <f>(IF(B101&gt;4,(I101/(B101+2)+L110),0))</f>
        <v>0</v>
      </c>
    </row>
    <row r="112" spans="1:12" ht="15.75">
      <c r="A112" s="191" t="s">
        <v>152</v>
      </c>
      <c r="B112" s="192" t="s">
        <v>152</v>
      </c>
      <c r="C112" s="47">
        <v>12</v>
      </c>
      <c r="D112" s="177">
        <f ca="1">((100/(I101))*C112)/100</f>
        <v>0.18461538461538463</v>
      </c>
      <c r="E112" s="178"/>
      <c r="F112" s="181"/>
      <c r="G112" s="182"/>
      <c r="H112" s="181"/>
      <c r="I112" s="187"/>
      <c r="J112" s="188"/>
      <c r="K112" s="55" t="s">
        <v>153</v>
      </c>
      <c r="L112" s="58">
        <f>(IF(B101=1,(I101/(B101+3)+L107),IF(B101=0,(I101/4+L107),IF(B101&gt;1,0))))</f>
        <v>0</v>
      </c>
    </row>
    <row r="113" spans="1:17" ht="15.75">
      <c r="A113" s="283" t="s">
        <v>154</v>
      </c>
      <c r="B113" s="284"/>
      <c r="C113" s="49">
        <v>12</v>
      </c>
      <c r="D113" s="179">
        <f ca="1">((100/(I101))*C113)/100</f>
        <v>0.18461538461538463</v>
      </c>
      <c r="E113" s="180"/>
      <c r="F113" s="183"/>
      <c r="G113" s="184"/>
      <c r="H113" s="183"/>
      <c r="I113" s="189"/>
      <c r="J113" s="190"/>
      <c r="K113" s="60" t="s">
        <v>155</v>
      </c>
      <c r="L113" s="61">
        <f ca="1">(IF(B101&gt;1.5,(I101/(B101+2)+L107+MAX(0,L108-L107)+MAX(0,L109-L108)+MAX(0,L110-L109)+MAX(0,L111-L110)+MAX(0,L112-L111)),IF(B101=1,(I101/(B101+3)+L112),IF(B101=0,I101/4+L112))))</f>
        <v>65</v>
      </c>
    </row>
    <row r="114" spans="1:17">
      <c r="A114" s="166" t="s">
        <v>159</v>
      </c>
      <c r="B114" s="167"/>
      <c r="C114" s="167"/>
      <c r="D114" s="167"/>
      <c r="E114" s="167"/>
      <c r="F114" s="167"/>
      <c r="G114" s="167"/>
      <c r="H114" s="167"/>
      <c r="I114" s="167"/>
      <c r="J114" s="168"/>
    </row>
    <row r="115" spans="1:17">
      <c r="A115" s="88" t="s">
        <v>160</v>
      </c>
      <c r="B115" s="89"/>
      <c r="C115" s="89"/>
      <c r="D115" s="89"/>
      <c r="E115" s="89"/>
      <c r="F115" s="90"/>
      <c r="G115" s="172">
        <v>55000</v>
      </c>
      <c r="H115" s="173"/>
      <c r="I115" s="173"/>
      <c r="J115" s="174"/>
      <c r="L115" s="62" t="s">
        <v>161</v>
      </c>
      <c r="M115" s="62"/>
      <c r="N115" s="62"/>
      <c r="O115" s="62" t="s">
        <v>162</v>
      </c>
      <c r="P115" s="62" t="s">
        <v>163</v>
      </c>
      <c r="Q115" s="65">
        <v>45117</v>
      </c>
    </row>
    <row r="116" spans="1:17">
      <c r="A116" s="88" t="s">
        <v>164</v>
      </c>
      <c r="B116" s="89"/>
      <c r="C116" s="89"/>
      <c r="D116" s="89"/>
      <c r="E116" s="89"/>
      <c r="F116" s="90"/>
      <c r="G116" s="165">
        <v>200</v>
      </c>
      <c r="H116" s="163"/>
      <c r="I116" s="163"/>
      <c r="J116" s="164"/>
    </row>
    <row r="117" spans="1:17" hidden="1">
      <c r="A117" s="88" t="s">
        <v>165</v>
      </c>
      <c r="B117" s="89"/>
      <c r="C117" s="89"/>
      <c r="D117" s="89"/>
      <c r="E117" s="89"/>
      <c r="F117" s="90"/>
      <c r="G117" s="165" t="s">
        <v>54</v>
      </c>
      <c r="H117" s="163"/>
      <c r="I117" s="163"/>
      <c r="J117" s="164"/>
    </row>
    <row r="118" spans="1:17" hidden="1">
      <c r="A118" s="88" t="s">
        <v>166</v>
      </c>
      <c r="B118" s="89"/>
      <c r="C118" s="89"/>
      <c r="D118" s="89"/>
      <c r="E118" s="89"/>
      <c r="F118" s="90"/>
      <c r="G118" s="165" t="s">
        <v>54</v>
      </c>
      <c r="H118" s="163"/>
      <c r="I118" s="163"/>
      <c r="J118" s="164"/>
    </row>
    <row r="119" spans="1:17" hidden="1">
      <c r="A119" s="97" t="s">
        <v>167</v>
      </c>
      <c r="B119" s="98"/>
      <c r="C119" s="98"/>
      <c r="D119" s="98"/>
      <c r="E119" s="98"/>
      <c r="F119" s="99"/>
      <c r="G119" s="165" t="s">
        <v>54</v>
      </c>
      <c r="H119" s="163"/>
      <c r="I119" s="163"/>
      <c r="J119" s="164"/>
    </row>
    <row r="120" spans="1:17">
      <c r="A120" s="88" t="s">
        <v>168</v>
      </c>
      <c r="B120" s="89"/>
      <c r="C120" s="89"/>
      <c r="D120" s="89"/>
      <c r="E120" s="89"/>
      <c r="F120" s="90"/>
      <c r="G120" s="162">
        <v>1700000</v>
      </c>
      <c r="H120" s="163"/>
      <c r="I120" s="163"/>
      <c r="J120" s="164"/>
    </row>
    <row r="121" spans="1:17" hidden="1">
      <c r="A121" s="88" t="s">
        <v>169</v>
      </c>
      <c r="B121" s="89"/>
      <c r="C121" s="89"/>
      <c r="D121" s="89"/>
      <c r="E121" s="89"/>
      <c r="F121" s="90"/>
      <c r="G121" s="165" t="s">
        <v>54</v>
      </c>
      <c r="H121" s="163"/>
      <c r="I121" s="163"/>
      <c r="J121" s="164"/>
    </row>
    <row r="122" spans="1:17">
      <c r="A122" s="88" t="s">
        <v>170</v>
      </c>
      <c r="B122" s="89"/>
      <c r="C122" s="89"/>
      <c r="D122" s="89"/>
      <c r="E122" s="89"/>
      <c r="F122" s="90"/>
      <c r="G122" s="162">
        <v>1500000</v>
      </c>
      <c r="H122" s="163"/>
      <c r="I122" s="163"/>
      <c r="J122" s="164"/>
      <c r="L122" t="s">
        <v>171</v>
      </c>
    </row>
    <row r="123" spans="1:17" hidden="1">
      <c r="A123" s="88" t="s">
        <v>172</v>
      </c>
      <c r="B123" s="89"/>
      <c r="C123" s="89"/>
      <c r="D123" s="89"/>
      <c r="E123" s="89"/>
      <c r="F123" s="90"/>
      <c r="G123" s="165" t="s">
        <v>54</v>
      </c>
      <c r="H123" s="163"/>
      <c r="I123" s="163"/>
      <c r="J123" s="164"/>
    </row>
    <row r="124" spans="1:17" s="26" customFormat="1" ht="14.45" customHeight="1">
      <c r="A124" s="166" t="s">
        <v>173</v>
      </c>
      <c r="B124" s="167"/>
      <c r="C124" s="167"/>
      <c r="D124" s="167"/>
      <c r="E124" s="167"/>
      <c r="F124" s="168"/>
      <c r="G124" s="169">
        <f>G115*0.8</f>
        <v>44000</v>
      </c>
      <c r="H124" s="170"/>
      <c r="I124" s="170"/>
      <c r="J124" s="171"/>
      <c r="L124" s="63" t="s">
        <v>174</v>
      </c>
    </row>
    <row r="125" spans="1:17" s="43" customFormat="1" ht="15.75">
      <c r="A125" s="123" t="s">
        <v>175</v>
      </c>
      <c r="B125" s="124"/>
      <c r="C125" s="124"/>
      <c r="D125" s="124"/>
      <c r="E125" s="124"/>
      <c r="F125" s="124"/>
      <c r="G125" s="124"/>
      <c r="H125" s="124"/>
      <c r="I125" s="124"/>
      <c r="J125" s="125"/>
      <c r="L125" s="64"/>
    </row>
    <row r="126" spans="1:17" s="43" customFormat="1" ht="15.75">
      <c r="A126" s="148" t="s">
        <v>176</v>
      </c>
      <c r="B126" s="150"/>
      <c r="C126" s="50" t="s">
        <v>177</v>
      </c>
      <c r="D126" s="159" t="s">
        <v>178</v>
      </c>
      <c r="E126" s="160"/>
      <c r="F126" s="161"/>
      <c r="G126" s="148" t="s">
        <v>179</v>
      </c>
      <c r="H126" s="149"/>
      <c r="I126" s="149"/>
      <c r="J126" s="150"/>
    </row>
    <row r="127" spans="1:17" s="43" customFormat="1" ht="15.75">
      <c r="A127" s="116" t="s">
        <v>180</v>
      </c>
      <c r="B127" s="117"/>
      <c r="C127" s="37">
        <f>COUNT(D142:E144)+COUNT(D147:E149)+COUNT(D151:E154)*4+COUNT(D156:E159)*2+COUNT(D163:E165)+COUNT(D168:E170)+COUNT(D172:E175)*4+COUNT(D178:E180)+COUNT(D183:E185)+COUNT(D187:E190)*10+COUNT(D194:E196)+COUNT(D199:E201)*2+COUNT(D204:E206)+COUNT(D208:E211)*13+COUNT(D215:E217)*2+COUNT(D220:E222)*2+COUNT(D224:E227)+COUNT(D229:E232)+COUNT(D234,D236:E237)</f>
        <v>185</v>
      </c>
      <c r="D127" s="139">
        <f>SUM(D142:E144)+SUM(D147:E149)+SUM(D151:E154)*4+SUM(D156:E159)*2+SUM(D163:E165)+SUM(D168:E170)+SUM(D172:E175)*4+SUM(D178:E180)+SUM(D183:E185)+SUM(D187:E190)*10+SUM(D194:E196)+SUM(D199:E201)*2+SUM(D204:E206)+SUM(D208:E211)*13+SUM(D215:E217)*2+SUM(D220:E222)*2+SUM(D224:E227)+SUM(D229:E232)+SUM(D234,D236:E237)</f>
        <v>392905.59047999996</v>
      </c>
      <c r="E127" s="140"/>
      <c r="F127" s="141"/>
      <c r="G127" s="142">
        <f>SUM(G142:G144)+SUM(G147:G149)+SUM(G151:G154)*4+SUM(G156:G159)*2+SUM(G163:G165)+SUM(G168:G170)+SUM(G172:G175)*4+SUM(G178:G180)+SUM(G183:G185)+SUM(G187:G190)*10+SUM(G194:G196)+SUM(G199:G201)*2+SUM(G204:G206)+SUM(G208:G211)*13+SUM(G215:G217)*2+SUM(G220:G222)*2+SUM(G224:G227)+SUM(G229:G232)+SUM(G234,G236:G237)</f>
        <v>628648.94476799981</v>
      </c>
      <c r="H127" s="143"/>
      <c r="I127" s="143"/>
      <c r="J127" s="144"/>
    </row>
    <row r="128" spans="1:17" s="43" customFormat="1" ht="15.75">
      <c r="A128" s="116" t="s">
        <v>181</v>
      </c>
      <c r="B128" s="117"/>
      <c r="C128" s="37">
        <f>COUNT(D246:E247,D249)+COUNT(D251:E252,D254)+COUNT(D256:E259)*4+COUNT(D261:E264)*2+COUNT(D267:E268,D270)+COUNT(D272:E273,D275)+COUNT(D277:E280)*4+COUNT(D282:E283,D285)+COUNT(D287:E288,D290)+COUNT(D292:E295)*10+COUNT(D298:E299,D301)*2+COUNT(D303:E304,D306)*2+COUNT(#REF!,#REF!)+COUNT(D308:E311)*13+COUNT(D314:E315,D317)+COUNT(D319:E320,D322)*2+COUNT(D324:E325,D327)+COUNT(D329:E332)*3</f>
        <v>186</v>
      </c>
      <c r="D128" s="139">
        <f>SUM(D246:E247,D249)+SUM(D251:E252,D254)+SUM(D256:E259)*4+SUM(D261:E264)*2+SUM(D267:E268,D270)+SUM(D272:E273,D275)+SUM(D277:E280)*4+SUM(D282:E283,D285)+SUM(D287:E288,D290)+SUM(D292:E295)*10+SUM(D298:E299,D301)*2+SUM(D303:E304,D306)*2+SUM(D308:E311)*13+SUM(D314:E315,D317)+SUM(D319:E320,D322)*2+SUM(D324:E325,D327)+SUM(D329:E332)*3</f>
        <v>354963.02437439997</v>
      </c>
      <c r="E128" s="140"/>
      <c r="F128" s="141"/>
      <c r="G128" s="142">
        <f>SUM(G246:G247,G249)+SUM(G251:G252,G254)+SUM(G256:G259)*4+SUM(G261:G264)*2+SUM(G267:G268,G270)+SUM(G272:G273,G275)+SUM(G277:G280)*4+SUM(G282:G283,G285)+SUM(G287:G288,G290)+SUM(G292:G295)*10+SUM(G298:G299,G301)*2+SUM(G303:G304,G306)*2+SUM(G308:G311)*13+SUM(G314:G315,G317)+SUM(G319:G320,G322)*2+SUM(G324:G325,G327)+SUM(G329:G332)*3</f>
        <v>567940.83899904008</v>
      </c>
      <c r="H128" s="143"/>
      <c r="I128" s="143"/>
      <c r="J128" s="144"/>
    </row>
    <row r="129" spans="1:12" s="43" customFormat="1" ht="15.75">
      <c r="A129" s="116" t="s">
        <v>182</v>
      </c>
      <c r="B129" s="117"/>
      <c r="C129" s="37">
        <f>COUNT(D340:E346)*15+COUNT(D350:E354)*3+COUNT(D356:E362)*2+COUNT(D366:E370)+COUNT(D372:E378)*3+COUNT(D382:E386)+COUNT(D388:E394)*23+COUNT(D398:E402)*2+COUNT(D404,D406:E410)+COUNT(D412,D414:E418)</f>
        <v>348</v>
      </c>
      <c r="D129" s="139">
        <f>SUM(D340:E346)*15+SUM(D350:E354)*3+SUM(D356:E362)*2+SUM(D366:E370)+SUM(D372:E378)*3+SUM(D382:E386)+SUM(D388:E394)*23+SUM(D398:E402)*2+SUM(D404,D406:E410)+SUM(D412,D414:E418)</f>
        <v>497657.60927999998</v>
      </c>
      <c r="E129" s="140"/>
      <c r="F129" s="141"/>
      <c r="G129" s="142">
        <f>SUM(G340:G346)*15+SUM(G350:G354)*3+SUM(G356:G362)*2+SUM(G366:G370)+SUM(G372:G378)*3+SUM(G382:G386)+SUM(G388:G394)*23+SUM(G398:G402)*2+SUM(G404,G406:G410)+SUM(G412,G414:G418)</f>
        <v>796252.17484799982</v>
      </c>
      <c r="H129" s="143"/>
      <c r="I129" s="143"/>
      <c r="J129" s="144"/>
    </row>
    <row r="130" spans="1:12" s="43" customFormat="1" ht="15.75">
      <c r="A130" s="123" t="s">
        <v>183</v>
      </c>
      <c r="B130" s="124"/>
      <c r="C130" s="50">
        <f>SUM(C127:C129)</f>
        <v>719</v>
      </c>
      <c r="D130" s="145">
        <f>SUM(D127:F129)</f>
        <v>1245526.2241344</v>
      </c>
      <c r="E130" s="146"/>
      <c r="F130" s="147"/>
      <c r="G130" s="148">
        <f>SUM(G127:J129)</f>
        <v>1992841.9586150397</v>
      </c>
      <c r="H130" s="149"/>
      <c r="I130" s="149"/>
      <c r="J130" s="150"/>
    </row>
    <row r="131" spans="1:12" s="26" customFormat="1" ht="18.75">
      <c r="A131" s="151" t="s">
        <v>184</v>
      </c>
      <c r="B131" s="152"/>
      <c r="C131" s="152"/>
      <c r="D131" s="152"/>
      <c r="E131" s="152"/>
      <c r="F131" s="152"/>
      <c r="G131" s="152"/>
      <c r="H131" s="152"/>
      <c r="I131" s="152"/>
      <c r="J131" s="153"/>
    </row>
    <row r="132" spans="1:12">
      <c r="A132" s="154" t="s">
        <v>185</v>
      </c>
      <c r="B132" s="155"/>
      <c r="C132" s="155"/>
      <c r="D132" s="155"/>
      <c r="E132" s="155"/>
      <c r="F132" s="155"/>
      <c r="G132" s="155"/>
      <c r="H132" s="155"/>
      <c r="I132" s="155"/>
      <c r="J132" s="156"/>
    </row>
    <row r="133" spans="1:12" ht="38.25">
      <c r="A133" s="148" t="s">
        <v>186</v>
      </c>
      <c r="B133" s="150"/>
      <c r="C133" s="34" t="s">
        <v>187</v>
      </c>
      <c r="D133" s="157" t="s">
        <v>188</v>
      </c>
      <c r="E133" s="158"/>
      <c r="F133" s="35" t="s">
        <v>189</v>
      </c>
      <c r="G133" s="34" t="s">
        <v>190</v>
      </c>
      <c r="H133" s="34" t="s">
        <v>191</v>
      </c>
      <c r="I133" s="148" t="s">
        <v>192</v>
      </c>
      <c r="J133" s="150"/>
    </row>
    <row r="134" spans="1:12" ht="15.75">
      <c r="A134" s="133" t="s">
        <v>193</v>
      </c>
      <c r="B134" s="134"/>
      <c r="C134" s="134"/>
      <c r="D134" s="134"/>
      <c r="E134" s="134"/>
      <c r="F134" s="134"/>
      <c r="G134" s="134"/>
      <c r="H134" s="134"/>
      <c r="I134" s="134"/>
      <c r="J134" s="135"/>
    </row>
    <row r="135" spans="1:12" ht="15.75">
      <c r="A135" s="136" t="s">
        <v>194</v>
      </c>
      <c r="B135" s="137"/>
      <c r="C135" s="137"/>
      <c r="D135" s="137"/>
      <c r="E135" s="137"/>
      <c r="F135" s="137"/>
      <c r="G135" s="137"/>
      <c r="H135" s="137"/>
      <c r="I135" s="137"/>
      <c r="J135" s="138"/>
    </row>
    <row r="136" spans="1:12" ht="15.75">
      <c r="A136" s="136" t="s">
        <v>195</v>
      </c>
      <c r="B136" s="137"/>
      <c r="C136" s="137"/>
      <c r="D136" s="137"/>
      <c r="E136" s="137"/>
      <c r="F136" s="137"/>
      <c r="G136" s="137"/>
      <c r="H136" s="137"/>
      <c r="I136" s="137"/>
      <c r="J136" s="138"/>
    </row>
    <row r="137" spans="1:12" ht="15.75">
      <c r="A137" s="136" t="s">
        <v>196</v>
      </c>
      <c r="B137" s="137"/>
      <c r="C137" s="137"/>
      <c r="D137" s="137"/>
      <c r="E137" s="137"/>
      <c r="F137" s="137"/>
      <c r="G137" s="137"/>
      <c r="H137" s="137"/>
      <c r="I137" s="137"/>
      <c r="J137" s="138"/>
    </row>
    <row r="138" spans="1:12" ht="15.75">
      <c r="A138" s="136" t="s">
        <v>197</v>
      </c>
      <c r="B138" s="137"/>
      <c r="C138" s="137"/>
      <c r="D138" s="137"/>
      <c r="E138" s="137"/>
      <c r="F138" s="137"/>
      <c r="G138" s="137"/>
      <c r="H138" s="137"/>
      <c r="I138" s="137"/>
      <c r="J138" s="138"/>
    </row>
    <row r="139" spans="1:12" ht="15.75">
      <c r="A139" s="136" t="s">
        <v>198</v>
      </c>
      <c r="B139" s="137"/>
      <c r="C139" s="137"/>
      <c r="D139" s="137"/>
      <c r="E139" s="137"/>
      <c r="F139" s="137"/>
      <c r="G139" s="137"/>
      <c r="H139" s="137"/>
      <c r="I139" s="137"/>
      <c r="J139" s="138"/>
    </row>
    <row r="140" spans="1:12" ht="15.75">
      <c r="A140" s="123" t="s">
        <v>199</v>
      </c>
      <c r="B140" s="124"/>
      <c r="C140" s="124"/>
      <c r="D140" s="124"/>
      <c r="E140" s="124"/>
      <c r="F140" s="124"/>
      <c r="G140" s="124"/>
      <c r="H140" s="124"/>
      <c r="I140" s="124"/>
      <c r="J140" s="125"/>
    </row>
    <row r="141" spans="1:12" ht="15.75">
      <c r="A141" s="116">
        <v>1</v>
      </c>
      <c r="B141" s="117"/>
      <c r="C141" s="116" t="s">
        <v>200</v>
      </c>
      <c r="D141" s="129"/>
      <c r="E141" s="129"/>
      <c r="F141" s="129"/>
      <c r="G141" s="129"/>
      <c r="H141" s="117"/>
      <c r="I141" s="101" t="str">
        <f>A140</f>
        <v>14th Floor (Part refuge Area)</v>
      </c>
      <c r="J141" s="102"/>
    </row>
    <row r="142" spans="1:12" ht="15.75">
      <c r="A142" s="116">
        <v>2</v>
      </c>
      <c r="B142" s="117"/>
      <c r="C142" s="36" t="s">
        <v>201</v>
      </c>
      <c r="D142" s="114">
        <f>172.21*10.764</f>
        <v>1853.6684399999999</v>
      </c>
      <c r="E142" s="115"/>
      <c r="F142" s="36">
        <v>0</v>
      </c>
      <c r="G142" s="36">
        <f>D142*1.6+F142</f>
        <v>2965.8695040000002</v>
      </c>
      <c r="H142" s="36" t="s">
        <v>202</v>
      </c>
      <c r="I142" s="103"/>
      <c r="J142" s="104"/>
    </row>
    <row r="143" spans="1:12" ht="15.75">
      <c r="A143" s="116">
        <v>3</v>
      </c>
      <c r="B143" s="117"/>
      <c r="C143" s="36" t="s">
        <v>203</v>
      </c>
      <c r="D143" s="114">
        <f>217.43*10.764</f>
        <v>2340.4165199999998</v>
      </c>
      <c r="E143" s="115"/>
      <c r="F143" s="36">
        <v>0</v>
      </c>
      <c r="G143" s="36">
        <f>D143*1.6+F143</f>
        <v>3744.666432</v>
      </c>
      <c r="H143" s="36" t="s">
        <v>202</v>
      </c>
      <c r="I143" s="103"/>
      <c r="J143" s="104"/>
      <c r="L143">
        <v>3</v>
      </c>
    </row>
    <row r="144" spans="1:12" ht="15.75">
      <c r="A144" s="116">
        <v>4</v>
      </c>
      <c r="B144" s="117"/>
      <c r="C144" s="36" t="s">
        <v>201</v>
      </c>
      <c r="D144" s="114">
        <f>172.26*10.764</f>
        <v>1854.2066399999999</v>
      </c>
      <c r="E144" s="115"/>
      <c r="F144" s="36">
        <v>0</v>
      </c>
      <c r="G144" s="36">
        <f>D144*1.6+F144</f>
        <v>2966.7306239999998</v>
      </c>
      <c r="H144" s="36" t="s">
        <v>202</v>
      </c>
      <c r="I144" s="105"/>
      <c r="J144" s="106"/>
    </row>
    <row r="145" spans="1:12" ht="15.75">
      <c r="A145" s="123" t="s">
        <v>204</v>
      </c>
      <c r="B145" s="124"/>
      <c r="C145" s="124"/>
      <c r="D145" s="124"/>
      <c r="E145" s="124"/>
      <c r="F145" s="124"/>
      <c r="G145" s="124"/>
      <c r="H145" s="124"/>
      <c r="I145" s="124"/>
      <c r="J145" s="125"/>
    </row>
    <row r="146" spans="1:12" ht="15.75">
      <c r="A146" s="116">
        <v>1</v>
      </c>
      <c r="B146" s="117"/>
      <c r="C146" s="116" t="s">
        <v>205</v>
      </c>
      <c r="D146" s="129"/>
      <c r="E146" s="129"/>
      <c r="F146" s="129"/>
      <c r="G146" s="129"/>
      <c r="H146" s="117"/>
      <c r="I146" s="101" t="str">
        <f>A145</f>
        <v>15th Floor</v>
      </c>
      <c r="J146" s="102"/>
    </row>
    <row r="147" spans="1:12" ht="15.75">
      <c r="A147" s="116">
        <v>2</v>
      </c>
      <c r="B147" s="117"/>
      <c r="C147" s="36" t="s">
        <v>201</v>
      </c>
      <c r="D147" s="114">
        <f>172.21*10.764</f>
        <v>1853.6684399999999</v>
      </c>
      <c r="E147" s="115"/>
      <c r="F147" s="36">
        <v>0</v>
      </c>
      <c r="G147" s="36">
        <f>D147*1.6+F147</f>
        <v>2965.8695040000002</v>
      </c>
      <c r="H147" s="36" t="s">
        <v>202</v>
      </c>
      <c r="I147" s="103"/>
      <c r="J147" s="104"/>
    </row>
    <row r="148" spans="1:12" ht="15.75">
      <c r="A148" s="116">
        <v>3</v>
      </c>
      <c r="B148" s="117"/>
      <c r="C148" s="36" t="s">
        <v>203</v>
      </c>
      <c r="D148" s="114">
        <f>217.43*10.764</f>
        <v>2340.4165199999998</v>
      </c>
      <c r="E148" s="115"/>
      <c r="F148" s="36">
        <v>0</v>
      </c>
      <c r="G148" s="36">
        <f>D148*1.6+F148</f>
        <v>3744.666432</v>
      </c>
      <c r="H148" s="36" t="s">
        <v>202</v>
      </c>
      <c r="I148" s="103"/>
      <c r="J148" s="104"/>
      <c r="L148">
        <v>3</v>
      </c>
    </row>
    <row r="149" spans="1:12" ht="15.75">
      <c r="A149" s="116">
        <v>4</v>
      </c>
      <c r="B149" s="117"/>
      <c r="C149" s="36" t="s">
        <v>201</v>
      </c>
      <c r="D149" s="114">
        <f>172.26*10.764</f>
        <v>1854.2066399999999</v>
      </c>
      <c r="E149" s="115"/>
      <c r="F149" s="36">
        <v>0</v>
      </c>
      <c r="G149" s="36">
        <f>D149*1.6+F149</f>
        <v>2966.7306239999998</v>
      </c>
      <c r="H149" s="36" t="s">
        <v>202</v>
      </c>
      <c r="I149" s="105"/>
      <c r="J149" s="106"/>
    </row>
    <row r="150" spans="1:12" ht="15.75">
      <c r="A150" s="123" t="s">
        <v>206</v>
      </c>
      <c r="B150" s="124"/>
      <c r="C150" s="124"/>
      <c r="D150" s="124"/>
      <c r="E150" s="124"/>
      <c r="F150" s="124"/>
      <c r="G150" s="124"/>
      <c r="H150" s="124"/>
      <c r="I150" s="124"/>
      <c r="J150" s="125"/>
    </row>
    <row r="151" spans="1:12" ht="15.75">
      <c r="A151" s="116">
        <v>1</v>
      </c>
      <c r="B151" s="117"/>
      <c r="C151" s="36" t="s">
        <v>203</v>
      </c>
      <c r="D151" s="114">
        <f>217.37*10.764</f>
        <v>2339.7706800000001</v>
      </c>
      <c r="E151" s="115"/>
      <c r="F151" s="36">
        <v>0</v>
      </c>
      <c r="G151" s="36">
        <f>D151*1.6+F151</f>
        <v>3743.6330880000005</v>
      </c>
      <c r="H151" s="36" t="s">
        <v>202</v>
      </c>
      <c r="I151" s="101" t="str">
        <f>A150</f>
        <v>16th to 19th Floor</v>
      </c>
      <c r="J151" s="102"/>
    </row>
    <row r="152" spans="1:12" ht="15.75">
      <c r="A152" s="116">
        <v>2</v>
      </c>
      <c r="B152" s="117"/>
      <c r="C152" s="36" t="s">
        <v>201</v>
      </c>
      <c r="D152" s="114">
        <f>172.21*10.764</f>
        <v>1853.6684399999999</v>
      </c>
      <c r="E152" s="115"/>
      <c r="F152" s="36">
        <v>0</v>
      </c>
      <c r="G152" s="36">
        <f>D152*1.6+F152</f>
        <v>2965.8695040000002</v>
      </c>
      <c r="H152" s="36" t="s">
        <v>202</v>
      </c>
      <c r="I152" s="103"/>
      <c r="J152" s="104"/>
      <c r="L152">
        <v>16</v>
      </c>
    </row>
    <row r="153" spans="1:12" ht="15.75">
      <c r="A153" s="116">
        <v>3</v>
      </c>
      <c r="B153" s="117"/>
      <c r="C153" s="36" t="s">
        <v>203</v>
      </c>
      <c r="D153" s="130">
        <f>217.43*10.764</f>
        <v>2340.4165199999998</v>
      </c>
      <c r="E153" s="130"/>
      <c r="F153" s="36">
        <v>0</v>
      </c>
      <c r="G153" s="36">
        <f>D153*1.6+F153</f>
        <v>3744.666432</v>
      </c>
      <c r="H153" s="36" t="s">
        <v>202</v>
      </c>
      <c r="I153" s="103"/>
      <c r="J153" s="104"/>
    </row>
    <row r="154" spans="1:12" ht="15.75">
      <c r="A154" s="116">
        <v>4</v>
      </c>
      <c r="B154" s="117"/>
      <c r="C154" s="36" t="s">
        <v>201</v>
      </c>
      <c r="D154" s="118">
        <f>172.26*10.764</f>
        <v>1854.2066399999999</v>
      </c>
      <c r="E154" s="119"/>
      <c r="F154" s="36">
        <v>0</v>
      </c>
      <c r="G154" s="36">
        <f>D154*1.6+F154</f>
        <v>2966.7306239999998</v>
      </c>
      <c r="H154" s="36" t="s">
        <v>202</v>
      </c>
      <c r="I154" s="105"/>
      <c r="J154" s="106"/>
    </row>
    <row r="155" spans="1:12" ht="15.75">
      <c r="A155" s="131" t="s">
        <v>207</v>
      </c>
      <c r="B155" s="131"/>
      <c r="C155" s="131"/>
      <c r="D155" s="131"/>
      <c r="E155" s="131"/>
      <c r="F155" s="131"/>
      <c r="G155" s="131"/>
      <c r="H155" s="131"/>
      <c r="I155" s="131"/>
      <c r="J155" s="131"/>
    </row>
    <row r="156" spans="1:12" ht="15.75">
      <c r="A156" s="107">
        <v>1</v>
      </c>
      <c r="B156" s="107"/>
      <c r="C156" s="66" t="s">
        <v>203</v>
      </c>
      <c r="D156" s="130">
        <f>217.67*10.764</f>
        <v>2342.9998799999998</v>
      </c>
      <c r="E156" s="130"/>
      <c r="F156" s="66">
        <v>0</v>
      </c>
      <c r="G156" s="66">
        <f>D156*1.6+F156</f>
        <v>3748.7998079999998</v>
      </c>
      <c r="H156" s="66" t="s">
        <v>202</v>
      </c>
      <c r="I156" s="107" t="str">
        <f>A155</f>
        <v>20th &amp; 23rd Floor</v>
      </c>
      <c r="J156" s="107"/>
    </row>
    <row r="157" spans="1:12" ht="15.75">
      <c r="A157" s="107">
        <v>2</v>
      </c>
      <c r="B157" s="107"/>
      <c r="C157" s="66" t="s">
        <v>201</v>
      </c>
      <c r="D157" s="130">
        <f>173.56*10.764</f>
        <v>1868.19984</v>
      </c>
      <c r="E157" s="130"/>
      <c r="F157" s="66">
        <v>0</v>
      </c>
      <c r="G157" s="66">
        <f>D157*1.6+F157</f>
        <v>2989.1197440000001</v>
      </c>
      <c r="H157" s="66" t="s">
        <v>202</v>
      </c>
      <c r="I157" s="107"/>
      <c r="J157" s="107"/>
      <c r="L157">
        <v>8</v>
      </c>
    </row>
    <row r="158" spans="1:12" ht="15.75">
      <c r="A158" s="107">
        <v>3</v>
      </c>
      <c r="B158" s="107"/>
      <c r="C158" s="66" t="s">
        <v>203</v>
      </c>
      <c r="D158" s="130">
        <f>217.73*10.764</f>
        <v>2343.6457199999995</v>
      </c>
      <c r="E158" s="130"/>
      <c r="F158" s="66">
        <v>0</v>
      </c>
      <c r="G158" s="66">
        <f>D158*1.6+F158</f>
        <v>3749.8331519999992</v>
      </c>
      <c r="H158" s="66" t="s">
        <v>202</v>
      </c>
      <c r="I158" s="107"/>
      <c r="J158" s="107"/>
    </row>
    <row r="159" spans="1:12" ht="15.75">
      <c r="A159" s="107">
        <v>4</v>
      </c>
      <c r="B159" s="107"/>
      <c r="C159" s="66" t="s">
        <v>201</v>
      </c>
      <c r="D159" s="130">
        <f>173.62*10.764</f>
        <v>1868.8456799999999</v>
      </c>
      <c r="E159" s="130"/>
      <c r="F159" s="66">
        <v>0</v>
      </c>
      <c r="G159" s="66">
        <f>D159*1.6+F159</f>
        <v>2990.153088</v>
      </c>
      <c r="H159" s="66" t="s">
        <v>202</v>
      </c>
      <c r="I159" s="107"/>
      <c r="J159" s="107"/>
    </row>
    <row r="160" spans="1:12" ht="15.75">
      <c r="A160" s="131" t="s">
        <v>208</v>
      </c>
      <c r="B160" s="131"/>
      <c r="C160" s="131"/>
      <c r="D160" s="131"/>
      <c r="E160" s="131"/>
      <c r="F160" s="131"/>
      <c r="G160" s="131"/>
      <c r="H160" s="131"/>
      <c r="I160" s="131"/>
      <c r="J160" s="131"/>
    </row>
    <row r="161" spans="1:12" ht="15.75">
      <c r="A161" s="131" t="s">
        <v>209</v>
      </c>
      <c r="B161" s="131"/>
      <c r="C161" s="131"/>
      <c r="D161" s="131"/>
      <c r="E161" s="131"/>
      <c r="F161" s="131"/>
      <c r="G161" s="131"/>
      <c r="H161" s="131"/>
      <c r="I161" s="131"/>
      <c r="J161" s="131"/>
    </row>
    <row r="162" spans="1:12" ht="15.75">
      <c r="A162" s="107">
        <v>1</v>
      </c>
      <c r="B162" s="107"/>
      <c r="C162" s="107" t="s">
        <v>200</v>
      </c>
      <c r="D162" s="107"/>
      <c r="E162" s="107"/>
      <c r="F162" s="107"/>
      <c r="G162" s="107"/>
      <c r="H162" s="107"/>
      <c r="I162" s="107" t="str">
        <f>A161</f>
        <v>21st Floor (Part refuge Area)</v>
      </c>
      <c r="J162" s="107"/>
    </row>
    <row r="163" spans="1:12" ht="15.75">
      <c r="A163" s="107">
        <v>2</v>
      </c>
      <c r="B163" s="107"/>
      <c r="C163" s="66" t="s">
        <v>201</v>
      </c>
      <c r="D163" s="130">
        <f>173.56*10.764</f>
        <v>1868.19984</v>
      </c>
      <c r="E163" s="130"/>
      <c r="F163" s="66">
        <v>0</v>
      </c>
      <c r="G163" s="66">
        <f>D163*1.6+F163</f>
        <v>2989.1197440000001</v>
      </c>
      <c r="H163" s="66" t="s">
        <v>202</v>
      </c>
      <c r="I163" s="107"/>
      <c r="J163" s="107"/>
      <c r="L163">
        <v>3</v>
      </c>
    </row>
    <row r="164" spans="1:12" ht="15.75">
      <c r="A164" s="107">
        <v>3</v>
      </c>
      <c r="B164" s="107"/>
      <c r="C164" s="66" t="s">
        <v>203</v>
      </c>
      <c r="D164" s="130">
        <f>217.73*10.764</f>
        <v>2343.6457199999995</v>
      </c>
      <c r="E164" s="130"/>
      <c r="F164" s="66">
        <v>0</v>
      </c>
      <c r="G164" s="66">
        <f>D164*1.6+F164</f>
        <v>3749.8331519999992</v>
      </c>
      <c r="H164" s="66" t="s">
        <v>202</v>
      </c>
      <c r="I164" s="107"/>
      <c r="J164" s="107"/>
    </row>
    <row r="165" spans="1:12" ht="15.75">
      <c r="A165" s="107">
        <v>4</v>
      </c>
      <c r="B165" s="107"/>
      <c r="C165" s="66" t="s">
        <v>201</v>
      </c>
      <c r="D165" s="130">
        <f>173.62*10.764</f>
        <v>1868.8456799999999</v>
      </c>
      <c r="E165" s="130"/>
      <c r="F165" s="66">
        <v>0</v>
      </c>
      <c r="G165" s="66">
        <f>D165*1.6+F165</f>
        <v>2990.153088</v>
      </c>
      <c r="H165" s="66" t="s">
        <v>202</v>
      </c>
      <c r="I165" s="107"/>
      <c r="J165" s="107"/>
    </row>
    <row r="166" spans="1:12" ht="15.75">
      <c r="A166" s="123" t="s">
        <v>210</v>
      </c>
      <c r="B166" s="124"/>
      <c r="C166" s="124"/>
      <c r="D166" s="124"/>
      <c r="E166" s="124"/>
      <c r="F166" s="124"/>
      <c r="G166" s="124"/>
      <c r="H166" s="124"/>
      <c r="I166" s="124"/>
      <c r="J166" s="125"/>
    </row>
    <row r="167" spans="1:12" ht="15.75">
      <c r="A167" s="116">
        <v>1</v>
      </c>
      <c r="B167" s="117"/>
      <c r="C167" s="116" t="s">
        <v>205</v>
      </c>
      <c r="D167" s="129"/>
      <c r="E167" s="129"/>
      <c r="F167" s="129"/>
      <c r="G167" s="129"/>
      <c r="H167" s="117"/>
      <c r="I167" s="101" t="str">
        <f>A166</f>
        <v>22nd Floor</v>
      </c>
      <c r="J167" s="102"/>
    </row>
    <row r="168" spans="1:12" ht="15.75">
      <c r="A168" s="116">
        <v>2</v>
      </c>
      <c r="B168" s="117"/>
      <c r="C168" s="36" t="s">
        <v>201</v>
      </c>
      <c r="D168" s="114">
        <f>173.56*10.764</f>
        <v>1868.19984</v>
      </c>
      <c r="E168" s="115"/>
      <c r="F168" s="36">
        <v>0</v>
      </c>
      <c r="G168" s="36">
        <f>D168*1.6+F168</f>
        <v>2989.1197440000001</v>
      </c>
      <c r="H168" s="36" t="s">
        <v>202</v>
      </c>
      <c r="I168" s="103"/>
      <c r="J168" s="104"/>
    </row>
    <row r="169" spans="1:12" ht="15.75">
      <c r="A169" s="116">
        <v>3</v>
      </c>
      <c r="B169" s="117"/>
      <c r="C169" s="36" t="s">
        <v>203</v>
      </c>
      <c r="D169" s="114">
        <f>217.73*10.764</f>
        <v>2343.6457199999995</v>
      </c>
      <c r="E169" s="115"/>
      <c r="F169" s="36">
        <v>0</v>
      </c>
      <c r="G169" s="36">
        <f>D169*1.6+F169</f>
        <v>3749.8331519999992</v>
      </c>
      <c r="H169" s="36" t="s">
        <v>202</v>
      </c>
      <c r="I169" s="103"/>
      <c r="J169" s="104"/>
      <c r="L169">
        <v>3</v>
      </c>
    </row>
    <row r="170" spans="1:12" ht="15.75">
      <c r="A170" s="116">
        <v>4</v>
      </c>
      <c r="B170" s="117"/>
      <c r="C170" s="36" t="s">
        <v>201</v>
      </c>
      <c r="D170" s="114">
        <f>173.62*10.764</f>
        <v>1868.8456799999999</v>
      </c>
      <c r="E170" s="115"/>
      <c r="F170" s="36">
        <v>0</v>
      </c>
      <c r="G170" s="36">
        <f>D170*1.6+F170</f>
        <v>2990.153088</v>
      </c>
      <c r="H170" s="36" t="s">
        <v>202</v>
      </c>
      <c r="I170" s="105"/>
      <c r="J170" s="106"/>
    </row>
    <row r="171" spans="1:12" ht="15.75">
      <c r="A171" s="123" t="s">
        <v>211</v>
      </c>
      <c r="B171" s="124"/>
      <c r="C171" s="124"/>
      <c r="D171" s="124"/>
      <c r="E171" s="124"/>
      <c r="F171" s="124"/>
      <c r="G171" s="124"/>
      <c r="H171" s="124"/>
      <c r="I171" s="124"/>
      <c r="J171" s="125"/>
    </row>
    <row r="172" spans="1:12" ht="15.75">
      <c r="A172" s="116">
        <v>1</v>
      </c>
      <c r="B172" s="117"/>
      <c r="C172" s="36" t="s">
        <v>203</v>
      </c>
      <c r="D172" s="114">
        <f>217.67*10.764</f>
        <v>2342.9998799999998</v>
      </c>
      <c r="E172" s="115"/>
      <c r="F172" s="36">
        <v>0</v>
      </c>
      <c r="G172" s="36">
        <f>D172*1.6+F172</f>
        <v>3748.7998079999998</v>
      </c>
      <c r="H172" s="36" t="s">
        <v>202</v>
      </c>
      <c r="I172" s="101" t="str">
        <f>A171</f>
        <v>24th to 27th Floor</v>
      </c>
      <c r="J172" s="102"/>
    </row>
    <row r="173" spans="1:12" ht="15.75">
      <c r="A173" s="116">
        <v>2</v>
      </c>
      <c r="B173" s="117"/>
      <c r="C173" s="36" t="s">
        <v>201</v>
      </c>
      <c r="D173" s="114">
        <f>174.86*10.764</f>
        <v>1882.1930400000001</v>
      </c>
      <c r="E173" s="115"/>
      <c r="F173" s="36">
        <v>0</v>
      </c>
      <c r="G173" s="36">
        <f>D173*1.6+F173</f>
        <v>3011.5088640000004</v>
      </c>
      <c r="H173" s="36" t="s">
        <v>202</v>
      </c>
      <c r="I173" s="103"/>
      <c r="J173" s="104"/>
      <c r="L173">
        <v>16</v>
      </c>
    </row>
    <row r="174" spans="1:12" ht="15.75">
      <c r="A174" s="116">
        <v>3</v>
      </c>
      <c r="B174" s="117"/>
      <c r="C174" s="36" t="s">
        <v>203</v>
      </c>
      <c r="D174" s="114">
        <f>217.73*10.764</f>
        <v>2343.6457199999995</v>
      </c>
      <c r="E174" s="115"/>
      <c r="F174" s="36">
        <v>0</v>
      </c>
      <c r="G174" s="36">
        <f>D174*1.6+F174</f>
        <v>3749.8331519999992</v>
      </c>
      <c r="H174" s="36" t="s">
        <v>202</v>
      </c>
      <c r="I174" s="103"/>
      <c r="J174" s="104"/>
    </row>
    <row r="175" spans="1:12" ht="15.75">
      <c r="A175" s="116">
        <v>4</v>
      </c>
      <c r="B175" s="117"/>
      <c r="C175" s="36" t="s">
        <v>201</v>
      </c>
      <c r="D175" s="114">
        <f>174.91*10.764</f>
        <v>1882.7312399999998</v>
      </c>
      <c r="E175" s="115"/>
      <c r="F175" s="36">
        <v>0</v>
      </c>
      <c r="G175" s="36">
        <f>D175*1.6+F175</f>
        <v>3012.3699839999999</v>
      </c>
      <c r="H175" s="36" t="s">
        <v>202</v>
      </c>
      <c r="I175" s="105"/>
      <c r="J175" s="106"/>
    </row>
    <row r="176" spans="1:12" ht="15.75" customHeight="1">
      <c r="A176" s="123" t="s">
        <v>212</v>
      </c>
      <c r="B176" s="124"/>
      <c r="C176" s="124"/>
      <c r="D176" s="124"/>
      <c r="E176" s="124"/>
      <c r="F176" s="124"/>
      <c r="G176" s="124"/>
      <c r="H176" s="124"/>
      <c r="I176" s="124"/>
      <c r="J176" s="125"/>
    </row>
    <row r="177" spans="1:12" ht="15.75">
      <c r="A177" s="116">
        <v>1</v>
      </c>
      <c r="B177" s="117"/>
      <c r="C177" s="116" t="s">
        <v>200</v>
      </c>
      <c r="D177" s="129"/>
      <c r="E177" s="129"/>
      <c r="F177" s="129"/>
      <c r="G177" s="129"/>
      <c r="H177" s="117"/>
      <c r="I177" s="101" t="str">
        <f>A176</f>
        <v>28th Floor (Part refuge Area)</v>
      </c>
      <c r="J177" s="102"/>
    </row>
    <row r="178" spans="1:12" ht="15.75">
      <c r="A178" s="116">
        <v>2</v>
      </c>
      <c r="B178" s="117"/>
      <c r="C178" s="36" t="s">
        <v>201</v>
      </c>
      <c r="D178" s="114">
        <f>174.86*10.764</f>
        <v>1882.1930400000001</v>
      </c>
      <c r="E178" s="115"/>
      <c r="F178" s="36">
        <v>0</v>
      </c>
      <c r="G178" s="36">
        <f>D178*1.6+F178</f>
        <v>3011.5088640000004</v>
      </c>
      <c r="H178" s="36" t="s">
        <v>202</v>
      </c>
      <c r="I178" s="103"/>
      <c r="J178" s="104"/>
    </row>
    <row r="179" spans="1:12" ht="15.75">
      <c r="A179" s="116">
        <v>3</v>
      </c>
      <c r="B179" s="117"/>
      <c r="C179" s="36" t="s">
        <v>203</v>
      </c>
      <c r="D179" s="114">
        <f>217.73*10.764</f>
        <v>2343.6457199999995</v>
      </c>
      <c r="E179" s="115"/>
      <c r="F179" s="36">
        <v>0</v>
      </c>
      <c r="G179" s="36">
        <f>D179*1.6+F179</f>
        <v>3749.8331519999992</v>
      </c>
      <c r="H179" s="36" t="s">
        <v>202</v>
      </c>
      <c r="I179" s="103"/>
      <c r="J179" s="104"/>
      <c r="L179">
        <v>3</v>
      </c>
    </row>
    <row r="180" spans="1:12" ht="15.75">
      <c r="A180" s="116">
        <v>4</v>
      </c>
      <c r="B180" s="117"/>
      <c r="C180" s="36" t="s">
        <v>201</v>
      </c>
      <c r="D180" s="114">
        <f>174.91*10.764</f>
        <v>1882.7312399999998</v>
      </c>
      <c r="E180" s="115"/>
      <c r="F180" s="36">
        <v>0</v>
      </c>
      <c r="G180" s="36">
        <f>D180*1.6+F180</f>
        <v>3012.3699839999999</v>
      </c>
      <c r="H180" s="36" t="s">
        <v>202</v>
      </c>
      <c r="I180" s="105"/>
      <c r="J180" s="106"/>
    </row>
    <row r="181" spans="1:12" ht="15.75" customHeight="1">
      <c r="A181" s="123" t="s">
        <v>213</v>
      </c>
      <c r="B181" s="124"/>
      <c r="C181" s="124"/>
      <c r="D181" s="124"/>
      <c r="E181" s="124"/>
      <c r="F181" s="124"/>
      <c r="G181" s="124"/>
      <c r="H181" s="124"/>
      <c r="I181" s="124"/>
      <c r="J181" s="125"/>
    </row>
    <row r="182" spans="1:12" ht="15.75">
      <c r="A182" s="116">
        <v>1</v>
      </c>
      <c r="B182" s="117"/>
      <c r="C182" s="116" t="s">
        <v>205</v>
      </c>
      <c r="D182" s="129"/>
      <c r="E182" s="129"/>
      <c r="F182" s="129"/>
      <c r="G182" s="129"/>
      <c r="H182" s="117"/>
      <c r="I182" s="101" t="str">
        <f>A181</f>
        <v>29th Floor</v>
      </c>
      <c r="J182" s="102"/>
    </row>
    <row r="183" spans="1:12" ht="15.75">
      <c r="A183" s="116">
        <v>2</v>
      </c>
      <c r="B183" s="117"/>
      <c r="C183" s="36" t="s">
        <v>201</v>
      </c>
      <c r="D183" s="114">
        <f>174.86*10.764</f>
        <v>1882.1930400000001</v>
      </c>
      <c r="E183" s="115"/>
      <c r="F183" s="36">
        <v>0</v>
      </c>
      <c r="G183" s="36">
        <f>D183*1.6+F183</f>
        <v>3011.5088640000004</v>
      </c>
      <c r="H183" s="36" t="s">
        <v>202</v>
      </c>
      <c r="I183" s="103"/>
      <c r="J183" s="104"/>
    </row>
    <row r="184" spans="1:12" ht="15.75">
      <c r="A184" s="116">
        <v>3</v>
      </c>
      <c r="B184" s="117"/>
      <c r="C184" s="36" t="s">
        <v>203</v>
      </c>
      <c r="D184" s="114">
        <f>217.73*10.764</f>
        <v>2343.6457199999995</v>
      </c>
      <c r="E184" s="115"/>
      <c r="F184" s="36">
        <v>0</v>
      </c>
      <c r="G184" s="36">
        <f>D184*1.6+F184</f>
        <v>3749.8331519999992</v>
      </c>
      <c r="H184" s="36" t="s">
        <v>202</v>
      </c>
      <c r="I184" s="103"/>
      <c r="J184" s="104"/>
      <c r="L184">
        <v>3</v>
      </c>
    </row>
    <row r="185" spans="1:12" ht="15.75">
      <c r="A185" s="116">
        <v>4</v>
      </c>
      <c r="B185" s="117"/>
      <c r="C185" s="36" t="s">
        <v>201</v>
      </c>
      <c r="D185" s="114">
        <f>174.91*10.764</f>
        <v>1882.7312399999998</v>
      </c>
      <c r="E185" s="115"/>
      <c r="F185" s="36">
        <v>0</v>
      </c>
      <c r="G185" s="36">
        <f>D185*1.6+F185</f>
        <v>3012.3699839999999</v>
      </c>
      <c r="H185" s="36" t="s">
        <v>202</v>
      </c>
      <c r="I185" s="105"/>
      <c r="J185" s="106"/>
    </row>
    <row r="186" spans="1:12" ht="15.75">
      <c r="A186" s="123" t="s">
        <v>214</v>
      </c>
      <c r="B186" s="124"/>
      <c r="C186" s="124"/>
      <c r="D186" s="124"/>
      <c r="E186" s="124"/>
      <c r="F186" s="124"/>
      <c r="G186" s="124"/>
      <c r="H186" s="124"/>
      <c r="I186" s="124"/>
      <c r="J186" s="125"/>
    </row>
    <row r="187" spans="1:12" ht="15.75">
      <c r="A187" s="116">
        <v>1</v>
      </c>
      <c r="B187" s="117"/>
      <c r="C187" s="36" t="s">
        <v>203</v>
      </c>
      <c r="D187" s="114">
        <f>220.63*10.764</f>
        <v>2374.86132</v>
      </c>
      <c r="E187" s="115"/>
      <c r="F187" s="36">
        <v>0</v>
      </c>
      <c r="G187" s="36">
        <f>D187*1.6+F187</f>
        <v>3799.778112</v>
      </c>
      <c r="H187" s="36" t="s">
        <v>202</v>
      </c>
      <c r="I187" s="101" t="str">
        <f>A186</f>
        <v>30th to 34th, 37th, 38th to 41st Floor</v>
      </c>
      <c r="J187" s="102"/>
    </row>
    <row r="188" spans="1:12" ht="15.75">
      <c r="A188" s="116">
        <v>2</v>
      </c>
      <c r="B188" s="117"/>
      <c r="C188" s="36" t="s">
        <v>201</v>
      </c>
      <c r="D188" s="114">
        <f>177.34*10.764</f>
        <v>1908.8877599999998</v>
      </c>
      <c r="E188" s="115"/>
      <c r="F188" s="36">
        <v>0</v>
      </c>
      <c r="G188" s="36">
        <f>D188*1.6+F188</f>
        <v>3054.2204160000001</v>
      </c>
      <c r="H188" s="36" t="s">
        <v>202</v>
      </c>
      <c r="I188" s="103"/>
      <c r="J188" s="104"/>
      <c r="L188">
        <f>10*4</f>
        <v>40</v>
      </c>
    </row>
    <row r="189" spans="1:12" ht="15.75">
      <c r="A189" s="116">
        <v>3</v>
      </c>
      <c r="B189" s="117"/>
      <c r="C189" s="36" t="s">
        <v>203</v>
      </c>
      <c r="D189" s="114">
        <f>220.69*10.764</f>
        <v>2375.5071599999997</v>
      </c>
      <c r="E189" s="115"/>
      <c r="F189" s="36">
        <v>0</v>
      </c>
      <c r="G189" s="36">
        <f>D189*1.6+F189</f>
        <v>3800.8114559999995</v>
      </c>
      <c r="H189" s="36" t="s">
        <v>202</v>
      </c>
      <c r="I189" s="103"/>
      <c r="J189" s="104"/>
    </row>
    <row r="190" spans="1:12" ht="15.75">
      <c r="A190" s="116">
        <v>4</v>
      </c>
      <c r="B190" s="117"/>
      <c r="C190" s="36" t="s">
        <v>201</v>
      </c>
      <c r="D190" s="114">
        <f>177.39*10.764</f>
        <v>1909.4259599999998</v>
      </c>
      <c r="E190" s="115"/>
      <c r="F190" s="36">
        <v>0</v>
      </c>
      <c r="G190" s="36">
        <f>D190*1.6+F190</f>
        <v>3055.0815359999997</v>
      </c>
      <c r="H190" s="36" t="s">
        <v>202</v>
      </c>
      <c r="I190" s="105"/>
      <c r="J190" s="106"/>
    </row>
    <row r="191" spans="1:12" ht="15.75" hidden="1">
      <c r="A191" s="123" t="s">
        <v>215</v>
      </c>
      <c r="B191" s="124"/>
      <c r="C191" s="124"/>
      <c r="D191" s="124"/>
      <c r="E191" s="124"/>
      <c r="F191" s="124"/>
      <c r="G191" s="124"/>
      <c r="H191" s="124"/>
      <c r="I191" s="124"/>
      <c r="J191" s="125"/>
    </row>
    <row r="192" spans="1:12" ht="15.75" customHeight="1">
      <c r="A192" s="123" t="s">
        <v>216</v>
      </c>
      <c r="B192" s="124"/>
      <c r="C192" s="124"/>
      <c r="D192" s="124"/>
      <c r="E192" s="124"/>
      <c r="F192" s="124"/>
      <c r="G192" s="124"/>
      <c r="H192" s="124"/>
      <c r="I192" s="124"/>
      <c r="J192" s="125"/>
    </row>
    <row r="193" spans="1:12" ht="15.75">
      <c r="A193" s="116">
        <v>1</v>
      </c>
      <c r="B193" s="117"/>
      <c r="C193" s="116" t="s">
        <v>200</v>
      </c>
      <c r="D193" s="129"/>
      <c r="E193" s="129"/>
      <c r="F193" s="129"/>
      <c r="G193" s="129"/>
      <c r="H193" s="117"/>
      <c r="I193" s="101" t="str">
        <f>A192</f>
        <v>35th Floor (Part refuge Area)</v>
      </c>
      <c r="J193" s="102"/>
    </row>
    <row r="194" spans="1:12" ht="15.75">
      <c r="A194" s="116">
        <v>2</v>
      </c>
      <c r="B194" s="117"/>
      <c r="C194" s="36" t="s">
        <v>201</v>
      </c>
      <c r="D194" s="114">
        <f>177.34*10.764</f>
        <v>1908.8877599999998</v>
      </c>
      <c r="E194" s="115"/>
      <c r="F194" s="36">
        <v>0</v>
      </c>
      <c r="G194" s="36">
        <f>D194*1.6+F194</f>
        <v>3054.2204160000001</v>
      </c>
      <c r="H194" s="36" t="s">
        <v>202</v>
      </c>
      <c r="I194" s="103"/>
      <c r="J194" s="104"/>
    </row>
    <row r="195" spans="1:12" ht="15.75">
      <c r="A195" s="116">
        <v>3</v>
      </c>
      <c r="B195" s="117"/>
      <c r="C195" s="36" t="s">
        <v>203</v>
      </c>
      <c r="D195" s="114">
        <f>220.69*10.764</f>
        <v>2375.5071599999997</v>
      </c>
      <c r="E195" s="115"/>
      <c r="F195" s="36">
        <v>0</v>
      </c>
      <c r="G195" s="36">
        <f>D195*1.6+F195</f>
        <v>3800.8114559999995</v>
      </c>
      <c r="H195" s="36" t="s">
        <v>202</v>
      </c>
      <c r="I195" s="103"/>
      <c r="J195" s="104"/>
      <c r="L195">
        <v>3</v>
      </c>
    </row>
    <row r="196" spans="1:12" ht="15.75">
      <c r="A196" s="116">
        <v>4</v>
      </c>
      <c r="B196" s="117"/>
      <c r="C196" s="36" t="s">
        <v>201</v>
      </c>
      <c r="D196" s="114">
        <f>177.39*10.764</f>
        <v>1909.4259599999998</v>
      </c>
      <c r="E196" s="115"/>
      <c r="F196" s="36">
        <v>0</v>
      </c>
      <c r="G196" s="36">
        <f>D196*1.6+F196</f>
        <v>3055.0815359999997</v>
      </c>
      <c r="H196" s="36" t="s">
        <v>202</v>
      </c>
      <c r="I196" s="105"/>
      <c r="J196" s="106"/>
    </row>
    <row r="197" spans="1:12" ht="15.75" customHeight="1">
      <c r="A197" s="123" t="s">
        <v>217</v>
      </c>
      <c r="B197" s="124"/>
      <c r="C197" s="124"/>
      <c r="D197" s="124"/>
      <c r="E197" s="124"/>
      <c r="F197" s="124"/>
      <c r="G197" s="124"/>
      <c r="H197" s="124"/>
      <c r="I197" s="124"/>
      <c r="J197" s="125"/>
    </row>
    <row r="198" spans="1:12" ht="15.75">
      <c r="A198" s="116">
        <v>1</v>
      </c>
      <c r="B198" s="117"/>
      <c r="C198" s="116" t="s">
        <v>205</v>
      </c>
      <c r="D198" s="129"/>
      <c r="E198" s="129"/>
      <c r="F198" s="129"/>
      <c r="G198" s="129"/>
      <c r="H198" s="117"/>
      <c r="I198" s="101" t="str">
        <f>A197</f>
        <v>36th &amp; 43rd Floor</v>
      </c>
      <c r="J198" s="102"/>
    </row>
    <row r="199" spans="1:12" ht="15.75">
      <c r="A199" s="116">
        <v>2</v>
      </c>
      <c r="B199" s="117"/>
      <c r="C199" s="36" t="s">
        <v>201</v>
      </c>
      <c r="D199" s="114">
        <f>177.34*10.764</f>
        <v>1908.8877599999998</v>
      </c>
      <c r="E199" s="115"/>
      <c r="F199" s="36">
        <v>0</v>
      </c>
      <c r="G199" s="36">
        <f>D199*1.6+F199</f>
        <v>3054.2204160000001</v>
      </c>
      <c r="H199" s="36" t="s">
        <v>202</v>
      </c>
      <c r="I199" s="103"/>
      <c r="J199" s="104"/>
    </row>
    <row r="200" spans="1:12" ht="15.75">
      <c r="A200" s="116">
        <v>3</v>
      </c>
      <c r="B200" s="117"/>
      <c r="C200" s="36" t="s">
        <v>203</v>
      </c>
      <c r="D200" s="114">
        <f>220.69*10.764</f>
        <v>2375.5071599999997</v>
      </c>
      <c r="E200" s="115"/>
      <c r="F200" s="36">
        <v>0</v>
      </c>
      <c r="G200" s="36">
        <f>D200*1.6+F200</f>
        <v>3800.8114559999995</v>
      </c>
      <c r="H200" s="36" t="s">
        <v>202</v>
      </c>
      <c r="I200" s="103"/>
      <c r="J200" s="104"/>
      <c r="L200">
        <v>6</v>
      </c>
    </row>
    <row r="201" spans="1:12" ht="15.75">
      <c r="A201" s="116">
        <v>4</v>
      </c>
      <c r="B201" s="117"/>
      <c r="C201" s="36" t="s">
        <v>201</v>
      </c>
      <c r="D201" s="114">
        <f>177.39*10.764</f>
        <v>1909.4259599999998</v>
      </c>
      <c r="E201" s="115"/>
      <c r="F201" s="36">
        <v>0</v>
      </c>
      <c r="G201" s="36">
        <f>D201*1.6+F201</f>
        <v>3055.0815359999997</v>
      </c>
      <c r="H201" s="36" t="s">
        <v>202</v>
      </c>
      <c r="I201" s="105"/>
      <c r="J201" s="106"/>
    </row>
    <row r="202" spans="1:12" ht="15.75" customHeight="1">
      <c r="A202" s="123" t="s">
        <v>218</v>
      </c>
      <c r="B202" s="124"/>
      <c r="C202" s="124"/>
      <c r="D202" s="124"/>
      <c r="E202" s="124"/>
      <c r="F202" s="124"/>
      <c r="G202" s="124"/>
      <c r="H202" s="124"/>
      <c r="I202" s="124"/>
      <c r="J202" s="125"/>
    </row>
    <row r="203" spans="1:12" ht="15.75">
      <c r="A203" s="116">
        <v>1</v>
      </c>
      <c r="B203" s="117"/>
      <c r="C203" s="116" t="s">
        <v>200</v>
      </c>
      <c r="D203" s="129"/>
      <c r="E203" s="129"/>
      <c r="F203" s="129"/>
      <c r="G203" s="129"/>
      <c r="H203" s="117"/>
      <c r="I203" s="101" t="str">
        <f>A202</f>
        <v>42nd Floor (Part refuge Area)</v>
      </c>
      <c r="J203" s="102"/>
    </row>
    <row r="204" spans="1:12" ht="15.75">
      <c r="A204" s="116">
        <v>2</v>
      </c>
      <c r="B204" s="117"/>
      <c r="C204" s="36" t="s">
        <v>201</v>
      </c>
      <c r="D204" s="114">
        <f>177.34*10.764</f>
        <v>1908.8877599999998</v>
      </c>
      <c r="E204" s="115"/>
      <c r="F204" s="36">
        <v>0</v>
      </c>
      <c r="G204" s="36">
        <f>D204*1.6+F204</f>
        <v>3054.2204160000001</v>
      </c>
      <c r="H204" s="36" t="s">
        <v>202</v>
      </c>
      <c r="I204" s="103"/>
      <c r="J204" s="104"/>
    </row>
    <row r="205" spans="1:12" ht="15.75">
      <c r="A205" s="116">
        <v>3</v>
      </c>
      <c r="B205" s="117"/>
      <c r="C205" s="36" t="s">
        <v>203</v>
      </c>
      <c r="D205" s="114">
        <f>220.69*10.764</f>
        <v>2375.5071599999997</v>
      </c>
      <c r="E205" s="115"/>
      <c r="F205" s="36">
        <v>0</v>
      </c>
      <c r="G205" s="36">
        <f>D205*1.6+F205</f>
        <v>3800.8114559999995</v>
      </c>
      <c r="H205" s="36" t="s">
        <v>202</v>
      </c>
      <c r="I205" s="103"/>
      <c r="J205" s="104"/>
      <c r="L205">
        <v>3</v>
      </c>
    </row>
    <row r="206" spans="1:12" ht="15.75">
      <c r="A206" s="116">
        <v>4</v>
      </c>
      <c r="B206" s="117"/>
      <c r="C206" s="36" t="s">
        <v>201</v>
      </c>
      <c r="D206" s="114">
        <f>177.39*10.764</f>
        <v>1909.4259599999998</v>
      </c>
      <c r="E206" s="115"/>
      <c r="F206" s="36">
        <v>0</v>
      </c>
      <c r="G206" s="36">
        <f>D206*1.6+F206</f>
        <v>3055.0815359999997</v>
      </c>
      <c r="H206" s="36" t="s">
        <v>202</v>
      </c>
      <c r="I206" s="105"/>
      <c r="J206" s="106"/>
    </row>
    <row r="207" spans="1:12" ht="15.75">
      <c r="A207" s="123" t="s">
        <v>219</v>
      </c>
      <c r="B207" s="124"/>
      <c r="C207" s="124"/>
      <c r="D207" s="124"/>
      <c r="E207" s="124"/>
      <c r="F207" s="124"/>
      <c r="G207" s="124"/>
      <c r="H207" s="124"/>
      <c r="I207" s="124"/>
      <c r="J207" s="125"/>
    </row>
    <row r="208" spans="1:12" ht="15.75">
      <c r="A208" s="116">
        <v>1</v>
      </c>
      <c r="B208" s="117"/>
      <c r="C208" s="36" t="s">
        <v>203</v>
      </c>
      <c r="D208" s="114">
        <f>220.63*10.764</f>
        <v>2374.86132</v>
      </c>
      <c r="E208" s="115"/>
      <c r="F208" s="36">
        <v>0</v>
      </c>
      <c r="G208" s="36">
        <f>D208*1.6+F208</f>
        <v>3799.778112</v>
      </c>
      <c r="H208" s="36" t="s">
        <v>202</v>
      </c>
      <c r="I208" s="101" t="str">
        <f>A207</f>
        <v>44th to 48th, 51st to 55th, 58th to 60th Floor</v>
      </c>
      <c r="J208" s="102"/>
    </row>
    <row r="209" spans="1:12" ht="15.75">
      <c r="A209" s="116">
        <v>2</v>
      </c>
      <c r="B209" s="117"/>
      <c r="C209" s="36" t="s">
        <v>201</v>
      </c>
      <c r="D209" s="114">
        <f>179.82*10.764</f>
        <v>1935.5824799999998</v>
      </c>
      <c r="E209" s="115"/>
      <c r="F209" s="36">
        <v>0</v>
      </c>
      <c r="G209" s="36">
        <f>D209*1.6+F209</f>
        <v>3096.9319679999999</v>
      </c>
      <c r="H209" s="36" t="s">
        <v>202</v>
      </c>
      <c r="I209" s="103"/>
      <c r="J209" s="104"/>
      <c r="L209">
        <f>13*4</f>
        <v>52</v>
      </c>
    </row>
    <row r="210" spans="1:12" ht="15.75">
      <c r="A210" s="116">
        <v>3</v>
      </c>
      <c r="B210" s="117"/>
      <c r="C210" s="36" t="s">
        <v>203</v>
      </c>
      <c r="D210" s="114">
        <f>222.18*10.764</f>
        <v>2391.5455200000001</v>
      </c>
      <c r="E210" s="115"/>
      <c r="F210" s="36">
        <v>0</v>
      </c>
      <c r="G210" s="36">
        <f>D210*1.6+F210</f>
        <v>3826.4728320000004</v>
      </c>
      <c r="H210" s="36" t="s">
        <v>202</v>
      </c>
      <c r="I210" s="103"/>
      <c r="J210" s="104"/>
    </row>
    <row r="211" spans="1:12" ht="15.75">
      <c r="A211" s="116">
        <v>4</v>
      </c>
      <c r="B211" s="117"/>
      <c r="C211" s="36" t="s">
        <v>201</v>
      </c>
      <c r="D211" s="114">
        <f>179.87*10.764</f>
        <v>1936.12068</v>
      </c>
      <c r="E211" s="115"/>
      <c r="F211" s="36">
        <v>0</v>
      </c>
      <c r="G211" s="36">
        <f>D211*1.6+F211</f>
        <v>3097.7930880000004</v>
      </c>
      <c r="H211" s="36" t="s">
        <v>202</v>
      </c>
      <c r="I211" s="105"/>
      <c r="J211" s="106"/>
    </row>
    <row r="212" spans="1:12" ht="15.75">
      <c r="A212" s="131" t="s">
        <v>220</v>
      </c>
      <c r="B212" s="131"/>
      <c r="C212" s="131"/>
      <c r="D212" s="131"/>
      <c r="E212" s="131"/>
      <c r="F212" s="131"/>
      <c r="G212" s="131"/>
      <c r="H212" s="131"/>
      <c r="I212" s="131"/>
      <c r="J212" s="131"/>
    </row>
    <row r="213" spans="1:12" ht="15.75" customHeight="1">
      <c r="A213" s="131" t="s">
        <v>221</v>
      </c>
      <c r="B213" s="131"/>
      <c r="C213" s="131"/>
      <c r="D213" s="131"/>
      <c r="E213" s="131"/>
      <c r="F213" s="131"/>
      <c r="G213" s="131"/>
      <c r="H213" s="131"/>
      <c r="I213" s="131"/>
      <c r="J213" s="131"/>
    </row>
    <row r="214" spans="1:12" ht="15.75">
      <c r="A214" s="107">
        <v>1</v>
      </c>
      <c r="B214" s="107"/>
      <c r="C214" s="107" t="s">
        <v>200</v>
      </c>
      <c r="D214" s="107"/>
      <c r="E214" s="107"/>
      <c r="F214" s="107"/>
      <c r="G214" s="107"/>
      <c r="H214" s="107"/>
      <c r="I214" s="107" t="str">
        <f>A213</f>
        <v>49th &amp; 56th Floor (Part refuge Area)</v>
      </c>
      <c r="J214" s="107"/>
    </row>
    <row r="215" spans="1:12" ht="15.75">
      <c r="A215" s="107">
        <v>2</v>
      </c>
      <c r="B215" s="107"/>
      <c r="C215" s="66" t="s">
        <v>201</v>
      </c>
      <c r="D215" s="130">
        <f>179.82*10.764</f>
        <v>1935.5824799999998</v>
      </c>
      <c r="E215" s="130"/>
      <c r="F215" s="66">
        <v>0</v>
      </c>
      <c r="G215" s="66">
        <f>D215*1.6+F215</f>
        <v>3096.9319679999999</v>
      </c>
      <c r="H215" s="66" t="s">
        <v>202</v>
      </c>
      <c r="I215" s="107"/>
      <c r="J215" s="107"/>
    </row>
    <row r="216" spans="1:12" ht="15.75">
      <c r="A216" s="107">
        <v>3</v>
      </c>
      <c r="B216" s="107"/>
      <c r="C216" s="66" t="s">
        <v>203</v>
      </c>
      <c r="D216" s="130">
        <f>222.18*10.764</f>
        <v>2391.5455200000001</v>
      </c>
      <c r="E216" s="130"/>
      <c r="F216" s="66">
        <v>0</v>
      </c>
      <c r="G216" s="66">
        <f>D216*1.6+F216</f>
        <v>3826.4728320000004</v>
      </c>
      <c r="H216" s="66" t="s">
        <v>202</v>
      </c>
      <c r="I216" s="107"/>
      <c r="J216" s="107"/>
      <c r="L216">
        <v>6</v>
      </c>
    </row>
    <row r="217" spans="1:12" ht="15.75">
      <c r="A217" s="107">
        <v>4</v>
      </c>
      <c r="B217" s="107"/>
      <c r="C217" s="66" t="s">
        <v>201</v>
      </c>
      <c r="D217" s="130">
        <f>179.87*10.764</f>
        <v>1936.12068</v>
      </c>
      <c r="E217" s="130"/>
      <c r="F217" s="66">
        <v>0</v>
      </c>
      <c r="G217" s="66">
        <f>D217*1.6+F217</f>
        <v>3097.7930880000004</v>
      </c>
      <c r="H217" s="66" t="s">
        <v>202</v>
      </c>
      <c r="I217" s="107"/>
      <c r="J217" s="107"/>
    </row>
    <row r="218" spans="1:12" ht="15.75" customHeight="1">
      <c r="A218" s="131" t="s">
        <v>222</v>
      </c>
      <c r="B218" s="131"/>
      <c r="C218" s="131"/>
      <c r="D218" s="131"/>
      <c r="E218" s="131"/>
      <c r="F218" s="131"/>
      <c r="G218" s="131"/>
      <c r="H218" s="131"/>
      <c r="I218" s="131"/>
      <c r="J218" s="131"/>
    </row>
    <row r="219" spans="1:12" ht="15.75">
      <c r="A219" s="107">
        <v>1</v>
      </c>
      <c r="B219" s="107"/>
      <c r="C219" s="107" t="s">
        <v>205</v>
      </c>
      <c r="D219" s="107"/>
      <c r="E219" s="107"/>
      <c r="F219" s="107"/>
      <c r="G219" s="107"/>
      <c r="H219" s="107"/>
      <c r="I219" s="107" t="str">
        <f>A218</f>
        <v>50th &amp; 57th Floor</v>
      </c>
      <c r="J219" s="107"/>
    </row>
    <row r="220" spans="1:12" ht="15.75">
      <c r="A220" s="107">
        <v>2</v>
      </c>
      <c r="B220" s="107"/>
      <c r="C220" s="66" t="s">
        <v>201</v>
      </c>
      <c r="D220" s="130">
        <f>179.82*10.764</f>
        <v>1935.5824799999998</v>
      </c>
      <c r="E220" s="130"/>
      <c r="F220" s="66">
        <v>0</v>
      </c>
      <c r="G220" s="66">
        <f>D220*1.6+F220</f>
        <v>3096.9319679999999</v>
      </c>
      <c r="H220" s="66" t="s">
        <v>202</v>
      </c>
      <c r="I220" s="107"/>
      <c r="J220" s="107"/>
    </row>
    <row r="221" spans="1:12" ht="15.75">
      <c r="A221" s="107">
        <v>3</v>
      </c>
      <c r="B221" s="107"/>
      <c r="C221" s="66" t="s">
        <v>203</v>
      </c>
      <c r="D221" s="130">
        <f>222.18*10.764</f>
        <v>2391.5455200000001</v>
      </c>
      <c r="E221" s="130"/>
      <c r="F221" s="66">
        <v>0</v>
      </c>
      <c r="G221" s="66">
        <f>D221*1.6+F221</f>
        <v>3826.4728320000004</v>
      </c>
      <c r="H221" s="66" t="s">
        <v>202</v>
      </c>
      <c r="I221" s="107"/>
      <c r="J221" s="107"/>
    </row>
    <row r="222" spans="1:12" ht="15.75">
      <c r="A222" s="107">
        <v>4</v>
      </c>
      <c r="B222" s="107"/>
      <c r="C222" s="66" t="s">
        <v>201</v>
      </c>
      <c r="D222" s="130">
        <f>179.87*10.764</f>
        <v>1936.12068</v>
      </c>
      <c r="E222" s="130"/>
      <c r="F222" s="66">
        <v>0</v>
      </c>
      <c r="G222" s="66">
        <f>D222*1.6+F222</f>
        <v>3097.7930880000004</v>
      </c>
      <c r="H222" s="66" t="s">
        <v>202</v>
      </c>
      <c r="I222" s="107"/>
      <c r="J222" s="107"/>
      <c r="L222">
        <v>6</v>
      </c>
    </row>
    <row r="223" spans="1:12" ht="15.75" customHeight="1">
      <c r="A223" s="131" t="s">
        <v>223</v>
      </c>
      <c r="B223" s="131"/>
      <c r="C223" s="131"/>
      <c r="D223" s="131"/>
      <c r="E223" s="131"/>
      <c r="F223" s="131"/>
      <c r="G223" s="131"/>
      <c r="H223" s="131"/>
      <c r="I223" s="131"/>
      <c r="J223" s="131"/>
    </row>
    <row r="224" spans="1:12" ht="15.75" customHeight="1">
      <c r="A224" s="116">
        <v>1</v>
      </c>
      <c r="B224" s="117"/>
      <c r="C224" s="36" t="s">
        <v>203</v>
      </c>
      <c r="D224" s="114">
        <f>224.32*10.764</f>
        <v>2414.5804799999996</v>
      </c>
      <c r="E224" s="115"/>
      <c r="F224" s="36">
        <v>0</v>
      </c>
      <c r="G224" s="36">
        <f>D224*1.6+F224</f>
        <v>3863.3287679999994</v>
      </c>
      <c r="H224" s="36" t="s">
        <v>202</v>
      </c>
      <c r="I224" s="101" t="str">
        <f>A223</f>
        <v>61th Floor</v>
      </c>
      <c r="J224" s="102"/>
    </row>
    <row r="225" spans="1:12" ht="15.75">
      <c r="A225" s="116">
        <v>2</v>
      </c>
      <c r="B225" s="117"/>
      <c r="C225" s="36" t="s">
        <v>201</v>
      </c>
      <c r="D225" s="114">
        <f>181.27*10.764</f>
        <v>1951.19028</v>
      </c>
      <c r="E225" s="115"/>
      <c r="F225" s="36">
        <v>0</v>
      </c>
      <c r="G225" s="36">
        <f>D225*1.6+F225</f>
        <v>3121.9044480000002</v>
      </c>
      <c r="H225" s="36" t="s">
        <v>202</v>
      </c>
      <c r="I225" s="103"/>
      <c r="J225" s="104"/>
      <c r="L225">
        <v>4</v>
      </c>
    </row>
    <row r="226" spans="1:12" ht="15.75">
      <c r="A226" s="116">
        <v>3</v>
      </c>
      <c r="B226" s="117"/>
      <c r="C226" s="36" t="s">
        <v>203</v>
      </c>
      <c r="D226" s="118">
        <f>224.38*10.764</f>
        <v>2415.2263199999998</v>
      </c>
      <c r="E226" s="119"/>
      <c r="F226" s="36">
        <v>0</v>
      </c>
      <c r="G226" s="36">
        <f>D226*1.6+F226</f>
        <v>3864.3621119999998</v>
      </c>
      <c r="H226" s="36" t="s">
        <v>202</v>
      </c>
      <c r="I226" s="103"/>
      <c r="J226" s="104"/>
    </row>
    <row r="227" spans="1:12" ht="15.75">
      <c r="A227" s="116">
        <v>4</v>
      </c>
      <c r="B227" s="117"/>
      <c r="C227" s="36" t="s">
        <v>201</v>
      </c>
      <c r="D227" s="114">
        <f>181.32*10.764</f>
        <v>1951.7284799999998</v>
      </c>
      <c r="E227" s="115"/>
      <c r="F227" s="36">
        <v>0</v>
      </c>
      <c r="G227" s="36">
        <f>D227*1.6+F227</f>
        <v>3122.7655679999998</v>
      </c>
      <c r="H227" s="36" t="s">
        <v>202</v>
      </c>
      <c r="I227" s="105"/>
      <c r="J227" s="106"/>
    </row>
    <row r="228" spans="1:12" ht="15.75" customHeight="1">
      <c r="A228" s="123" t="s">
        <v>224</v>
      </c>
      <c r="B228" s="124"/>
      <c r="C228" s="124"/>
      <c r="D228" s="124"/>
      <c r="E228" s="124"/>
      <c r="F228" s="124"/>
      <c r="G228" s="124"/>
      <c r="H228" s="124"/>
      <c r="I228" s="124"/>
      <c r="J228" s="125"/>
    </row>
    <row r="229" spans="1:12" ht="15.75">
      <c r="A229" s="116">
        <v>1</v>
      </c>
      <c r="B229" s="117"/>
      <c r="C229" s="36" t="s">
        <v>203</v>
      </c>
      <c r="D229" s="114">
        <f>181.27*10.764</f>
        <v>1951.19028</v>
      </c>
      <c r="E229" s="115"/>
      <c r="F229" s="36">
        <v>0</v>
      </c>
      <c r="G229" s="36">
        <f>D229*1.6+F229</f>
        <v>3121.9044480000002</v>
      </c>
      <c r="H229" s="36" t="s">
        <v>202</v>
      </c>
      <c r="I229" s="101" t="str">
        <f>A228</f>
        <v>62nd Floor</v>
      </c>
      <c r="J229" s="102"/>
      <c r="L229">
        <v>3</v>
      </c>
    </row>
    <row r="230" spans="1:12" ht="47.25">
      <c r="A230" s="116">
        <v>2</v>
      </c>
      <c r="B230" s="117"/>
      <c r="C230" s="36" t="s">
        <v>225</v>
      </c>
      <c r="D230" s="114">
        <f>(174.52+108.37)*10.764</f>
        <v>3045.0279599999999</v>
      </c>
      <c r="E230" s="115"/>
      <c r="F230" s="36">
        <v>0</v>
      </c>
      <c r="G230" s="36">
        <f>D230*1.6+F230</f>
        <v>4872.0447359999998</v>
      </c>
      <c r="H230" s="36" t="s">
        <v>202</v>
      </c>
      <c r="I230" s="103"/>
      <c r="J230" s="104"/>
      <c r="L230">
        <v>1</v>
      </c>
    </row>
    <row r="231" spans="1:12" ht="15.75">
      <c r="A231" s="116">
        <v>3</v>
      </c>
      <c r="B231" s="117"/>
      <c r="C231" s="36" t="s">
        <v>203</v>
      </c>
      <c r="D231" s="118">
        <f>224.38*10.764</f>
        <v>2415.2263199999998</v>
      </c>
      <c r="E231" s="119"/>
      <c r="F231" s="36">
        <v>0</v>
      </c>
      <c r="G231" s="36">
        <f>D231*1.6+F231</f>
        <v>3864.3621119999998</v>
      </c>
      <c r="H231" s="36" t="s">
        <v>202</v>
      </c>
      <c r="I231" s="103"/>
      <c r="J231" s="104"/>
    </row>
    <row r="232" spans="1:12" ht="15.75">
      <c r="A232" s="116">
        <v>4</v>
      </c>
      <c r="B232" s="117"/>
      <c r="C232" s="36" t="s">
        <v>201</v>
      </c>
      <c r="D232" s="114">
        <f>181.32*10.764</f>
        <v>1951.7284799999998</v>
      </c>
      <c r="E232" s="115"/>
      <c r="F232" s="36">
        <v>0</v>
      </c>
      <c r="G232" s="36">
        <f>D232*1.6+F232</f>
        <v>3122.7655679999998</v>
      </c>
      <c r="H232" s="36" t="s">
        <v>202</v>
      </c>
      <c r="I232" s="105"/>
      <c r="J232" s="106"/>
    </row>
    <row r="233" spans="1:12" ht="15.75" customHeight="1">
      <c r="A233" s="123" t="s">
        <v>226</v>
      </c>
      <c r="B233" s="124"/>
      <c r="C233" s="124"/>
      <c r="D233" s="124"/>
      <c r="E233" s="124"/>
      <c r="F233" s="124"/>
      <c r="G233" s="124"/>
      <c r="H233" s="124"/>
      <c r="I233" s="124"/>
      <c r="J233" s="125"/>
    </row>
    <row r="234" spans="1:12" ht="15.75">
      <c r="A234" s="116">
        <v>1</v>
      </c>
      <c r="B234" s="117"/>
      <c r="C234" s="36" t="s">
        <v>203</v>
      </c>
      <c r="D234" s="114">
        <f>181.27*10.764</f>
        <v>1951.19028</v>
      </c>
      <c r="E234" s="115"/>
      <c r="F234" s="36">
        <v>0</v>
      </c>
      <c r="G234" s="36">
        <f>D234*1.6+F234</f>
        <v>3121.9044480000002</v>
      </c>
      <c r="H234" s="36" t="s">
        <v>202</v>
      </c>
      <c r="I234" s="101" t="str">
        <f>A233</f>
        <v>63rd Floor</v>
      </c>
      <c r="J234" s="102"/>
    </row>
    <row r="235" spans="1:12" ht="15.75">
      <c r="A235" s="116">
        <v>2</v>
      </c>
      <c r="B235" s="117"/>
      <c r="C235" s="116" t="s">
        <v>227</v>
      </c>
      <c r="D235" s="129"/>
      <c r="E235" s="129"/>
      <c r="F235" s="129"/>
      <c r="G235" s="129"/>
      <c r="H235" s="117"/>
      <c r="I235" s="103"/>
      <c r="J235" s="104"/>
      <c r="L235">
        <v>1</v>
      </c>
    </row>
    <row r="236" spans="1:12" ht="15.75">
      <c r="A236" s="116">
        <v>3</v>
      </c>
      <c r="B236" s="117"/>
      <c r="C236" s="36" t="s">
        <v>203</v>
      </c>
      <c r="D236" s="118">
        <f>224.38*10.764</f>
        <v>2415.2263199999998</v>
      </c>
      <c r="E236" s="119"/>
      <c r="F236" s="36">
        <v>0</v>
      </c>
      <c r="G236" s="36">
        <f>D236*1.6+F236</f>
        <v>3864.3621119999998</v>
      </c>
      <c r="H236" s="36" t="s">
        <v>202</v>
      </c>
      <c r="I236" s="103"/>
      <c r="J236" s="104"/>
      <c r="L236">
        <v>3</v>
      </c>
    </row>
    <row r="237" spans="1:12" ht="15.75">
      <c r="A237" s="116">
        <v>4</v>
      </c>
      <c r="B237" s="117"/>
      <c r="C237" s="36" t="s">
        <v>201</v>
      </c>
      <c r="D237" s="114">
        <f>181.32*10.764</f>
        <v>1951.7284799999998</v>
      </c>
      <c r="E237" s="115"/>
      <c r="F237" s="36">
        <v>0</v>
      </c>
      <c r="G237" s="36">
        <f>D237*1.6+F237</f>
        <v>3122.7655679999998</v>
      </c>
      <c r="H237" s="36" t="s">
        <v>202</v>
      </c>
      <c r="I237" s="105"/>
      <c r="J237" s="106"/>
    </row>
    <row r="238" spans="1:12" ht="15.75">
      <c r="A238" s="116"/>
      <c r="B238" s="129"/>
      <c r="C238" s="129"/>
      <c r="D238" s="129"/>
      <c r="E238" s="129"/>
      <c r="F238" s="129"/>
      <c r="G238" s="129"/>
      <c r="H238" s="129"/>
      <c r="I238" s="129"/>
      <c r="J238" s="117"/>
    </row>
    <row r="239" spans="1:12" ht="15.75">
      <c r="A239" s="131" t="s">
        <v>228</v>
      </c>
      <c r="B239" s="131"/>
      <c r="C239" s="131"/>
      <c r="D239" s="131"/>
      <c r="E239" s="131"/>
      <c r="F239" s="131"/>
      <c r="G239" s="131"/>
      <c r="H239" s="131"/>
      <c r="I239" s="131"/>
      <c r="J239" s="131"/>
    </row>
    <row r="240" spans="1:12" ht="15.75">
      <c r="A240" s="136" t="s">
        <v>194</v>
      </c>
      <c r="B240" s="137"/>
      <c r="C240" s="137"/>
      <c r="D240" s="137"/>
      <c r="E240" s="137"/>
      <c r="F240" s="137"/>
      <c r="G240" s="137"/>
      <c r="H240" s="137"/>
      <c r="I240" s="137"/>
      <c r="J240" s="138"/>
    </row>
    <row r="241" spans="1:12" ht="15.75">
      <c r="A241" s="136" t="s">
        <v>195</v>
      </c>
      <c r="B241" s="137"/>
      <c r="C241" s="137"/>
      <c r="D241" s="137"/>
      <c r="E241" s="137"/>
      <c r="F241" s="137"/>
      <c r="G241" s="137"/>
      <c r="H241" s="137"/>
      <c r="I241" s="137"/>
      <c r="J241" s="138"/>
    </row>
    <row r="242" spans="1:12" ht="15.75">
      <c r="A242" s="136" t="s">
        <v>196</v>
      </c>
      <c r="B242" s="137"/>
      <c r="C242" s="137"/>
      <c r="D242" s="137"/>
      <c r="E242" s="137"/>
      <c r="F242" s="137"/>
      <c r="G242" s="137"/>
      <c r="H242" s="137"/>
      <c r="I242" s="137"/>
      <c r="J242" s="138"/>
    </row>
    <row r="243" spans="1:12" ht="15.75">
      <c r="A243" s="136" t="s">
        <v>197</v>
      </c>
      <c r="B243" s="137"/>
      <c r="C243" s="137"/>
      <c r="D243" s="137"/>
      <c r="E243" s="137"/>
      <c r="F243" s="137"/>
      <c r="G243" s="137"/>
      <c r="H243" s="137"/>
      <c r="I243" s="137"/>
      <c r="J243" s="138"/>
    </row>
    <row r="244" spans="1:12" ht="15.75">
      <c r="A244" s="136" t="s">
        <v>229</v>
      </c>
      <c r="B244" s="137"/>
      <c r="C244" s="137"/>
      <c r="D244" s="137"/>
      <c r="E244" s="137"/>
      <c r="F244" s="137"/>
      <c r="G244" s="137"/>
      <c r="H244" s="137"/>
      <c r="I244" s="137"/>
      <c r="J244" s="138"/>
    </row>
    <row r="245" spans="1:12" ht="15.75">
      <c r="A245" s="123" t="s">
        <v>199</v>
      </c>
      <c r="B245" s="124"/>
      <c r="C245" s="124"/>
      <c r="D245" s="124"/>
      <c r="E245" s="124"/>
      <c r="F245" s="124"/>
      <c r="G245" s="124"/>
      <c r="H245" s="124"/>
      <c r="I245" s="124"/>
      <c r="J245" s="125"/>
    </row>
    <row r="246" spans="1:12" ht="15.75">
      <c r="A246" s="116">
        <v>1</v>
      </c>
      <c r="B246" s="117"/>
      <c r="C246" s="36" t="s">
        <v>201</v>
      </c>
      <c r="D246" s="114">
        <f>175.23*10.764</f>
        <v>1886.1757199999997</v>
      </c>
      <c r="E246" s="115"/>
      <c r="F246" s="36">
        <v>0</v>
      </c>
      <c r="G246" s="36">
        <f>D246*1.6+F246</f>
        <v>3017.8811519999999</v>
      </c>
      <c r="H246" s="36" t="s">
        <v>202</v>
      </c>
      <c r="I246" s="101" t="str">
        <f>A245</f>
        <v>14th Floor (Part refuge Area)</v>
      </c>
      <c r="J246" s="102"/>
    </row>
    <row r="247" spans="1:12" ht="15.75">
      <c r="A247" s="116">
        <v>2</v>
      </c>
      <c r="B247" s="117"/>
      <c r="C247" s="36" t="s">
        <v>201</v>
      </c>
      <c r="D247" s="114">
        <f>172.18*10.764</f>
        <v>1853.3455199999999</v>
      </c>
      <c r="E247" s="115"/>
      <c r="F247" s="36">
        <v>0</v>
      </c>
      <c r="G247" s="36">
        <f>D247*1.6+F247</f>
        <v>2965.352832</v>
      </c>
      <c r="H247" s="36" t="s">
        <v>202</v>
      </c>
      <c r="I247" s="103"/>
      <c r="J247" s="104"/>
    </row>
    <row r="248" spans="1:12" ht="15.75">
      <c r="A248" s="116">
        <v>3</v>
      </c>
      <c r="B248" s="117"/>
      <c r="C248" s="116" t="s">
        <v>200</v>
      </c>
      <c r="D248" s="129"/>
      <c r="E248" s="129"/>
      <c r="F248" s="129"/>
      <c r="G248" s="129"/>
      <c r="H248" s="117"/>
      <c r="I248" s="103"/>
      <c r="J248" s="104"/>
      <c r="L248">
        <v>3</v>
      </c>
    </row>
    <row r="249" spans="1:12" ht="15.75">
      <c r="A249" s="116">
        <v>4</v>
      </c>
      <c r="B249" s="117"/>
      <c r="C249" s="36" t="s">
        <v>201</v>
      </c>
      <c r="D249" s="114">
        <f>172.18*10.764</f>
        <v>1853.3455199999999</v>
      </c>
      <c r="E249" s="115"/>
      <c r="F249" s="36">
        <v>0</v>
      </c>
      <c r="G249" s="36">
        <f>D249*1.6+F249</f>
        <v>2965.352832</v>
      </c>
      <c r="H249" s="36" t="s">
        <v>202</v>
      </c>
      <c r="I249" s="105"/>
      <c r="J249" s="106"/>
    </row>
    <row r="250" spans="1:12" ht="15.75">
      <c r="A250" s="123" t="s">
        <v>204</v>
      </c>
      <c r="B250" s="124"/>
      <c r="C250" s="124"/>
      <c r="D250" s="124"/>
      <c r="E250" s="124"/>
      <c r="F250" s="124"/>
      <c r="G250" s="124"/>
      <c r="H250" s="124"/>
      <c r="I250" s="124"/>
      <c r="J250" s="125"/>
    </row>
    <row r="251" spans="1:12" ht="15.75" customHeight="1">
      <c r="A251" s="116">
        <v>1</v>
      </c>
      <c r="B251" s="117"/>
      <c r="C251" s="36" t="s">
        <v>201</v>
      </c>
      <c r="D251" s="114">
        <f>175.23*10.764</f>
        <v>1886.1757199999997</v>
      </c>
      <c r="E251" s="115"/>
      <c r="F251" s="36">
        <v>0</v>
      </c>
      <c r="G251" s="36">
        <f>D251*1.6+F251</f>
        <v>3017.8811519999999</v>
      </c>
      <c r="H251" s="36" t="s">
        <v>202</v>
      </c>
      <c r="I251" s="101" t="str">
        <f>A250</f>
        <v>15th Floor</v>
      </c>
      <c r="J251" s="102"/>
    </row>
    <row r="252" spans="1:12" ht="15.75">
      <c r="A252" s="116">
        <v>2</v>
      </c>
      <c r="B252" s="117"/>
      <c r="C252" s="36" t="s">
        <v>201</v>
      </c>
      <c r="D252" s="114">
        <f>172.18*10.764</f>
        <v>1853.3455199999999</v>
      </c>
      <c r="E252" s="115"/>
      <c r="F252" s="36">
        <v>0</v>
      </c>
      <c r="G252" s="36">
        <f>D252*1.6+F252</f>
        <v>2965.352832</v>
      </c>
      <c r="H252" s="36" t="s">
        <v>202</v>
      </c>
      <c r="I252" s="103"/>
      <c r="J252" s="104"/>
      <c r="L252">
        <v>3</v>
      </c>
    </row>
    <row r="253" spans="1:12" ht="15.75">
      <c r="A253" s="116">
        <v>3</v>
      </c>
      <c r="B253" s="117"/>
      <c r="C253" s="116" t="s">
        <v>205</v>
      </c>
      <c r="D253" s="129"/>
      <c r="E253" s="129"/>
      <c r="F253" s="129"/>
      <c r="G253" s="129"/>
      <c r="H253" s="117"/>
      <c r="I253" s="103"/>
      <c r="J253" s="104"/>
    </row>
    <row r="254" spans="1:12" ht="15.75">
      <c r="A254" s="116">
        <v>4</v>
      </c>
      <c r="B254" s="117"/>
      <c r="C254" s="36" t="s">
        <v>201</v>
      </c>
      <c r="D254" s="114">
        <f>172.18*10.764</f>
        <v>1853.3455199999999</v>
      </c>
      <c r="E254" s="115"/>
      <c r="F254" s="36">
        <v>0</v>
      </c>
      <c r="G254" s="36">
        <f>D254*1.6+F254</f>
        <v>2965.352832</v>
      </c>
      <c r="H254" s="36" t="s">
        <v>202</v>
      </c>
      <c r="I254" s="105"/>
      <c r="J254" s="106"/>
    </row>
    <row r="255" spans="1:12" ht="18" customHeight="1">
      <c r="A255" s="123" t="s">
        <v>206</v>
      </c>
      <c r="B255" s="124"/>
      <c r="C255" s="124"/>
      <c r="D255" s="124"/>
      <c r="E255" s="124"/>
      <c r="F255" s="124"/>
      <c r="G255" s="124"/>
      <c r="H255" s="124"/>
      <c r="I255" s="124"/>
      <c r="J255" s="125"/>
    </row>
    <row r="256" spans="1:12" ht="15.75">
      <c r="A256" s="116">
        <v>1</v>
      </c>
      <c r="B256" s="117"/>
      <c r="C256" s="36" t="s">
        <v>201</v>
      </c>
      <c r="D256" s="114">
        <f>175.23*10.764</f>
        <v>1886.1757199999997</v>
      </c>
      <c r="E256" s="115"/>
      <c r="F256" s="36">
        <v>0</v>
      </c>
      <c r="G256" s="36">
        <f>D256*1.6+F256</f>
        <v>3017.8811519999999</v>
      </c>
      <c r="H256" s="36" t="s">
        <v>202</v>
      </c>
      <c r="I256" s="101" t="str">
        <f>A255</f>
        <v>16th to 19th Floor</v>
      </c>
      <c r="J256" s="102"/>
    </row>
    <row r="257" spans="1:12" ht="15.75">
      <c r="A257" s="116">
        <v>2</v>
      </c>
      <c r="B257" s="117"/>
      <c r="C257" s="36" t="s">
        <v>201</v>
      </c>
      <c r="D257" s="114">
        <f>172.18*10.764</f>
        <v>1853.3455199999999</v>
      </c>
      <c r="E257" s="115"/>
      <c r="F257" s="36">
        <v>0</v>
      </c>
      <c r="G257" s="36">
        <f>D257*1.6+F257</f>
        <v>2965.352832</v>
      </c>
      <c r="H257" s="36" t="s">
        <v>202</v>
      </c>
      <c r="I257" s="103"/>
      <c r="J257" s="104"/>
    </row>
    <row r="258" spans="1:12" ht="15.75">
      <c r="A258" s="116">
        <v>3</v>
      </c>
      <c r="B258" s="117"/>
      <c r="C258" s="36" t="s">
        <v>201</v>
      </c>
      <c r="D258" s="114">
        <f>175.23*10.764</f>
        <v>1886.1757199999997</v>
      </c>
      <c r="E258" s="115"/>
      <c r="F258" s="36">
        <v>0</v>
      </c>
      <c r="G258" s="36">
        <f>D258*1.6+F258</f>
        <v>3017.8811519999999</v>
      </c>
      <c r="H258" s="36" t="s">
        <v>202</v>
      </c>
      <c r="I258" s="103"/>
      <c r="J258" s="104"/>
      <c r="L258">
        <v>16</v>
      </c>
    </row>
    <row r="259" spans="1:12" ht="15.75">
      <c r="A259" s="116">
        <v>4</v>
      </c>
      <c r="B259" s="117"/>
      <c r="C259" s="36" t="s">
        <v>201</v>
      </c>
      <c r="D259" s="114">
        <f>172.18*10.764</f>
        <v>1853.3455199999999</v>
      </c>
      <c r="E259" s="115"/>
      <c r="F259" s="36">
        <v>0</v>
      </c>
      <c r="G259" s="36">
        <f>D259*1.6+F259</f>
        <v>2965.352832</v>
      </c>
      <c r="H259" s="36" t="s">
        <v>202</v>
      </c>
      <c r="I259" s="105"/>
      <c r="J259" s="106"/>
    </row>
    <row r="260" spans="1:12" ht="16.5" customHeight="1">
      <c r="A260" s="123" t="s">
        <v>207</v>
      </c>
      <c r="B260" s="124"/>
      <c r="C260" s="124"/>
      <c r="D260" s="124"/>
      <c r="E260" s="124"/>
      <c r="F260" s="124"/>
      <c r="G260" s="124"/>
      <c r="H260" s="124"/>
      <c r="I260" s="124"/>
      <c r="J260" s="125"/>
    </row>
    <row r="261" spans="1:12" ht="15.75">
      <c r="A261" s="116">
        <v>1</v>
      </c>
      <c r="B261" s="117"/>
      <c r="C261" s="36" t="s">
        <v>201</v>
      </c>
      <c r="D261" s="114">
        <f>175.23*10.764</f>
        <v>1886.1757199999997</v>
      </c>
      <c r="E261" s="115"/>
      <c r="F261" s="36">
        <v>0</v>
      </c>
      <c r="G261" s="36">
        <f>D261*1.6+F261</f>
        <v>3017.8811519999999</v>
      </c>
      <c r="H261" s="36" t="s">
        <v>202</v>
      </c>
      <c r="I261" s="101" t="str">
        <f>A260</f>
        <v>20th &amp; 23rd Floor</v>
      </c>
      <c r="J261" s="102"/>
    </row>
    <row r="262" spans="1:12" ht="15.75">
      <c r="A262" s="116">
        <v>2</v>
      </c>
      <c r="B262" s="117"/>
      <c r="C262" s="36" t="s">
        <v>201</v>
      </c>
      <c r="D262" s="114">
        <f>173.53*10.764</f>
        <v>1867.8769199999999</v>
      </c>
      <c r="E262" s="115"/>
      <c r="F262" s="36">
        <v>0</v>
      </c>
      <c r="G262" s="36">
        <f>D262*1.6+F262</f>
        <v>2988.6030719999999</v>
      </c>
      <c r="H262" s="36" t="s">
        <v>202</v>
      </c>
      <c r="I262" s="103"/>
      <c r="J262" s="104"/>
      <c r="L262">
        <v>8</v>
      </c>
    </row>
    <row r="263" spans="1:12" ht="15.75">
      <c r="A263" s="116">
        <v>3</v>
      </c>
      <c r="B263" s="117"/>
      <c r="C263" s="36" t="s">
        <v>201</v>
      </c>
      <c r="D263" s="114">
        <f>175.23*10.764</f>
        <v>1886.1757199999997</v>
      </c>
      <c r="E263" s="115"/>
      <c r="F263" s="36">
        <v>0</v>
      </c>
      <c r="G263" s="36">
        <f>D263*1.6+F263</f>
        <v>3017.8811519999999</v>
      </c>
      <c r="H263" s="36" t="s">
        <v>202</v>
      </c>
      <c r="I263" s="103"/>
      <c r="J263" s="104"/>
    </row>
    <row r="264" spans="1:12" ht="15.75">
      <c r="A264" s="116">
        <v>4</v>
      </c>
      <c r="B264" s="117"/>
      <c r="C264" s="36" t="s">
        <v>201</v>
      </c>
      <c r="D264" s="114">
        <f>173.53*10.764</f>
        <v>1867.8769199999999</v>
      </c>
      <c r="E264" s="115"/>
      <c r="F264" s="36">
        <v>0</v>
      </c>
      <c r="G264" s="36">
        <f>D264*1.6+F264</f>
        <v>2988.6030719999999</v>
      </c>
      <c r="H264" s="36" t="s">
        <v>202</v>
      </c>
      <c r="I264" s="105"/>
      <c r="J264" s="106"/>
    </row>
    <row r="265" spans="1:12" ht="15.75">
      <c r="A265" s="131" t="s">
        <v>208</v>
      </c>
      <c r="B265" s="131"/>
      <c r="C265" s="131"/>
      <c r="D265" s="131"/>
      <c r="E265" s="131"/>
      <c r="F265" s="131"/>
      <c r="G265" s="131"/>
      <c r="H265" s="131"/>
      <c r="I265" s="131"/>
      <c r="J265" s="131"/>
    </row>
    <row r="266" spans="1:12" ht="15.75">
      <c r="A266" s="131" t="s">
        <v>209</v>
      </c>
      <c r="B266" s="131"/>
      <c r="C266" s="131"/>
      <c r="D266" s="131"/>
      <c r="E266" s="131"/>
      <c r="F266" s="131"/>
      <c r="G266" s="131"/>
      <c r="H266" s="131"/>
      <c r="I266" s="131"/>
      <c r="J266" s="131"/>
    </row>
    <row r="267" spans="1:12" ht="15.75">
      <c r="A267" s="107">
        <v>1</v>
      </c>
      <c r="B267" s="107"/>
      <c r="C267" s="66" t="s">
        <v>201</v>
      </c>
      <c r="D267" s="130">
        <f>175.23*10.764</f>
        <v>1886.1757199999997</v>
      </c>
      <c r="E267" s="130"/>
      <c r="F267" s="66">
        <v>0</v>
      </c>
      <c r="G267" s="66">
        <f>D267*1.6+F267</f>
        <v>3017.8811519999999</v>
      </c>
      <c r="H267" s="66" t="s">
        <v>202</v>
      </c>
      <c r="I267" s="107" t="str">
        <f>A266</f>
        <v>21st Floor (Part refuge Area)</v>
      </c>
      <c r="J267" s="107"/>
    </row>
    <row r="268" spans="1:12" ht="15.75">
      <c r="A268" s="107">
        <v>2</v>
      </c>
      <c r="B268" s="107"/>
      <c r="C268" s="66" t="s">
        <v>201</v>
      </c>
      <c r="D268" s="130">
        <f>(3.65+1.87+3.75*4.15+3.98*1.4+1.97*1.05+1.89*2.47+3.67*4.42+3.75*1.05+5.9*5.55+1.52*1.57+1.74*0.92+1.3*1.65+0.44*1.57+4.08*2.65+2.43*3.7+3.67*4.42+1.89*2.47+1.32*1.05+3.02*1.05+4.15*2.57+2.62*1.85+3.75*3.02+3.98*1.4)*10.764</f>
        <v>1838.2479335999997</v>
      </c>
      <c r="E268" s="130"/>
      <c r="F268" s="66">
        <v>0</v>
      </c>
      <c r="G268" s="66">
        <f>D268*1.6+F268</f>
        <v>2941.1966937599996</v>
      </c>
      <c r="H268" s="66" t="s">
        <v>202</v>
      </c>
      <c r="I268" s="107"/>
      <c r="J268" s="107"/>
      <c r="L268">
        <v>3</v>
      </c>
    </row>
    <row r="269" spans="1:12" ht="15.75">
      <c r="A269" s="107">
        <v>3</v>
      </c>
      <c r="B269" s="107"/>
      <c r="C269" s="107" t="s">
        <v>200</v>
      </c>
      <c r="D269" s="107"/>
      <c r="E269" s="107"/>
      <c r="F269" s="107"/>
      <c r="G269" s="107"/>
      <c r="H269" s="107"/>
      <c r="I269" s="107"/>
      <c r="J269" s="107"/>
    </row>
    <row r="270" spans="1:12" ht="15.75">
      <c r="A270" s="107">
        <v>4</v>
      </c>
      <c r="B270" s="107"/>
      <c r="C270" s="66" t="s">
        <v>201</v>
      </c>
      <c r="D270" s="130">
        <f>(3.65+1.87+3.75*4.15+3.98*1.4+1.97*1.05+1.89*2.47+3.67*4.42+3.75*1.05+5.9*5.55+1.52*1.57+1.74*0.92+1.3*1.65+0.44*1.57+4.08*2.65+2.43*3.7+3.67*4.42+1.89*2.47+1.32*1.05+3.02*1.05+4.15*2.57+2.62*1.85+3.75*3.02+3.98*1.4)*10.764</f>
        <v>1838.2479335999997</v>
      </c>
      <c r="E270" s="130"/>
      <c r="F270" s="66">
        <v>0</v>
      </c>
      <c r="G270" s="66">
        <f>D270*1.6+F270</f>
        <v>2941.1966937599996</v>
      </c>
      <c r="H270" s="66" t="s">
        <v>202</v>
      </c>
      <c r="I270" s="107"/>
      <c r="J270" s="107"/>
    </row>
    <row r="271" spans="1:12" ht="17.25" customHeight="1">
      <c r="A271" s="131" t="s">
        <v>210</v>
      </c>
      <c r="B271" s="131"/>
      <c r="C271" s="131"/>
      <c r="D271" s="131"/>
      <c r="E271" s="131"/>
      <c r="F271" s="131"/>
      <c r="G271" s="131"/>
      <c r="H271" s="131"/>
      <c r="I271" s="131"/>
      <c r="J271" s="131"/>
    </row>
    <row r="272" spans="1:12" ht="15.75" customHeight="1">
      <c r="A272" s="107">
        <v>1</v>
      </c>
      <c r="B272" s="107"/>
      <c r="C272" s="66" t="s">
        <v>201</v>
      </c>
      <c r="D272" s="130">
        <f>175.23*10.764</f>
        <v>1886.1757199999997</v>
      </c>
      <c r="E272" s="130"/>
      <c r="F272" s="66">
        <v>0</v>
      </c>
      <c r="G272" s="66">
        <f>D272*1.6+F272</f>
        <v>3017.8811519999999</v>
      </c>
      <c r="H272" s="66" t="s">
        <v>202</v>
      </c>
      <c r="I272" s="107" t="str">
        <f>A271</f>
        <v>22nd Floor</v>
      </c>
      <c r="J272" s="107"/>
    </row>
    <row r="273" spans="1:12" ht="15.75">
      <c r="A273" s="107">
        <v>2</v>
      </c>
      <c r="B273" s="107"/>
      <c r="C273" s="66" t="s">
        <v>201</v>
      </c>
      <c r="D273" s="130">
        <f>(3.65+1.87+3.75*4.15+3.98*1.4+1.97*1.05+1.89*2.47+3.67*4.42+3.75*1.05+5.9*5.55+1.52*1.57+1.74*0.92+1.3*1.65+0.44*1.57+4.08*2.65+2.43*3.7+3.67*4.42+1.89*2.47+1.32*1.05+3.02*1.05+4.15*2.57+2.62*1.85+3.75*3.02+3.98*1.4)*10.764</f>
        <v>1838.2479335999997</v>
      </c>
      <c r="E273" s="130"/>
      <c r="F273" s="66">
        <v>0</v>
      </c>
      <c r="G273" s="66">
        <f>D273*1.6+F273</f>
        <v>2941.1966937599996</v>
      </c>
      <c r="H273" s="66" t="s">
        <v>202</v>
      </c>
      <c r="I273" s="107"/>
      <c r="J273" s="107"/>
    </row>
    <row r="274" spans="1:12" ht="15.75" customHeight="1">
      <c r="A274" s="107">
        <v>3</v>
      </c>
      <c r="B274" s="107"/>
      <c r="C274" s="107" t="s">
        <v>205</v>
      </c>
      <c r="D274" s="107"/>
      <c r="E274" s="107"/>
      <c r="F274" s="107"/>
      <c r="G274" s="107"/>
      <c r="H274" s="107"/>
      <c r="I274" s="107"/>
      <c r="J274" s="107"/>
      <c r="L274">
        <v>3</v>
      </c>
    </row>
    <row r="275" spans="1:12" ht="15.75">
      <c r="A275" s="107">
        <v>4</v>
      </c>
      <c r="B275" s="107"/>
      <c r="C275" s="66" t="s">
        <v>201</v>
      </c>
      <c r="D275" s="130">
        <f>(3.65+1.87+3.75*4.15+3.98*1.4+1.97*1.05+1.89*2.47+3.67*4.42+3.75*1.05+5.9*5.55+1.52*1.57+1.74*0.92+1.3*1.65+0.44*1.57+4.08*2.65+2.43*3.7+3.67*4.42+1.89*2.47+1.32*1.05+3.02*1.05+4.15*2.57+2.62*1.85+3.75*3.02+3.98*1.4)*10.764</f>
        <v>1838.2479335999997</v>
      </c>
      <c r="E275" s="130"/>
      <c r="F275" s="66">
        <v>0</v>
      </c>
      <c r="G275" s="66">
        <f>D275*1.6+F275</f>
        <v>2941.1966937599996</v>
      </c>
      <c r="H275" s="66" t="s">
        <v>202</v>
      </c>
      <c r="I275" s="107"/>
      <c r="J275" s="107"/>
    </row>
    <row r="276" spans="1:12" ht="15.75">
      <c r="A276" s="123" t="s">
        <v>211</v>
      </c>
      <c r="B276" s="124"/>
      <c r="C276" s="124"/>
      <c r="D276" s="124"/>
      <c r="E276" s="124"/>
      <c r="F276" s="124"/>
      <c r="G276" s="124"/>
      <c r="H276" s="124"/>
      <c r="I276" s="124"/>
      <c r="J276" s="125"/>
    </row>
    <row r="277" spans="1:12" ht="15.75">
      <c r="A277" s="107">
        <v>1</v>
      </c>
      <c r="B277" s="107"/>
      <c r="C277" s="36" t="s">
        <v>201</v>
      </c>
      <c r="D277" s="114">
        <f>175.23*10.764</f>
        <v>1886.1757199999997</v>
      </c>
      <c r="E277" s="115"/>
      <c r="F277" s="36">
        <v>0</v>
      </c>
      <c r="G277" s="36">
        <f>D277*1.6+F277</f>
        <v>3017.8811519999999</v>
      </c>
      <c r="H277" s="36" t="s">
        <v>202</v>
      </c>
      <c r="I277" s="101" t="str">
        <f>A276</f>
        <v>24th to 27th Floor</v>
      </c>
      <c r="J277" s="102"/>
    </row>
    <row r="278" spans="1:12" ht="15.75">
      <c r="A278" s="107">
        <v>2</v>
      </c>
      <c r="B278" s="107"/>
      <c r="C278" s="36" t="s">
        <v>201</v>
      </c>
      <c r="D278" s="130">
        <f>174.83*10.764</f>
        <v>1881.87012</v>
      </c>
      <c r="E278" s="130"/>
      <c r="F278" s="36">
        <v>0</v>
      </c>
      <c r="G278" s="36">
        <f>D278*1.6+F278</f>
        <v>3010.9921920000002</v>
      </c>
      <c r="H278" s="36" t="s">
        <v>202</v>
      </c>
      <c r="I278" s="103"/>
      <c r="J278" s="104"/>
    </row>
    <row r="279" spans="1:12" ht="15.75">
      <c r="A279" s="107">
        <v>3</v>
      </c>
      <c r="B279" s="107"/>
      <c r="C279" s="36" t="s">
        <v>201</v>
      </c>
      <c r="D279" s="114">
        <f>175.23*10.764</f>
        <v>1886.1757199999997</v>
      </c>
      <c r="E279" s="115"/>
      <c r="F279" s="36">
        <v>0</v>
      </c>
      <c r="G279" s="36">
        <f>D279*1.6+F279</f>
        <v>3017.8811519999999</v>
      </c>
      <c r="H279" s="36" t="s">
        <v>202</v>
      </c>
      <c r="I279" s="103"/>
      <c r="J279" s="104"/>
      <c r="L279">
        <f>4*4</f>
        <v>16</v>
      </c>
    </row>
    <row r="280" spans="1:12" ht="15.75">
      <c r="A280" s="107">
        <v>4</v>
      </c>
      <c r="B280" s="107"/>
      <c r="C280" s="36" t="s">
        <v>201</v>
      </c>
      <c r="D280" s="130">
        <f>174.83*10.764</f>
        <v>1881.87012</v>
      </c>
      <c r="E280" s="130"/>
      <c r="F280" s="36">
        <v>0</v>
      </c>
      <c r="G280" s="36">
        <f>D280*1.6+F280</f>
        <v>3010.9921920000002</v>
      </c>
      <c r="H280" s="36" t="s">
        <v>202</v>
      </c>
      <c r="I280" s="105"/>
      <c r="J280" s="106"/>
    </row>
    <row r="281" spans="1:12" ht="15.75">
      <c r="A281" s="131" t="s">
        <v>212</v>
      </c>
      <c r="B281" s="131"/>
      <c r="C281" s="131"/>
      <c r="D281" s="131"/>
      <c r="E281" s="131"/>
      <c r="F281" s="131"/>
      <c r="G281" s="131"/>
      <c r="H281" s="131"/>
      <c r="I281" s="131"/>
      <c r="J281" s="131"/>
    </row>
    <row r="282" spans="1:12" ht="15.75">
      <c r="A282" s="107">
        <v>1</v>
      </c>
      <c r="B282" s="107"/>
      <c r="C282" s="36" t="s">
        <v>201</v>
      </c>
      <c r="D282" s="114">
        <f>175.23*10.764</f>
        <v>1886.1757199999997</v>
      </c>
      <c r="E282" s="115"/>
      <c r="F282" s="36">
        <v>0</v>
      </c>
      <c r="G282" s="36">
        <f>D282*1.6+F282</f>
        <v>3017.8811519999999</v>
      </c>
      <c r="H282" s="36" t="s">
        <v>202</v>
      </c>
      <c r="I282" s="107" t="str">
        <f>A281</f>
        <v>28th Floor (Part refuge Area)</v>
      </c>
      <c r="J282" s="107"/>
    </row>
    <row r="283" spans="1:12" ht="15.75">
      <c r="A283" s="107">
        <v>2</v>
      </c>
      <c r="B283" s="107"/>
      <c r="C283" s="36" t="s">
        <v>201</v>
      </c>
      <c r="D283" s="130">
        <f>174.83*10.764</f>
        <v>1881.87012</v>
      </c>
      <c r="E283" s="130"/>
      <c r="F283" s="36">
        <v>0</v>
      </c>
      <c r="G283" s="36">
        <f>D283*1.6+F283</f>
        <v>3010.9921920000002</v>
      </c>
      <c r="H283" s="36" t="s">
        <v>202</v>
      </c>
      <c r="I283" s="107"/>
      <c r="J283" s="107"/>
    </row>
    <row r="284" spans="1:12" ht="15.75">
      <c r="A284" s="107">
        <v>3</v>
      </c>
      <c r="B284" s="107"/>
      <c r="C284" s="107" t="s">
        <v>200</v>
      </c>
      <c r="D284" s="107"/>
      <c r="E284" s="107"/>
      <c r="F284" s="107"/>
      <c r="G284" s="107"/>
      <c r="H284" s="107"/>
      <c r="I284" s="107"/>
      <c r="J284" s="107"/>
      <c r="L284">
        <v>3</v>
      </c>
    </row>
    <row r="285" spans="1:12" ht="15.75">
      <c r="A285" s="107">
        <v>4</v>
      </c>
      <c r="B285" s="107"/>
      <c r="C285" s="36" t="s">
        <v>201</v>
      </c>
      <c r="D285" s="130">
        <f>174.83*10.764</f>
        <v>1881.87012</v>
      </c>
      <c r="E285" s="130"/>
      <c r="F285" s="36">
        <v>0</v>
      </c>
      <c r="G285" s="36">
        <f>D285*1.6+F285</f>
        <v>3010.9921920000002</v>
      </c>
      <c r="H285" s="36" t="s">
        <v>202</v>
      </c>
      <c r="I285" s="107"/>
      <c r="J285" s="107"/>
    </row>
    <row r="286" spans="1:12" ht="15.75" customHeight="1">
      <c r="A286" s="131" t="s">
        <v>213</v>
      </c>
      <c r="B286" s="131"/>
      <c r="C286" s="131"/>
      <c r="D286" s="131"/>
      <c r="E286" s="131"/>
      <c r="F286" s="131"/>
      <c r="G286" s="131"/>
      <c r="H286" s="131"/>
      <c r="I286" s="131"/>
      <c r="J286" s="131"/>
    </row>
    <row r="287" spans="1:12" ht="15.75" customHeight="1">
      <c r="A287" s="107">
        <v>1</v>
      </c>
      <c r="B287" s="107"/>
      <c r="C287" s="36" t="s">
        <v>201</v>
      </c>
      <c r="D287" s="114">
        <f>175.23*10.764</f>
        <v>1886.1757199999997</v>
      </c>
      <c r="E287" s="115"/>
      <c r="F287" s="36">
        <v>0</v>
      </c>
      <c r="G287" s="36">
        <f>D287*1.6+F287</f>
        <v>3017.8811519999999</v>
      </c>
      <c r="H287" s="36" t="s">
        <v>202</v>
      </c>
      <c r="I287" s="107" t="str">
        <f>A286</f>
        <v>29th Floor</v>
      </c>
      <c r="J287" s="107"/>
    </row>
    <row r="288" spans="1:12" ht="15.75">
      <c r="A288" s="107">
        <v>2</v>
      </c>
      <c r="B288" s="107"/>
      <c r="C288" s="36" t="s">
        <v>201</v>
      </c>
      <c r="D288" s="130">
        <f>174.83*10.764</f>
        <v>1881.87012</v>
      </c>
      <c r="E288" s="130"/>
      <c r="F288" s="36">
        <v>0</v>
      </c>
      <c r="G288" s="36">
        <f>D288*1.6+F288</f>
        <v>3010.9921920000002</v>
      </c>
      <c r="H288" s="36" t="s">
        <v>202</v>
      </c>
      <c r="I288" s="107"/>
      <c r="J288" s="107"/>
    </row>
    <row r="289" spans="1:12" ht="15.75" customHeight="1">
      <c r="A289" s="107">
        <v>3</v>
      </c>
      <c r="B289" s="107"/>
      <c r="C289" s="107" t="s">
        <v>205</v>
      </c>
      <c r="D289" s="107"/>
      <c r="E289" s="107"/>
      <c r="F289" s="107"/>
      <c r="G289" s="107"/>
      <c r="H289" s="107"/>
      <c r="I289" s="107"/>
      <c r="J289" s="107"/>
      <c r="L289">
        <v>3</v>
      </c>
    </row>
    <row r="290" spans="1:12" ht="15.75">
      <c r="A290" s="107">
        <v>4</v>
      </c>
      <c r="B290" s="107"/>
      <c r="C290" s="36" t="s">
        <v>201</v>
      </c>
      <c r="D290" s="130">
        <f>174.83*10.764</f>
        <v>1881.87012</v>
      </c>
      <c r="E290" s="130"/>
      <c r="F290" s="36">
        <v>0</v>
      </c>
      <c r="G290" s="36">
        <f>D290*1.6+F290</f>
        <v>3010.9921920000002</v>
      </c>
      <c r="H290" s="36" t="s">
        <v>202</v>
      </c>
      <c r="I290" s="107"/>
      <c r="J290" s="107"/>
    </row>
    <row r="291" spans="1:12" ht="15.75">
      <c r="A291" s="123" t="s">
        <v>214</v>
      </c>
      <c r="B291" s="124"/>
      <c r="C291" s="124"/>
      <c r="D291" s="124"/>
      <c r="E291" s="124"/>
      <c r="F291" s="124"/>
      <c r="G291" s="124"/>
      <c r="H291" s="124"/>
      <c r="I291" s="124"/>
      <c r="J291" s="125"/>
    </row>
    <row r="292" spans="1:12" ht="15.75">
      <c r="A292" s="116">
        <v>1</v>
      </c>
      <c r="B292" s="117"/>
      <c r="C292" s="36" t="s">
        <v>201</v>
      </c>
      <c r="D292" s="114">
        <f>177.15*10.764</f>
        <v>1906.8425999999999</v>
      </c>
      <c r="E292" s="115"/>
      <c r="F292" s="36">
        <v>0</v>
      </c>
      <c r="G292" s="36">
        <f>D292*1.6+F292</f>
        <v>3050.9481599999999</v>
      </c>
      <c r="H292" s="36" t="s">
        <v>202</v>
      </c>
      <c r="I292" s="107" t="str">
        <f>A291</f>
        <v>30th to 34th, 37th, 38th to 41st Floor</v>
      </c>
      <c r="J292" s="107"/>
    </row>
    <row r="293" spans="1:12" ht="15.75">
      <c r="A293" s="116">
        <v>2</v>
      </c>
      <c r="B293" s="117"/>
      <c r="C293" s="36" t="s">
        <v>201</v>
      </c>
      <c r="D293" s="114">
        <f>177.3*10.764</f>
        <v>1908.4572000000001</v>
      </c>
      <c r="E293" s="115"/>
      <c r="F293" s="36">
        <v>0</v>
      </c>
      <c r="G293" s="36">
        <f>D293*1.6+F293</f>
        <v>3053.5315200000005</v>
      </c>
      <c r="H293" s="36" t="s">
        <v>202</v>
      </c>
      <c r="I293" s="107"/>
      <c r="J293" s="107"/>
      <c r="L293">
        <f>10*4</f>
        <v>40</v>
      </c>
    </row>
    <row r="294" spans="1:12" ht="15.75">
      <c r="A294" s="116">
        <v>3</v>
      </c>
      <c r="B294" s="117"/>
      <c r="C294" s="36" t="s">
        <v>201</v>
      </c>
      <c r="D294" s="118">
        <f>177.15*10.764</f>
        <v>1906.8425999999999</v>
      </c>
      <c r="E294" s="119"/>
      <c r="F294" s="36">
        <v>0</v>
      </c>
      <c r="G294" s="36">
        <f>D294*1.6+F294</f>
        <v>3050.9481599999999</v>
      </c>
      <c r="H294" s="36" t="s">
        <v>202</v>
      </c>
      <c r="I294" s="107"/>
      <c r="J294" s="107"/>
    </row>
    <row r="295" spans="1:12" ht="15.75">
      <c r="A295" s="116">
        <v>4</v>
      </c>
      <c r="B295" s="117"/>
      <c r="C295" s="36" t="s">
        <v>201</v>
      </c>
      <c r="D295" s="114">
        <f>177.3*10.764</f>
        <v>1908.4572000000001</v>
      </c>
      <c r="E295" s="115"/>
      <c r="F295" s="36">
        <v>0</v>
      </c>
      <c r="G295" s="36">
        <f>D295*1.6+F295</f>
        <v>3053.5315200000005</v>
      </c>
      <c r="H295" s="36" t="s">
        <v>202</v>
      </c>
      <c r="I295" s="107"/>
      <c r="J295" s="107"/>
    </row>
    <row r="296" spans="1:12" ht="15.75">
      <c r="A296" s="123" t="s">
        <v>215</v>
      </c>
      <c r="B296" s="124"/>
      <c r="C296" s="124"/>
      <c r="D296" s="124"/>
      <c r="E296" s="124"/>
      <c r="F296" s="124"/>
      <c r="G296" s="124"/>
      <c r="H296" s="124"/>
      <c r="I296" s="124"/>
      <c r="J296" s="125"/>
    </row>
    <row r="297" spans="1:12" ht="15.75" customHeight="1">
      <c r="A297" s="123" t="s">
        <v>230</v>
      </c>
      <c r="B297" s="124"/>
      <c r="C297" s="124"/>
      <c r="D297" s="124"/>
      <c r="E297" s="124"/>
      <c r="F297" s="124"/>
      <c r="G297" s="124"/>
      <c r="H297" s="124"/>
      <c r="I297" s="124"/>
      <c r="J297" s="125"/>
    </row>
    <row r="298" spans="1:12" ht="15.75">
      <c r="A298" s="116">
        <v>1</v>
      </c>
      <c r="B298" s="117"/>
      <c r="C298" s="36" t="s">
        <v>201</v>
      </c>
      <c r="D298" s="114">
        <f>177.15*10.764</f>
        <v>1906.8425999999999</v>
      </c>
      <c r="E298" s="115"/>
      <c r="F298" s="36">
        <v>0</v>
      </c>
      <c r="G298" s="36">
        <f>D298*1.6+F298</f>
        <v>3050.9481599999999</v>
      </c>
      <c r="H298" s="36" t="s">
        <v>202</v>
      </c>
      <c r="I298" s="107" t="str">
        <f>A297</f>
        <v>35th &amp; 42nd Floor (Part refuge Area)</v>
      </c>
      <c r="J298" s="107"/>
    </row>
    <row r="299" spans="1:12" ht="15.75">
      <c r="A299" s="116">
        <v>2</v>
      </c>
      <c r="B299" s="117"/>
      <c r="C299" s="36" t="s">
        <v>201</v>
      </c>
      <c r="D299" s="114">
        <f>177.3*10.764</f>
        <v>1908.4572000000001</v>
      </c>
      <c r="E299" s="115"/>
      <c r="F299" s="36">
        <v>0</v>
      </c>
      <c r="G299" s="36">
        <f>D299*1.6+F299</f>
        <v>3053.5315200000005</v>
      </c>
      <c r="H299" s="36" t="s">
        <v>202</v>
      </c>
      <c r="I299" s="107"/>
      <c r="J299" s="107"/>
      <c r="L299">
        <v>6</v>
      </c>
    </row>
    <row r="300" spans="1:12" ht="15.75">
      <c r="A300" s="116">
        <v>3</v>
      </c>
      <c r="B300" s="117"/>
      <c r="C300" s="116" t="s">
        <v>200</v>
      </c>
      <c r="D300" s="129"/>
      <c r="E300" s="129"/>
      <c r="F300" s="129"/>
      <c r="G300" s="129"/>
      <c r="H300" s="117"/>
      <c r="I300" s="107"/>
      <c r="J300" s="107"/>
    </row>
    <row r="301" spans="1:12" ht="15.75">
      <c r="A301" s="116">
        <v>4</v>
      </c>
      <c r="B301" s="117"/>
      <c r="C301" s="36" t="s">
        <v>201</v>
      </c>
      <c r="D301" s="114">
        <f>177.3*10.764</f>
        <v>1908.4572000000001</v>
      </c>
      <c r="E301" s="115"/>
      <c r="F301" s="36">
        <v>0</v>
      </c>
      <c r="G301" s="36">
        <f>D301*1.6+F301</f>
        <v>3053.5315200000005</v>
      </c>
      <c r="H301" s="36" t="s">
        <v>202</v>
      </c>
      <c r="I301" s="107"/>
      <c r="J301" s="107"/>
    </row>
    <row r="302" spans="1:12" ht="15.75" customHeight="1">
      <c r="A302" s="123" t="s">
        <v>217</v>
      </c>
      <c r="B302" s="124"/>
      <c r="C302" s="124"/>
      <c r="D302" s="124"/>
      <c r="E302" s="124"/>
      <c r="F302" s="124"/>
      <c r="G302" s="124"/>
      <c r="H302" s="124"/>
      <c r="I302" s="124"/>
      <c r="J302" s="125"/>
    </row>
    <row r="303" spans="1:12" ht="15.75" customHeight="1">
      <c r="A303" s="116">
        <v>1</v>
      </c>
      <c r="B303" s="117"/>
      <c r="C303" s="36" t="s">
        <v>201</v>
      </c>
      <c r="D303" s="114">
        <f>177.15*10.764</f>
        <v>1906.8425999999999</v>
      </c>
      <c r="E303" s="115"/>
      <c r="F303" s="36">
        <v>0</v>
      </c>
      <c r="G303" s="36">
        <f>D303*1.6+F303</f>
        <v>3050.9481599999999</v>
      </c>
      <c r="H303" s="36" t="s">
        <v>202</v>
      </c>
      <c r="I303" s="107" t="str">
        <f>A302</f>
        <v>36th &amp; 43rd Floor</v>
      </c>
      <c r="J303" s="107"/>
    </row>
    <row r="304" spans="1:12" ht="15.75">
      <c r="A304" s="116">
        <v>2</v>
      </c>
      <c r="B304" s="117"/>
      <c r="C304" s="36" t="s">
        <v>201</v>
      </c>
      <c r="D304" s="114">
        <f>177.3*10.764</f>
        <v>1908.4572000000001</v>
      </c>
      <c r="E304" s="115"/>
      <c r="F304" s="36">
        <v>0</v>
      </c>
      <c r="G304" s="36">
        <f>D304*1.6+F304</f>
        <v>3053.5315200000005</v>
      </c>
      <c r="H304" s="36" t="s">
        <v>202</v>
      </c>
      <c r="I304" s="107"/>
      <c r="J304" s="107"/>
      <c r="L304">
        <v>6</v>
      </c>
    </row>
    <row r="305" spans="1:12" ht="15.75" customHeight="1">
      <c r="A305" s="116">
        <v>3</v>
      </c>
      <c r="B305" s="117"/>
      <c r="C305" s="116" t="s">
        <v>205</v>
      </c>
      <c r="D305" s="129"/>
      <c r="E305" s="129"/>
      <c r="F305" s="129"/>
      <c r="G305" s="129"/>
      <c r="H305" s="117"/>
      <c r="I305" s="107"/>
      <c r="J305" s="107"/>
    </row>
    <row r="306" spans="1:12" ht="15.75">
      <c r="A306" s="116">
        <v>4</v>
      </c>
      <c r="B306" s="117"/>
      <c r="C306" s="36" t="s">
        <v>201</v>
      </c>
      <c r="D306" s="114">
        <f>177.3*10.764</f>
        <v>1908.4572000000001</v>
      </c>
      <c r="E306" s="115"/>
      <c r="F306" s="36">
        <v>0</v>
      </c>
      <c r="G306" s="36">
        <f>D306*1.6+F306</f>
        <v>3053.5315200000005</v>
      </c>
      <c r="H306" s="36" t="s">
        <v>202</v>
      </c>
      <c r="I306" s="107"/>
      <c r="J306" s="107"/>
    </row>
    <row r="307" spans="1:12" ht="15.75">
      <c r="A307" s="123" t="s">
        <v>219</v>
      </c>
      <c r="B307" s="124"/>
      <c r="C307" s="124"/>
      <c r="D307" s="124"/>
      <c r="E307" s="124"/>
      <c r="F307" s="124"/>
      <c r="G307" s="124"/>
      <c r="H307" s="124"/>
      <c r="I307" s="124"/>
      <c r="J307" s="125"/>
    </row>
    <row r="308" spans="1:12" ht="15.75">
      <c r="A308" s="116">
        <v>1</v>
      </c>
      <c r="B308" s="117"/>
      <c r="C308" s="36" t="s">
        <v>201</v>
      </c>
      <c r="D308" s="114">
        <f>179.22*10.764</f>
        <v>1929.1240799999998</v>
      </c>
      <c r="E308" s="115"/>
      <c r="F308" s="36">
        <v>0</v>
      </c>
      <c r="G308" s="36">
        <f>D308*1.6+F308</f>
        <v>3086.598528</v>
      </c>
      <c r="H308" s="36" t="s">
        <v>202</v>
      </c>
      <c r="I308" s="107" t="str">
        <f>A307</f>
        <v>44th to 48th, 51st to 55th, 58th to 60th Floor</v>
      </c>
      <c r="J308" s="107"/>
    </row>
    <row r="309" spans="1:12" ht="15.75">
      <c r="A309" s="116">
        <v>2</v>
      </c>
      <c r="B309" s="117"/>
      <c r="C309" s="36" t="s">
        <v>201</v>
      </c>
      <c r="D309" s="114">
        <f>179.77*10.764</f>
        <v>1935.0442800000001</v>
      </c>
      <c r="E309" s="115"/>
      <c r="F309" s="36">
        <v>0</v>
      </c>
      <c r="G309" s="36">
        <f>D309*1.6+F309</f>
        <v>3096.0708480000003</v>
      </c>
      <c r="H309" s="36" t="s">
        <v>202</v>
      </c>
      <c r="I309" s="107"/>
      <c r="J309" s="107"/>
      <c r="L309">
        <f>13*4</f>
        <v>52</v>
      </c>
    </row>
    <row r="310" spans="1:12" ht="15.75">
      <c r="A310" s="116">
        <v>3</v>
      </c>
      <c r="B310" s="117"/>
      <c r="C310" s="36" t="s">
        <v>201</v>
      </c>
      <c r="D310" s="114">
        <f>179.22*10.764</f>
        <v>1929.1240799999998</v>
      </c>
      <c r="E310" s="115"/>
      <c r="F310" s="36">
        <v>0</v>
      </c>
      <c r="G310" s="36">
        <f>D310*1.6+F310</f>
        <v>3086.598528</v>
      </c>
      <c r="H310" s="36" t="s">
        <v>202</v>
      </c>
      <c r="I310" s="107"/>
      <c r="J310" s="107"/>
    </row>
    <row r="311" spans="1:12" ht="15.75">
      <c r="A311" s="116">
        <v>4</v>
      </c>
      <c r="B311" s="117"/>
      <c r="C311" s="36" t="s">
        <v>201</v>
      </c>
      <c r="D311" s="114">
        <f>179.77*10.764</f>
        <v>1935.0442800000001</v>
      </c>
      <c r="E311" s="115"/>
      <c r="F311" s="36">
        <v>0</v>
      </c>
      <c r="G311" s="36">
        <f>D311*1.6+F311</f>
        <v>3096.0708480000003</v>
      </c>
      <c r="H311" s="36" t="s">
        <v>202</v>
      </c>
      <c r="I311" s="107"/>
      <c r="J311" s="107"/>
    </row>
    <row r="312" spans="1:12" ht="15.75">
      <c r="A312" s="123" t="s">
        <v>220</v>
      </c>
      <c r="B312" s="124"/>
      <c r="C312" s="124"/>
      <c r="D312" s="124"/>
      <c r="E312" s="124"/>
      <c r="F312" s="124"/>
      <c r="G312" s="124"/>
      <c r="H312" s="124"/>
      <c r="I312" s="124"/>
      <c r="J312" s="125"/>
    </row>
    <row r="313" spans="1:12" ht="15.75" customHeight="1">
      <c r="A313" s="123" t="s">
        <v>231</v>
      </c>
      <c r="B313" s="124"/>
      <c r="C313" s="124"/>
      <c r="D313" s="124"/>
      <c r="E313" s="124"/>
      <c r="F313" s="124"/>
      <c r="G313" s="124"/>
      <c r="H313" s="124"/>
      <c r="I313" s="124"/>
      <c r="J313" s="125"/>
    </row>
    <row r="314" spans="1:12" ht="15.75">
      <c r="A314" s="116">
        <v>1</v>
      </c>
      <c r="B314" s="117"/>
      <c r="C314" s="36" t="s">
        <v>201</v>
      </c>
      <c r="D314" s="114">
        <f>179.22*10.764</f>
        <v>1929.1240799999998</v>
      </c>
      <c r="E314" s="115"/>
      <c r="F314" s="36">
        <v>0</v>
      </c>
      <c r="G314" s="36">
        <f>D314*1.6+F314</f>
        <v>3086.598528</v>
      </c>
      <c r="H314" s="36" t="s">
        <v>202</v>
      </c>
      <c r="I314" s="107" t="str">
        <f>A313</f>
        <v>49th Floor (Part refuge Area)</v>
      </c>
      <c r="J314" s="107"/>
    </row>
    <row r="315" spans="1:12" ht="15.75">
      <c r="A315" s="116">
        <v>2</v>
      </c>
      <c r="B315" s="117"/>
      <c r="C315" s="36" t="s">
        <v>201</v>
      </c>
      <c r="D315" s="114">
        <f>179.77*10.764</f>
        <v>1935.0442800000001</v>
      </c>
      <c r="E315" s="115"/>
      <c r="F315" s="36">
        <v>0</v>
      </c>
      <c r="G315" s="36">
        <f>D315*1.6+F315</f>
        <v>3096.0708480000003</v>
      </c>
      <c r="H315" s="36" t="s">
        <v>202</v>
      </c>
      <c r="I315" s="107"/>
      <c r="J315" s="107"/>
      <c r="L315">
        <v>3</v>
      </c>
    </row>
    <row r="316" spans="1:12" ht="15.75">
      <c r="A316" s="116">
        <v>3</v>
      </c>
      <c r="B316" s="117"/>
      <c r="C316" s="116" t="s">
        <v>200</v>
      </c>
      <c r="D316" s="129"/>
      <c r="E316" s="129"/>
      <c r="F316" s="129"/>
      <c r="G316" s="129"/>
      <c r="H316" s="117"/>
      <c r="I316" s="107"/>
      <c r="J316" s="107"/>
    </row>
    <row r="317" spans="1:12" ht="15.75">
      <c r="A317" s="116">
        <v>4</v>
      </c>
      <c r="B317" s="117"/>
      <c r="C317" s="36" t="s">
        <v>201</v>
      </c>
      <c r="D317" s="114">
        <f>179.77*10.764</f>
        <v>1935.0442800000001</v>
      </c>
      <c r="E317" s="115"/>
      <c r="F317" s="36">
        <v>0</v>
      </c>
      <c r="G317" s="36">
        <f>D317*1.6+F317</f>
        <v>3096.0708480000003</v>
      </c>
      <c r="H317" s="36" t="s">
        <v>202</v>
      </c>
      <c r="I317" s="107"/>
      <c r="J317" s="107"/>
    </row>
    <row r="318" spans="1:12" ht="15.75" customHeight="1">
      <c r="A318" s="123" t="s">
        <v>222</v>
      </c>
      <c r="B318" s="124"/>
      <c r="C318" s="124"/>
      <c r="D318" s="124"/>
      <c r="E318" s="124"/>
      <c r="F318" s="124"/>
      <c r="G318" s="124"/>
      <c r="H318" s="124"/>
      <c r="I318" s="124"/>
      <c r="J318" s="125"/>
    </row>
    <row r="319" spans="1:12" ht="15.75" customHeight="1">
      <c r="A319" s="116">
        <v>1</v>
      </c>
      <c r="B319" s="117"/>
      <c r="C319" s="36" t="s">
        <v>201</v>
      </c>
      <c r="D319" s="114">
        <f>179.22*10.764</f>
        <v>1929.1240799999998</v>
      </c>
      <c r="E319" s="115"/>
      <c r="F319" s="36">
        <v>0</v>
      </c>
      <c r="G319" s="36">
        <f>D319*1.6+F319</f>
        <v>3086.598528</v>
      </c>
      <c r="H319" s="36" t="s">
        <v>202</v>
      </c>
      <c r="I319" s="107" t="str">
        <f>A318</f>
        <v>50th &amp; 57th Floor</v>
      </c>
      <c r="J319" s="107"/>
      <c r="L319">
        <v>6</v>
      </c>
    </row>
    <row r="320" spans="1:12" ht="15.75">
      <c r="A320" s="116">
        <v>2</v>
      </c>
      <c r="B320" s="117"/>
      <c r="C320" s="36" t="s">
        <v>201</v>
      </c>
      <c r="D320" s="114">
        <f>179.77*10.764</f>
        <v>1935.0442800000001</v>
      </c>
      <c r="E320" s="115"/>
      <c r="F320" s="36">
        <v>0</v>
      </c>
      <c r="G320" s="36">
        <f>D320*1.6+F320</f>
        <v>3096.0708480000003</v>
      </c>
      <c r="H320" s="36" t="s">
        <v>202</v>
      </c>
      <c r="I320" s="107"/>
      <c r="J320" s="107"/>
    </row>
    <row r="321" spans="1:12" ht="15.75" customHeight="1">
      <c r="A321" s="116">
        <v>3</v>
      </c>
      <c r="B321" s="117"/>
      <c r="C321" s="116" t="s">
        <v>205</v>
      </c>
      <c r="D321" s="129"/>
      <c r="E321" s="129"/>
      <c r="F321" s="129"/>
      <c r="G321" s="129"/>
      <c r="H321" s="117"/>
      <c r="I321" s="107"/>
      <c r="J321" s="107"/>
    </row>
    <row r="322" spans="1:12" ht="15.75">
      <c r="A322" s="116">
        <v>4</v>
      </c>
      <c r="B322" s="117"/>
      <c r="C322" s="36" t="s">
        <v>201</v>
      </c>
      <c r="D322" s="114">
        <f>179.77*10.764</f>
        <v>1935.0442800000001</v>
      </c>
      <c r="E322" s="115"/>
      <c r="F322" s="36">
        <v>0</v>
      </c>
      <c r="G322" s="36">
        <f>D322*1.6+F322</f>
        <v>3096.0708480000003</v>
      </c>
      <c r="H322" s="36" t="s">
        <v>202</v>
      </c>
      <c r="I322" s="107"/>
      <c r="J322" s="107"/>
    </row>
    <row r="323" spans="1:12" ht="15.75" customHeight="1">
      <c r="A323" s="123" t="s">
        <v>232</v>
      </c>
      <c r="B323" s="124"/>
      <c r="C323" s="124"/>
      <c r="D323" s="124"/>
      <c r="E323" s="124"/>
      <c r="F323" s="124"/>
      <c r="G323" s="124"/>
      <c r="H323" s="124"/>
      <c r="I323" s="124"/>
      <c r="J323" s="125"/>
    </row>
    <row r="324" spans="1:12" ht="15.75">
      <c r="A324" s="107">
        <v>1</v>
      </c>
      <c r="B324" s="107"/>
      <c r="C324" s="66" t="s">
        <v>201</v>
      </c>
      <c r="D324" s="130">
        <f>179.22*10.764</f>
        <v>1929.1240799999998</v>
      </c>
      <c r="E324" s="130"/>
      <c r="F324" s="66">
        <v>0</v>
      </c>
      <c r="G324" s="66">
        <f>D324*1.6+F324</f>
        <v>3086.598528</v>
      </c>
      <c r="H324" s="66" t="s">
        <v>202</v>
      </c>
      <c r="I324" s="107" t="str">
        <f>A323</f>
        <v>56th Floor (Part refuge Area)</v>
      </c>
      <c r="J324" s="107"/>
    </row>
    <row r="325" spans="1:12" ht="15.75">
      <c r="A325" s="107">
        <v>2</v>
      </c>
      <c r="B325" s="107"/>
      <c r="C325" s="66" t="s">
        <v>201</v>
      </c>
      <c r="D325" s="130">
        <f>179.77*10.764</f>
        <v>1935.0442800000001</v>
      </c>
      <c r="E325" s="130"/>
      <c r="F325" s="66">
        <v>0</v>
      </c>
      <c r="G325" s="66">
        <f>D325*1.6+F325</f>
        <v>3096.0708480000003</v>
      </c>
      <c r="H325" s="66" t="s">
        <v>202</v>
      </c>
      <c r="I325" s="107"/>
      <c r="J325" s="107"/>
      <c r="L325">
        <v>3</v>
      </c>
    </row>
    <row r="326" spans="1:12" ht="15.75">
      <c r="A326" s="107">
        <v>3</v>
      </c>
      <c r="B326" s="107"/>
      <c r="C326" s="107" t="s">
        <v>200</v>
      </c>
      <c r="D326" s="107"/>
      <c r="E326" s="107"/>
      <c r="F326" s="107"/>
      <c r="G326" s="107"/>
      <c r="H326" s="107"/>
      <c r="I326" s="107"/>
      <c r="J326" s="107"/>
    </row>
    <row r="327" spans="1:12" ht="15.75">
      <c r="A327" s="107">
        <v>4</v>
      </c>
      <c r="B327" s="107"/>
      <c r="C327" s="66" t="s">
        <v>201</v>
      </c>
      <c r="D327" s="130">
        <f>179.77*10.764</f>
        <v>1935.0442800000001</v>
      </c>
      <c r="E327" s="130"/>
      <c r="F327" s="66">
        <v>0</v>
      </c>
      <c r="G327" s="66">
        <f>D327*1.6+F327</f>
        <v>3096.0708480000003</v>
      </c>
      <c r="H327" s="66" t="s">
        <v>202</v>
      </c>
      <c r="I327" s="107"/>
      <c r="J327" s="107"/>
    </row>
    <row r="328" spans="1:12" ht="15.75" customHeight="1">
      <c r="A328" s="131" t="s">
        <v>233</v>
      </c>
      <c r="B328" s="131"/>
      <c r="C328" s="131"/>
      <c r="D328" s="131"/>
      <c r="E328" s="131"/>
      <c r="F328" s="131"/>
      <c r="G328" s="131"/>
      <c r="H328" s="131"/>
      <c r="I328" s="131"/>
      <c r="J328" s="131"/>
    </row>
    <row r="329" spans="1:12" ht="15.75" customHeight="1">
      <c r="A329" s="107">
        <v>1</v>
      </c>
      <c r="B329" s="107"/>
      <c r="C329" s="66" t="s">
        <v>201</v>
      </c>
      <c r="D329" s="130">
        <f>181.24*10.764</f>
        <v>1950.86736</v>
      </c>
      <c r="E329" s="130"/>
      <c r="F329" s="66">
        <v>0</v>
      </c>
      <c r="G329" s="66">
        <f>D329*1.6+F329</f>
        <v>3121.387776</v>
      </c>
      <c r="H329" s="66" t="s">
        <v>202</v>
      </c>
      <c r="I329" s="107" t="str">
        <f>A328</f>
        <v>61 to 63th Floor</v>
      </c>
      <c r="J329" s="107"/>
    </row>
    <row r="330" spans="1:12" ht="15.75">
      <c r="A330" s="107">
        <v>2</v>
      </c>
      <c r="B330" s="107"/>
      <c r="C330" s="66" t="s">
        <v>201</v>
      </c>
      <c r="D330" s="130">
        <f>181.22*10.764</f>
        <v>1950.6520799999998</v>
      </c>
      <c r="E330" s="130"/>
      <c r="F330" s="66">
        <v>0</v>
      </c>
      <c r="G330" s="66">
        <f>D330*1.6+F330</f>
        <v>3121.0433279999997</v>
      </c>
      <c r="H330" s="66" t="s">
        <v>202</v>
      </c>
      <c r="I330" s="107"/>
      <c r="J330" s="107"/>
    </row>
    <row r="331" spans="1:12" ht="15.75">
      <c r="A331" s="107">
        <v>3</v>
      </c>
      <c r="B331" s="107"/>
      <c r="C331" s="66" t="s">
        <v>201</v>
      </c>
      <c r="D331" s="130">
        <f>181.24*10.764</f>
        <v>1950.86736</v>
      </c>
      <c r="E331" s="130"/>
      <c r="F331" s="66">
        <v>0</v>
      </c>
      <c r="G331" s="66">
        <f>D331*1.6+F331</f>
        <v>3121.387776</v>
      </c>
      <c r="H331" s="66" t="s">
        <v>202</v>
      </c>
      <c r="I331" s="107"/>
      <c r="J331" s="107"/>
      <c r="L331">
        <f>3*4</f>
        <v>12</v>
      </c>
    </row>
    <row r="332" spans="1:12" ht="15.75">
      <c r="A332" s="107">
        <v>4</v>
      </c>
      <c r="B332" s="107"/>
      <c r="C332" s="66" t="s">
        <v>201</v>
      </c>
      <c r="D332" s="130">
        <f>181.22*10.764</f>
        <v>1950.6520799999998</v>
      </c>
      <c r="E332" s="130"/>
      <c r="F332" s="66">
        <v>0</v>
      </c>
      <c r="G332" s="66">
        <f>D332*1.6+F332</f>
        <v>3121.0433279999997</v>
      </c>
      <c r="H332" s="66" t="s">
        <v>202</v>
      </c>
      <c r="I332" s="107"/>
      <c r="J332" s="107"/>
    </row>
    <row r="333" spans="1:12" ht="15.75">
      <c r="A333" s="133" t="s">
        <v>234</v>
      </c>
      <c r="B333" s="134"/>
      <c r="C333" s="134"/>
      <c r="D333" s="134"/>
      <c r="E333" s="134"/>
      <c r="F333" s="134"/>
      <c r="G333" s="134"/>
      <c r="H333" s="134"/>
      <c r="I333" s="134"/>
      <c r="J333" s="135"/>
    </row>
    <row r="334" spans="1:12" ht="15.75">
      <c r="A334" s="136" t="s">
        <v>235</v>
      </c>
      <c r="B334" s="137"/>
      <c r="C334" s="137"/>
      <c r="D334" s="137"/>
      <c r="E334" s="137"/>
      <c r="F334" s="137"/>
      <c r="G334" s="137"/>
      <c r="H334" s="137"/>
      <c r="I334" s="137"/>
      <c r="J334" s="138"/>
    </row>
    <row r="335" spans="1:12" ht="15.75">
      <c r="A335" s="136" t="s">
        <v>195</v>
      </c>
      <c r="B335" s="137"/>
      <c r="C335" s="137"/>
      <c r="D335" s="137"/>
      <c r="E335" s="137"/>
      <c r="F335" s="137"/>
      <c r="G335" s="137"/>
      <c r="H335" s="137"/>
      <c r="I335" s="137"/>
      <c r="J335" s="138"/>
    </row>
    <row r="336" spans="1:12" ht="15.75">
      <c r="A336" s="136" t="s">
        <v>236</v>
      </c>
      <c r="B336" s="137"/>
      <c r="C336" s="137"/>
      <c r="D336" s="137"/>
      <c r="E336" s="137"/>
      <c r="F336" s="137"/>
      <c r="G336" s="137"/>
      <c r="H336" s="137"/>
      <c r="I336" s="137"/>
      <c r="J336" s="138"/>
    </row>
    <row r="337" spans="1:12" ht="15.75">
      <c r="A337" s="136" t="s">
        <v>237</v>
      </c>
      <c r="B337" s="137"/>
      <c r="C337" s="137"/>
      <c r="D337" s="137"/>
      <c r="E337" s="137"/>
      <c r="F337" s="137"/>
      <c r="G337" s="137"/>
      <c r="H337" s="137"/>
      <c r="I337" s="137"/>
      <c r="J337" s="138"/>
    </row>
    <row r="338" spans="1:12" ht="15.75">
      <c r="A338" s="123" t="s">
        <v>238</v>
      </c>
      <c r="B338" s="124"/>
      <c r="C338" s="124"/>
      <c r="D338" s="124"/>
      <c r="E338" s="124"/>
      <c r="F338" s="124"/>
      <c r="G338" s="124"/>
      <c r="H338" s="124"/>
      <c r="I338" s="124"/>
      <c r="J338" s="125"/>
    </row>
    <row r="339" spans="1:12" ht="15.75">
      <c r="A339" s="123" t="s">
        <v>239</v>
      </c>
      <c r="B339" s="124"/>
      <c r="C339" s="124"/>
      <c r="D339" s="124"/>
      <c r="E339" s="124"/>
      <c r="F339" s="124"/>
      <c r="G339" s="124"/>
      <c r="H339" s="124"/>
      <c r="I339" s="124"/>
      <c r="J339" s="125"/>
    </row>
    <row r="340" spans="1:12" ht="15.75">
      <c r="A340" s="116">
        <v>1</v>
      </c>
      <c r="B340" s="117"/>
      <c r="C340" s="37" t="s">
        <v>240</v>
      </c>
      <c r="D340" s="114">
        <f>146.86*10.764</f>
        <v>1580.8010400000001</v>
      </c>
      <c r="E340" s="115"/>
      <c r="F340" s="36">
        <v>0</v>
      </c>
      <c r="G340" s="36">
        <f t="shared" ref="G340:G346" si="0">D340*1.6+F340</f>
        <v>2529.2816640000001</v>
      </c>
      <c r="H340" s="36" t="s">
        <v>202</v>
      </c>
      <c r="I340" s="101" t="str">
        <f>A339</f>
        <v>14th to 19th, 21st, 23rd to 27th, 29th to 32nd Floor</v>
      </c>
      <c r="J340" s="102"/>
    </row>
    <row r="341" spans="1:12" ht="15.75">
      <c r="A341" s="116">
        <v>2</v>
      </c>
      <c r="B341" s="117"/>
      <c r="C341" s="37" t="s">
        <v>241</v>
      </c>
      <c r="D341" s="114">
        <f>124.03*10.764</f>
        <v>1335.0589199999999</v>
      </c>
      <c r="E341" s="115"/>
      <c r="F341" s="36">
        <v>0</v>
      </c>
      <c r="G341" s="36">
        <f t="shared" si="0"/>
        <v>2136.0942719999998</v>
      </c>
      <c r="H341" s="36" t="s">
        <v>202</v>
      </c>
      <c r="I341" s="103"/>
      <c r="J341" s="104"/>
    </row>
    <row r="342" spans="1:12" ht="15.75">
      <c r="A342" s="116">
        <v>3</v>
      </c>
      <c r="B342" s="117"/>
      <c r="C342" s="37" t="s">
        <v>240</v>
      </c>
      <c r="D342" s="114">
        <f>146.86*10.764</f>
        <v>1580.8010400000001</v>
      </c>
      <c r="E342" s="115"/>
      <c r="F342" s="36">
        <v>0</v>
      </c>
      <c r="G342" s="36">
        <f t="shared" si="0"/>
        <v>2529.2816640000001</v>
      </c>
      <c r="H342" s="36" t="s">
        <v>202</v>
      </c>
      <c r="I342" s="103"/>
      <c r="J342" s="104"/>
    </row>
    <row r="343" spans="1:12" ht="15.75">
      <c r="A343" s="116">
        <v>4</v>
      </c>
      <c r="B343" s="117"/>
      <c r="C343" s="37" t="s">
        <v>241</v>
      </c>
      <c r="D343" s="118">
        <f>124.38*10.764</f>
        <v>1338.8263199999999</v>
      </c>
      <c r="E343" s="119"/>
      <c r="F343" s="36">
        <v>0</v>
      </c>
      <c r="G343" s="36">
        <f t="shared" si="0"/>
        <v>2142.122112</v>
      </c>
      <c r="H343" s="36" t="s">
        <v>202</v>
      </c>
      <c r="I343" s="103"/>
      <c r="J343" s="104"/>
      <c r="L343">
        <f>16*7</f>
        <v>112</v>
      </c>
    </row>
    <row r="344" spans="1:12" ht="15.75">
      <c r="A344" s="116">
        <v>5</v>
      </c>
      <c r="B344" s="117"/>
      <c r="C344" s="37" t="s">
        <v>241</v>
      </c>
      <c r="D344" s="114">
        <f>130.53*10.764</f>
        <v>1405.0249199999998</v>
      </c>
      <c r="E344" s="115"/>
      <c r="F344" s="36">
        <v>0</v>
      </c>
      <c r="G344" s="36">
        <f t="shared" si="0"/>
        <v>2248.0398719999998</v>
      </c>
      <c r="H344" s="36" t="s">
        <v>202</v>
      </c>
      <c r="I344" s="103"/>
      <c r="J344" s="104"/>
    </row>
    <row r="345" spans="1:12" ht="15.75">
      <c r="A345" s="116">
        <v>6</v>
      </c>
      <c r="B345" s="117"/>
      <c r="C345" s="37" t="s">
        <v>241</v>
      </c>
      <c r="D345" s="114">
        <f>130.53*10.764</f>
        <v>1405.0249199999998</v>
      </c>
      <c r="E345" s="115"/>
      <c r="F345" s="36">
        <v>0</v>
      </c>
      <c r="G345" s="36">
        <f t="shared" si="0"/>
        <v>2248.0398719999998</v>
      </c>
      <c r="H345" s="36" t="s">
        <v>202</v>
      </c>
      <c r="I345" s="103"/>
      <c r="J345" s="104"/>
    </row>
    <row r="346" spans="1:12" ht="15.75">
      <c r="A346" s="116">
        <v>7</v>
      </c>
      <c r="B346" s="117"/>
      <c r="C346" s="37" t="s">
        <v>241</v>
      </c>
      <c r="D346" s="118">
        <f>124.03*10.764</f>
        <v>1335.0589199999999</v>
      </c>
      <c r="E346" s="119"/>
      <c r="F346" s="36">
        <v>0</v>
      </c>
      <c r="G346" s="36">
        <f t="shared" si="0"/>
        <v>2136.0942719999998</v>
      </c>
      <c r="H346" s="36" t="s">
        <v>202</v>
      </c>
      <c r="I346" s="105"/>
      <c r="J346" s="106"/>
    </row>
    <row r="347" spans="1:12" ht="15.75">
      <c r="A347" s="123" t="s">
        <v>242</v>
      </c>
      <c r="B347" s="129"/>
      <c r="C347" s="129"/>
      <c r="D347" s="129"/>
      <c r="E347" s="129"/>
      <c r="F347" s="129"/>
      <c r="G347" s="129"/>
      <c r="H347" s="129"/>
      <c r="I347" s="129"/>
      <c r="J347" s="117"/>
    </row>
    <row r="348" spans="1:12" ht="15.75" customHeight="1">
      <c r="A348" s="116">
        <v>1</v>
      </c>
      <c r="B348" s="117"/>
      <c r="C348" s="126" t="s">
        <v>200</v>
      </c>
      <c r="D348" s="127"/>
      <c r="E348" s="127"/>
      <c r="F348" s="127"/>
      <c r="G348" s="127"/>
      <c r="H348" s="128"/>
      <c r="I348" s="101" t="str">
        <f>A347</f>
        <v>13th, 20th, 28th Floor</v>
      </c>
      <c r="J348" s="102"/>
    </row>
    <row r="349" spans="1:12" ht="15.75">
      <c r="A349" s="116">
        <v>2</v>
      </c>
      <c r="B349" s="117"/>
      <c r="C349" s="126" t="s">
        <v>200</v>
      </c>
      <c r="D349" s="127"/>
      <c r="E349" s="127"/>
      <c r="F349" s="127"/>
      <c r="G349" s="127"/>
      <c r="H349" s="128"/>
      <c r="I349" s="103"/>
      <c r="J349" s="104"/>
    </row>
    <row r="350" spans="1:12" ht="15.75">
      <c r="A350" s="116">
        <v>3</v>
      </c>
      <c r="B350" s="117"/>
      <c r="C350" s="37" t="s">
        <v>201</v>
      </c>
      <c r="D350" s="114">
        <f>146.86*10.764</f>
        <v>1580.8010400000001</v>
      </c>
      <c r="E350" s="115"/>
      <c r="F350" s="36">
        <v>0</v>
      </c>
      <c r="G350" s="36">
        <f>D350*1.6+F350</f>
        <v>2529.2816640000001</v>
      </c>
      <c r="H350" s="36" t="s">
        <v>202</v>
      </c>
      <c r="I350" s="103"/>
      <c r="J350" s="104"/>
    </row>
    <row r="351" spans="1:12" ht="15.75">
      <c r="A351" s="116">
        <v>4</v>
      </c>
      <c r="B351" s="117"/>
      <c r="C351" s="37" t="s">
        <v>243</v>
      </c>
      <c r="D351" s="114">
        <f>124.38*10.764</f>
        <v>1338.8263199999999</v>
      </c>
      <c r="E351" s="115"/>
      <c r="F351" s="36">
        <v>0</v>
      </c>
      <c r="G351" s="36">
        <f>D351*1.6+F351</f>
        <v>2142.122112</v>
      </c>
      <c r="H351" s="36" t="s">
        <v>202</v>
      </c>
      <c r="I351" s="103"/>
      <c r="J351" s="104"/>
    </row>
    <row r="352" spans="1:12" ht="15.75">
      <c r="A352" s="116">
        <v>5</v>
      </c>
      <c r="B352" s="117"/>
      <c r="C352" s="37" t="s">
        <v>243</v>
      </c>
      <c r="D352" s="114">
        <f>130.53*10.764</f>
        <v>1405.0249199999998</v>
      </c>
      <c r="E352" s="115"/>
      <c r="F352" s="36">
        <v>0</v>
      </c>
      <c r="G352" s="36">
        <f>D352*1.6+F352</f>
        <v>2248.0398719999998</v>
      </c>
      <c r="H352" s="36" t="s">
        <v>202</v>
      </c>
      <c r="I352" s="103"/>
      <c r="J352" s="104"/>
    </row>
    <row r="353" spans="1:10" ht="15.75">
      <c r="A353" s="116">
        <v>6</v>
      </c>
      <c r="B353" s="117"/>
      <c r="C353" s="37" t="s">
        <v>243</v>
      </c>
      <c r="D353" s="114">
        <f>130.53*10.764</f>
        <v>1405.0249199999998</v>
      </c>
      <c r="E353" s="115"/>
      <c r="F353" s="36">
        <v>0</v>
      </c>
      <c r="G353" s="36">
        <f>D353*1.6+F353</f>
        <v>2248.0398719999998</v>
      </c>
      <c r="H353" s="36" t="s">
        <v>202</v>
      </c>
      <c r="I353" s="103"/>
      <c r="J353" s="104"/>
    </row>
    <row r="354" spans="1:10" ht="15.75">
      <c r="A354" s="116">
        <v>7</v>
      </c>
      <c r="B354" s="117"/>
      <c r="C354" s="37" t="s">
        <v>243</v>
      </c>
      <c r="D354" s="118">
        <f>124.03*10.764</f>
        <v>1335.0589199999999</v>
      </c>
      <c r="E354" s="119"/>
      <c r="F354" s="36">
        <v>0</v>
      </c>
      <c r="G354" s="36">
        <f>D354*1.6+F354</f>
        <v>2136.0942719999998</v>
      </c>
      <c r="H354" s="36" t="s">
        <v>202</v>
      </c>
      <c r="I354" s="105"/>
      <c r="J354" s="106"/>
    </row>
    <row r="355" spans="1:10" ht="15.75">
      <c r="A355" s="123" t="s">
        <v>244</v>
      </c>
      <c r="B355" s="124"/>
      <c r="C355" s="124"/>
      <c r="D355" s="124"/>
      <c r="E355" s="124"/>
      <c r="F355" s="124"/>
      <c r="G355" s="124"/>
      <c r="H355" s="124"/>
      <c r="I355" s="124"/>
      <c r="J355" s="125"/>
    </row>
    <row r="356" spans="1:10" ht="15.75" customHeight="1">
      <c r="A356" s="116">
        <v>1</v>
      </c>
      <c r="B356" s="117"/>
      <c r="C356" s="37" t="s">
        <v>201</v>
      </c>
      <c r="D356" s="114">
        <f>146.86*10.764</f>
        <v>1580.8010400000001</v>
      </c>
      <c r="E356" s="115"/>
      <c r="F356" s="36">
        <v>0</v>
      </c>
      <c r="G356" s="36">
        <f t="shared" ref="G356:G362" si="1">D356*1.6+F356</f>
        <v>2529.2816640000001</v>
      </c>
      <c r="H356" s="36" t="s">
        <v>202</v>
      </c>
      <c r="I356" s="101" t="str">
        <f>A355</f>
        <v>33rd &amp; 34th Floor</v>
      </c>
      <c r="J356" s="102"/>
    </row>
    <row r="357" spans="1:10" ht="15.75">
      <c r="A357" s="116">
        <v>2</v>
      </c>
      <c r="B357" s="117"/>
      <c r="C357" s="37" t="s">
        <v>243</v>
      </c>
      <c r="D357" s="114">
        <f>124.03*10.764</f>
        <v>1335.0589199999999</v>
      </c>
      <c r="E357" s="115"/>
      <c r="F357" s="36">
        <v>0</v>
      </c>
      <c r="G357" s="36">
        <f t="shared" si="1"/>
        <v>2136.0942719999998</v>
      </c>
      <c r="H357" s="36" t="s">
        <v>202</v>
      </c>
      <c r="I357" s="103"/>
      <c r="J357" s="104"/>
    </row>
    <row r="358" spans="1:10" ht="15.75">
      <c r="A358" s="116">
        <v>3</v>
      </c>
      <c r="B358" s="117"/>
      <c r="C358" s="37" t="s">
        <v>201</v>
      </c>
      <c r="D358" s="114">
        <f>146.86*10.764</f>
        <v>1580.8010400000001</v>
      </c>
      <c r="E358" s="115"/>
      <c r="F358" s="36">
        <v>0</v>
      </c>
      <c r="G358" s="36">
        <f t="shared" si="1"/>
        <v>2529.2816640000001</v>
      </c>
      <c r="H358" s="36" t="s">
        <v>202</v>
      </c>
      <c r="I358" s="103"/>
      <c r="J358" s="104"/>
    </row>
    <row r="359" spans="1:10" ht="15.75">
      <c r="A359" s="116">
        <v>4</v>
      </c>
      <c r="B359" s="117"/>
      <c r="C359" s="37" t="s">
        <v>243</v>
      </c>
      <c r="D359" s="114">
        <f>124.38*10.764</f>
        <v>1338.8263199999999</v>
      </c>
      <c r="E359" s="115"/>
      <c r="F359" s="36">
        <v>0</v>
      </c>
      <c r="G359" s="36">
        <f t="shared" si="1"/>
        <v>2142.122112</v>
      </c>
      <c r="H359" s="36" t="s">
        <v>202</v>
      </c>
      <c r="I359" s="103"/>
      <c r="J359" s="104"/>
    </row>
    <row r="360" spans="1:10" ht="15.75">
      <c r="A360" s="116">
        <v>5</v>
      </c>
      <c r="B360" s="117"/>
      <c r="C360" s="37" t="s">
        <v>243</v>
      </c>
      <c r="D360" s="114">
        <f>130.96*10.764</f>
        <v>1409.65344</v>
      </c>
      <c r="E360" s="115"/>
      <c r="F360" s="36">
        <v>0</v>
      </c>
      <c r="G360" s="36">
        <f t="shared" si="1"/>
        <v>2255.4455040000003</v>
      </c>
      <c r="H360" s="36" t="s">
        <v>202</v>
      </c>
      <c r="I360" s="103"/>
      <c r="J360" s="104"/>
    </row>
    <row r="361" spans="1:10" ht="15.75">
      <c r="A361" s="116">
        <v>6</v>
      </c>
      <c r="B361" s="117"/>
      <c r="C361" s="37" t="s">
        <v>243</v>
      </c>
      <c r="D361" s="114">
        <f>130.96*10.764</f>
        <v>1409.65344</v>
      </c>
      <c r="E361" s="115"/>
      <c r="F361" s="36">
        <v>0</v>
      </c>
      <c r="G361" s="36">
        <f t="shared" si="1"/>
        <v>2255.4455040000003</v>
      </c>
      <c r="H361" s="36" t="s">
        <v>202</v>
      </c>
      <c r="I361" s="103"/>
      <c r="J361" s="104"/>
    </row>
    <row r="362" spans="1:10" ht="15.75">
      <c r="A362" s="116">
        <v>7</v>
      </c>
      <c r="B362" s="117"/>
      <c r="C362" s="37" t="s">
        <v>243</v>
      </c>
      <c r="D362" s="118">
        <f>124.76*10.764</f>
        <v>1342.9166399999999</v>
      </c>
      <c r="E362" s="119"/>
      <c r="F362" s="36">
        <v>0</v>
      </c>
      <c r="G362" s="36">
        <f t="shared" si="1"/>
        <v>2148.666624</v>
      </c>
      <c r="H362" s="36" t="s">
        <v>202</v>
      </c>
      <c r="I362" s="105"/>
      <c r="J362" s="106"/>
    </row>
    <row r="363" spans="1:10" ht="15.75">
      <c r="A363" s="123" t="s">
        <v>245</v>
      </c>
      <c r="B363" s="129"/>
      <c r="C363" s="129"/>
      <c r="D363" s="129"/>
      <c r="E363" s="129"/>
      <c r="F363" s="129"/>
      <c r="G363" s="129"/>
      <c r="H363" s="129"/>
      <c r="I363" s="129"/>
      <c r="J363" s="117"/>
    </row>
    <row r="364" spans="1:10" ht="15.75" customHeight="1">
      <c r="A364" s="116">
        <v>1</v>
      </c>
      <c r="B364" s="117"/>
      <c r="C364" s="126" t="s">
        <v>200</v>
      </c>
      <c r="D364" s="127"/>
      <c r="E364" s="127"/>
      <c r="F364" s="127"/>
      <c r="G364" s="127"/>
      <c r="H364" s="128"/>
      <c r="I364" s="101" t="str">
        <f>A363</f>
        <v>35th Floor</v>
      </c>
      <c r="J364" s="102"/>
    </row>
    <row r="365" spans="1:10" ht="15.75">
      <c r="A365" s="116">
        <v>2</v>
      </c>
      <c r="B365" s="117"/>
      <c r="C365" s="126" t="s">
        <v>200</v>
      </c>
      <c r="D365" s="127"/>
      <c r="E365" s="127"/>
      <c r="F365" s="127"/>
      <c r="G365" s="127"/>
      <c r="H365" s="128"/>
      <c r="I365" s="103"/>
      <c r="J365" s="104"/>
    </row>
    <row r="366" spans="1:10" ht="15.75">
      <c r="A366" s="116">
        <v>3</v>
      </c>
      <c r="B366" s="117"/>
      <c r="C366" s="37" t="s">
        <v>201</v>
      </c>
      <c r="D366" s="114">
        <f>146.86*10.764</f>
        <v>1580.8010400000001</v>
      </c>
      <c r="E366" s="115"/>
      <c r="F366" s="36">
        <v>0</v>
      </c>
      <c r="G366" s="36">
        <f>D366*1.6+F366</f>
        <v>2529.2816640000001</v>
      </c>
      <c r="H366" s="36" t="s">
        <v>202</v>
      </c>
      <c r="I366" s="103"/>
      <c r="J366" s="104"/>
    </row>
    <row r="367" spans="1:10" ht="15.75">
      <c r="A367" s="116">
        <v>4</v>
      </c>
      <c r="B367" s="117"/>
      <c r="C367" s="37" t="s">
        <v>243</v>
      </c>
      <c r="D367" s="114">
        <f>124.38*10.764</f>
        <v>1338.8263199999999</v>
      </c>
      <c r="E367" s="115"/>
      <c r="F367" s="36">
        <v>0</v>
      </c>
      <c r="G367" s="36">
        <f>D367*1.6+F367</f>
        <v>2142.122112</v>
      </c>
      <c r="H367" s="36" t="s">
        <v>202</v>
      </c>
      <c r="I367" s="103"/>
      <c r="J367" s="104"/>
    </row>
    <row r="368" spans="1:10" ht="15.75">
      <c r="A368" s="116">
        <v>5</v>
      </c>
      <c r="B368" s="117"/>
      <c r="C368" s="37" t="s">
        <v>243</v>
      </c>
      <c r="D368" s="114">
        <f>130.96*10.764</f>
        <v>1409.65344</v>
      </c>
      <c r="E368" s="115"/>
      <c r="F368" s="36">
        <v>0</v>
      </c>
      <c r="G368" s="36">
        <f>D368*1.6+F368</f>
        <v>2255.4455040000003</v>
      </c>
      <c r="H368" s="36" t="s">
        <v>202</v>
      </c>
      <c r="I368" s="103"/>
      <c r="J368" s="104"/>
    </row>
    <row r="369" spans="1:10" ht="15.75">
      <c r="A369" s="116">
        <v>6</v>
      </c>
      <c r="B369" s="117"/>
      <c r="C369" s="37" t="s">
        <v>243</v>
      </c>
      <c r="D369" s="114">
        <f>130.96*10.764</f>
        <v>1409.65344</v>
      </c>
      <c r="E369" s="115"/>
      <c r="F369" s="36">
        <v>0</v>
      </c>
      <c r="G369" s="36">
        <f>D369*1.6+F369</f>
        <v>2255.4455040000003</v>
      </c>
      <c r="H369" s="36" t="s">
        <v>202</v>
      </c>
      <c r="I369" s="103"/>
      <c r="J369" s="104"/>
    </row>
    <row r="370" spans="1:10" ht="15.75">
      <c r="A370" s="116">
        <v>7</v>
      </c>
      <c r="B370" s="117"/>
      <c r="C370" s="37" t="s">
        <v>243</v>
      </c>
      <c r="D370" s="118">
        <f>124.76*10.764</f>
        <v>1342.9166399999999</v>
      </c>
      <c r="E370" s="119"/>
      <c r="F370" s="36">
        <v>0</v>
      </c>
      <c r="G370" s="36">
        <f>D370*1.6+F370</f>
        <v>2148.666624</v>
      </c>
      <c r="H370" s="36" t="s">
        <v>202</v>
      </c>
      <c r="I370" s="105"/>
      <c r="J370" s="106"/>
    </row>
    <row r="371" spans="1:10" ht="15.75">
      <c r="A371" s="123" t="s">
        <v>246</v>
      </c>
      <c r="B371" s="124"/>
      <c r="C371" s="124"/>
      <c r="D371" s="124"/>
      <c r="E371" s="124"/>
      <c r="F371" s="124"/>
      <c r="G371" s="124"/>
      <c r="H371" s="124"/>
      <c r="I371" s="124"/>
      <c r="J371" s="125"/>
    </row>
    <row r="372" spans="1:10" ht="15.75" customHeight="1">
      <c r="A372" s="116">
        <v>1</v>
      </c>
      <c r="B372" s="117"/>
      <c r="C372" s="37" t="s">
        <v>201</v>
      </c>
      <c r="D372" s="114">
        <f>146.86*10.764</f>
        <v>1580.8010400000001</v>
      </c>
      <c r="E372" s="115"/>
      <c r="F372" s="36">
        <v>0</v>
      </c>
      <c r="G372" s="36">
        <f t="shared" ref="G372:G378" si="2">D372*1.6+F372</f>
        <v>2529.2816640000001</v>
      </c>
      <c r="H372" s="36" t="s">
        <v>202</v>
      </c>
      <c r="I372" s="101" t="str">
        <f>A371</f>
        <v>36th to 41st &amp; 43rd Floor</v>
      </c>
      <c r="J372" s="102"/>
    </row>
    <row r="373" spans="1:10" ht="15.75">
      <c r="A373" s="116">
        <v>2</v>
      </c>
      <c r="B373" s="117"/>
      <c r="C373" s="37" t="s">
        <v>243</v>
      </c>
      <c r="D373" s="114">
        <f>124.03*10.764</f>
        <v>1335.0589199999999</v>
      </c>
      <c r="E373" s="115"/>
      <c r="F373" s="36">
        <v>0</v>
      </c>
      <c r="G373" s="36">
        <f t="shared" si="2"/>
        <v>2136.0942719999998</v>
      </c>
      <c r="H373" s="36" t="s">
        <v>202</v>
      </c>
      <c r="I373" s="103"/>
      <c r="J373" s="104"/>
    </row>
    <row r="374" spans="1:10" ht="15.75">
      <c r="A374" s="116">
        <v>3</v>
      </c>
      <c r="B374" s="117"/>
      <c r="C374" s="37" t="s">
        <v>201</v>
      </c>
      <c r="D374" s="114">
        <f>146.86*10.764</f>
        <v>1580.8010400000001</v>
      </c>
      <c r="E374" s="115"/>
      <c r="F374" s="36">
        <v>0</v>
      </c>
      <c r="G374" s="36">
        <f t="shared" si="2"/>
        <v>2529.2816640000001</v>
      </c>
      <c r="H374" s="36" t="s">
        <v>202</v>
      </c>
      <c r="I374" s="103"/>
      <c r="J374" s="104"/>
    </row>
    <row r="375" spans="1:10" ht="15.75">
      <c r="A375" s="116">
        <v>4</v>
      </c>
      <c r="B375" s="117"/>
      <c r="C375" s="37" t="s">
        <v>243</v>
      </c>
      <c r="D375" s="114">
        <f>124.38*10.764</f>
        <v>1338.8263199999999</v>
      </c>
      <c r="E375" s="115"/>
      <c r="F375" s="36">
        <v>0</v>
      </c>
      <c r="G375" s="36">
        <f t="shared" si="2"/>
        <v>2142.122112</v>
      </c>
      <c r="H375" s="36" t="s">
        <v>202</v>
      </c>
      <c r="I375" s="103"/>
      <c r="J375" s="104"/>
    </row>
    <row r="376" spans="1:10" ht="15.75">
      <c r="A376" s="116">
        <v>5</v>
      </c>
      <c r="B376" s="117"/>
      <c r="C376" s="37" t="s">
        <v>243</v>
      </c>
      <c r="D376" s="114">
        <f>130.96*10.764</f>
        <v>1409.65344</v>
      </c>
      <c r="E376" s="115"/>
      <c r="F376" s="36">
        <v>0</v>
      </c>
      <c r="G376" s="36">
        <f t="shared" si="2"/>
        <v>2255.4455040000003</v>
      </c>
      <c r="H376" s="36" t="s">
        <v>202</v>
      </c>
      <c r="I376" s="103"/>
      <c r="J376" s="104"/>
    </row>
    <row r="377" spans="1:10" ht="15.75">
      <c r="A377" s="116">
        <v>6</v>
      </c>
      <c r="B377" s="117"/>
      <c r="C377" s="37" t="s">
        <v>243</v>
      </c>
      <c r="D377" s="114">
        <f>130.96*10.764</f>
        <v>1409.65344</v>
      </c>
      <c r="E377" s="115"/>
      <c r="F377" s="36">
        <v>0</v>
      </c>
      <c r="G377" s="36">
        <f t="shared" si="2"/>
        <v>2255.4455040000003</v>
      </c>
      <c r="H377" s="36" t="s">
        <v>202</v>
      </c>
      <c r="I377" s="103"/>
      <c r="J377" s="104"/>
    </row>
    <row r="378" spans="1:10" ht="15.75">
      <c r="A378" s="116">
        <v>7</v>
      </c>
      <c r="B378" s="117"/>
      <c r="C378" s="37" t="s">
        <v>243</v>
      </c>
      <c r="D378" s="118">
        <f>124.76*10.764</f>
        <v>1342.9166399999999</v>
      </c>
      <c r="E378" s="119"/>
      <c r="F378" s="36">
        <v>0</v>
      </c>
      <c r="G378" s="36">
        <f t="shared" si="2"/>
        <v>2148.666624</v>
      </c>
      <c r="H378" s="36" t="s">
        <v>202</v>
      </c>
      <c r="I378" s="105"/>
      <c r="J378" s="106"/>
    </row>
    <row r="379" spans="1:10" ht="15.75">
      <c r="A379" s="131" t="s">
        <v>247</v>
      </c>
      <c r="B379" s="107"/>
      <c r="C379" s="107"/>
      <c r="D379" s="107"/>
      <c r="E379" s="107"/>
      <c r="F379" s="107"/>
      <c r="G379" s="107"/>
      <c r="H379" s="107"/>
      <c r="I379" s="107"/>
      <c r="J379" s="107"/>
    </row>
    <row r="380" spans="1:10" ht="15.75" customHeight="1">
      <c r="A380" s="107">
        <v>1</v>
      </c>
      <c r="B380" s="107"/>
      <c r="C380" s="132" t="s">
        <v>200</v>
      </c>
      <c r="D380" s="132"/>
      <c r="E380" s="132"/>
      <c r="F380" s="132"/>
      <c r="G380" s="132"/>
      <c r="H380" s="132"/>
      <c r="I380" s="107" t="str">
        <f>A379</f>
        <v>42nd Floor</v>
      </c>
      <c r="J380" s="107"/>
    </row>
    <row r="381" spans="1:10" ht="15.75">
      <c r="A381" s="107">
        <v>2</v>
      </c>
      <c r="B381" s="107"/>
      <c r="C381" s="132" t="s">
        <v>200</v>
      </c>
      <c r="D381" s="132"/>
      <c r="E381" s="132"/>
      <c r="F381" s="132"/>
      <c r="G381" s="132"/>
      <c r="H381" s="132"/>
      <c r="I381" s="107"/>
      <c r="J381" s="107"/>
    </row>
    <row r="382" spans="1:10" ht="15.75">
      <c r="A382" s="107">
        <v>3</v>
      </c>
      <c r="B382" s="107"/>
      <c r="C382" s="37" t="s">
        <v>201</v>
      </c>
      <c r="D382" s="130">
        <f>146.86*10.764</f>
        <v>1580.8010400000001</v>
      </c>
      <c r="E382" s="130"/>
      <c r="F382" s="66">
        <v>0</v>
      </c>
      <c r="G382" s="66">
        <f>D382*1.6+F382</f>
        <v>2529.2816640000001</v>
      </c>
      <c r="H382" s="66" t="s">
        <v>202</v>
      </c>
      <c r="I382" s="107"/>
      <c r="J382" s="107"/>
    </row>
    <row r="383" spans="1:10" ht="15.75">
      <c r="A383" s="107">
        <v>4</v>
      </c>
      <c r="B383" s="107"/>
      <c r="C383" s="37" t="s">
        <v>243</v>
      </c>
      <c r="D383" s="130">
        <f>124.38*10.764</f>
        <v>1338.8263199999999</v>
      </c>
      <c r="E383" s="130"/>
      <c r="F383" s="66">
        <v>0</v>
      </c>
      <c r="G383" s="66">
        <f>D383*1.6+F383</f>
        <v>2142.122112</v>
      </c>
      <c r="H383" s="66" t="s">
        <v>202</v>
      </c>
      <c r="I383" s="107"/>
      <c r="J383" s="107"/>
    </row>
    <row r="384" spans="1:10" ht="15.75">
      <c r="A384" s="107">
        <v>5</v>
      </c>
      <c r="B384" s="107"/>
      <c r="C384" s="37" t="s">
        <v>243</v>
      </c>
      <c r="D384" s="130">
        <f>130.96*10.764</f>
        <v>1409.65344</v>
      </c>
      <c r="E384" s="130"/>
      <c r="F384" s="66">
        <v>0</v>
      </c>
      <c r="G384" s="66">
        <f>D384*1.6+F384</f>
        <v>2255.4455040000003</v>
      </c>
      <c r="H384" s="66" t="s">
        <v>202</v>
      </c>
      <c r="I384" s="107"/>
      <c r="J384" s="107"/>
    </row>
    <row r="385" spans="1:10" ht="15.75">
      <c r="A385" s="107">
        <v>6</v>
      </c>
      <c r="B385" s="107"/>
      <c r="C385" s="37" t="s">
        <v>243</v>
      </c>
      <c r="D385" s="130">
        <f>130.96*10.764</f>
        <v>1409.65344</v>
      </c>
      <c r="E385" s="130"/>
      <c r="F385" s="66">
        <v>0</v>
      </c>
      <c r="G385" s="66">
        <f>D385*1.6+F385</f>
        <v>2255.4455040000003</v>
      </c>
      <c r="H385" s="66" t="s">
        <v>202</v>
      </c>
      <c r="I385" s="107"/>
      <c r="J385" s="107"/>
    </row>
    <row r="386" spans="1:10" ht="15.75">
      <c r="A386" s="107">
        <v>7</v>
      </c>
      <c r="B386" s="107"/>
      <c r="C386" s="37" t="s">
        <v>243</v>
      </c>
      <c r="D386" s="130">
        <f>124.76*10.764</f>
        <v>1342.9166399999999</v>
      </c>
      <c r="E386" s="130"/>
      <c r="F386" s="66">
        <v>0</v>
      </c>
      <c r="G386" s="66">
        <f>D386*1.6+F386</f>
        <v>2148.666624</v>
      </c>
      <c r="H386" s="66" t="s">
        <v>202</v>
      </c>
      <c r="I386" s="107"/>
      <c r="J386" s="107"/>
    </row>
    <row r="387" spans="1:10" ht="15.75">
      <c r="A387" s="131" t="s">
        <v>248</v>
      </c>
      <c r="B387" s="131"/>
      <c r="C387" s="131"/>
      <c r="D387" s="131"/>
      <c r="E387" s="131"/>
      <c r="F387" s="131"/>
      <c r="G387" s="131"/>
      <c r="H387" s="131"/>
      <c r="I387" s="131"/>
      <c r="J387" s="131"/>
    </row>
    <row r="388" spans="1:10" ht="15.75" customHeight="1">
      <c r="A388" s="116">
        <v>1</v>
      </c>
      <c r="B388" s="117"/>
      <c r="C388" s="37" t="s">
        <v>201</v>
      </c>
      <c r="D388" s="114">
        <f>147.38*10.764</f>
        <v>1586.3983199999998</v>
      </c>
      <c r="E388" s="115"/>
      <c r="F388" s="36">
        <v>0</v>
      </c>
      <c r="G388" s="36">
        <f t="shared" ref="G388:G394" si="3">D388*1.6+F388</f>
        <v>2538.2373119999997</v>
      </c>
      <c r="H388" s="36" t="s">
        <v>202</v>
      </c>
      <c r="I388" s="101" t="str">
        <f>A387</f>
        <v>44th to 48th, 50th to 55th, 57th to 62nd &amp; 64th Floor</v>
      </c>
      <c r="J388" s="102"/>
    </row>
    <row r="389" spans="1:10" ht="15.75">
      <c r="A389" s="116">
        <v>2</v>
      </c>
      <c r="B389" s="117"/>
      <c r="C389" s="37" t="s">
        <v>243</v>
      </c>
      <c r="D389" s="118">
        <f>124.03*10.764</f>
        <v>1335.0589199999999</v>
      </c>
      <c r="E389" s="119"/>
      <c r="F389" s="36">
        <v>0</v>
      </c>
      <c r="G389" s="36">
        <f t="shared" si="3"/>
        <v>2136.0942719999998</v>
      </c>
      <c r="H389" s="36" t="s">
        <v>202</v>
      </c>
      <c r="I389" s="103"/>
      <c r="J389" s="104"/>
    </row>
    <row r="390" spans="1:10" ht="15.75">
      <c r="A390" s="116">
        <v>3</v>
      </c>
      <c r="B390" s="117"/>
      <c r="C390" s="37" t="s">
        <v>201</v>
      </c>
      <c r="D390" s="114">
        <f>147.38*10.764</f>
        <v>1586.3983199999998</v>
      </c>
      <c r="E390" s="115"/>
      <c r="F390" s="36">
        <v>0</v>
      </c>
      <c r="G390" s="36">
        <f t="shared" si="3"/>
        <v>2538.2373119999997</v>
      </c>
      <c r="H390" s="36" t="s">
        <v>202</v>
      </c>
      <c r="I390" s="103"/>
      <c r="J390" s="104"/>
    </row>
    <row r="391" spans="1:10" ht="15.75">
      <c r="A391" s="116">
        <v>4</v>
      </c>
      <c r="B391" s="117"/>
      <c r="C391" s="37" t="s">
        <v>243</v>
      </c>
      <c r="D391" s="114">
        <f>124.44*10.764</f>
        <v>1339.4721599999998</v>
      </c>
      <c r="E391" s="115"/>
      <c r="F391" s="36">
        <v>0</v>
      </c>
      <c r="G391" s="36">
        <f t="shared" si="3"/>
        <v>2143.155456</v>
      </c>
      <c r="H391" s="36" t="s">
        <v>202</v>
      </c>
      <c r="I391" s="103"/>
      <c r="J391" s="104"/>
    </row>
    <row r="392" spans="1:10" ht="15.75">
      <c r="A392" s="116">
        <v>5</v>
      </c>
      <c r="B392" s="117"/>
      <c r="C392" s="37" t="s">
        <v>243</v>
      </c>
      <c r="D392" s="114">
        <f>132.11*10.764</f>
        <v>1422.0320400000001</v>
      </c>
      <c r="E392" s="115"/>
      <c r="F392" s="36">
        <v>0</v>
      </c>
      <c r="G392" s="36">
        <f t="shared" si="3"/>
        <v>2275.251264</v>
      </c>
      <c r="H392" s="36" t="s">
        <v>202</v>
      </c>
      <c r="I392" s="103"/>
      <c r="J392" s="104"/>
    </row>
    <row r="393" spans="1:10" ht="15.75">
      <c r="A393" s="116">
        <v>6</v>
      </c>
      <c r="B393" s="117"/>
      <c r="C393" s="37" t="s">
        <v>243</v>
      </c>
      <c r="D393" s="114">
        <f>132.11*10.764</f>
        <v>1422.0320400000001</v>
      </c>
      <c r="E393" s="115"/>
      <c r="F393" s="36">
        <v>0</v>
      </c>
      <c r="G393" s="36">
        <f t="shared" si="3"/>
        <v>2275.251264</v>
      </c>
      <c r="H393" s="36" t="s">
        <v>202</v>
      </c>
      <c r="I393" s="103"/>
      <c r="J393" s="104"/>
    </row>
    <row r="394" spans="1:10" ht="15.75">
      <c r="A394" s="116">
        <v>7</v>
      </c>
      <c r="B394" s="117"/>
      <c r="C394" s="37" t="s">
        <v>243</v>
      </c>
      <c r="D394" s="118">
        <f>125.41*10.764</f>
        <v>1349.9132399999999</v>
      </c>
      <c r="E394" s="119"/>
      <c r="F394" s="36">
        <v>0</v>
      </c>
      <c r="G394" s="36">
        <f t="shared" si="3"/>
        <v>2159.8611839999999</v>
      </c>
      <c r="H394" s="36" t="s">
        <v>202</v>
      </c>
      <c r="I394" s="105"/>
      <c r="J394" s="106"/>
    </row>
    <row r="395" spans="1:10" ht="15.75">
      <c r="A395" s="123" t="s">
        <v>249</v>
      </c>
      <c r="B395" s="129"/>
      <c r="C395" s="129"/>
      <c r="D395" s="129"/>
      <c r="E395" s="129"/>
      <c r="F395" s="129"/>
      <c r="G395" s="129"/>
      <c r="H395" s="129"/>
      <c r="I395" s="129"/>
      <c r="J395" s="117"/>
    </row>
    <row r="396" spans="1:10" ht="15.75" customHeight="1">
      <c r="A396" s="116">
        <v>1</v>
      </c>
      <c r="B396" s="117"/>
      <c r="C396" s="126" t="s">
        <v>200</v>
      </c>
      <c r="D396" s="127"/>
      <c r="E396" s="127"/>
      <c r="F396" s="127"/>
      <c r="G396" s="127"/>
      <c r="H396" s="128"/>
      <c r="I396" s="101" t="str">
        <f>A395</f>
        <v>49th &amp; 56th Floor</v>
      </c>
      <c r="J396" s="102"/>
    </row>
    <row r="397" spans="1:10" ht="15.75">
      <c r="A397" s="116">
        <v>2</v>
      </c>
      <c r="B397" s="117"/>
      <c r="C397" s="126" t="s">
        <v>200</v>
      </c>
      <c r="D397" s="127"/>
      <c r="E397" s="127"/>
      <c r="F397" s="127"/>
      <c r="G397" s="127"/>
      <c r="H397" s="128"/>
      <c r="I397" s="103"/>
      <c r="J397" s="104"/>
    </row>
    <row r="398" spans="1:10" ht="15.75">
      <c r="A398" s="116">
        <v>3</v>
      </c>
      <c r="B398" s="117"/>
      <c r="C398" s="37" t="s">
        <v>201</v>
      </c>
      <c r="D398" s="114">
        <f>147.38*10.764</f>
        <v>1586.3983199999998</v>
      </c>
      <c r="E398" s="115"/>
      <c r="F398" s="36">
        <v>0</v>
      </c>
      <c r="G398" s="36">
        <f>D398*1.6+F398</f>
        <v>2538.2373119999997</v>
      </c>
      <c r="H398" s="36" t="s">
        <v>202</v>
      </c>
      <c r="I398" s="103"/>
      <c r="J398" s="104"/>
    </row>
    <row r="399" spans="1:10" ht="15.75">
      <c r="A399" s="116">
        <v>4</v>
      </c>
      <c r="B399" s="117"/>
      <c r="C399" s="37" t="s">
        <v>243</v>
      </c>
      <c r="D399" s="114">
        <f>124.44*10.764</f>
        <v>1339.4721599999998</v>
      </c>
      <c r="E399" s="115"/>
      <c r="F399" s="36">
        <v>0</v>
      </c>
      <c r="G399" s="36">
        <f>D399*1.6+F399</f>
        <v>2143.155456</v>
      </c>
      <c r="H399" s="36" t="s">
        <v>202</v>
      </c>
      <c r="I399" s="103"/>
      <c r="J399" s="104"/>
    </row>
    <row r="400" spans="1:10" ht="15.75">
      <c r="A400" s="116">
        <v>5</v>
      </c>
      <c r="B400" s="117"/>
      <c r="C400" s="37" t="s">
        <v>243</v>
      </c>
      <c r="D400" s="114">
        <f>132.11*10.764</f>
        <v>1422.0320400000001</v>
      </c>
      <c r="E400" s="115"/>
      <c r="F400" s="36">
        <v>0</v>
      </c>
      <c r="G400" s="36">
        <f>D400*1.6+F400</f>
        <v>2275.251264</v>
      </c>
      <c r="H400" s="36" t="s">
        <v>202</v>
      </c>
      <c r="I400" s="103"/>
      <c r="J400" s="104"/>
    </row>
    <row r="401" spans="1:12" ht="15.75">
      <c r="A401" s="116">
        <v>6</v>
      </c>
      <c r="B401" s="117"/>
      <c r="C401" s="37" t="s">
        <v>243</v>
      </c>
      <c r="D401" s="114">
        <f>132.11*10.764</f>
        <v>1422.0320400000001</v>
      </c>
      <c r="E401" s="115"/>
      <c r="F401" s="36">
        <v>0</v>
      </c>
      <c r="G401" s="36">
        <f>D401*1.6+F401</f>
        <v>2275.251264</v>
      </c>
      <c r="H401" s="36" t="s">
        <v>202</v>
      </c>
      <c r="I401" s="103"/>
      <c r="J401" s="104"/>
      <c r="L401" s="285">
        <f>G399/D399</f>
        <v>1.6000000000000003</v>
      </c>
    </row>
    <row r="402" spans="1:12" ht="15.75">
      <c r="A402" s="116">
        <v>7</v>
      </c>
      <c r="B402" s="117"/>
      <c r="C402" s="37" t="s">
        <v>243</v>
      </c>
      <c r="D402" s="118">
        <f>125.41*10.764</f>
        <v>1349.9132399999999</v>
      </c>
      <c r="E402" s="119"/>
      <c r="F402" s="36">
        <v>0</v>
      </c>
      <c r="G402" s="36">
        <f>D402*1.6+F402</f>
        <v>2159.8611839999999</v>
      </c>
      <c r="H402" s="36" t="s">
        <v>202</v>
      </c>
      <c r="I402" s="105"/>
      <c r="J402" s="106"/>
    </row>
    <row r="403" spans="1:12" ht="15.75">
      <c r="A403" s="123" t="s">
        <v>250</v>
      </c>
      <c r="B403" s="124"/>
      <c r="C403" s="124"/>
      <c r="D403" s="124"/>
      <c r="E403" s="124"/>
      <c r="F403" s="124"/>
      <c r="G403" s="124"/>
      <c r="H403" s="124"/>
      <c r="I403" s="124"/>
      <c r="J403" s="125"/>
    </row>
    <row r="404" spans="1:12" ht="15.75" customHeight="1">
      <c r="A404" s="116">
        <v>1</v>
      </c>
      <c r="B404" s="117"/>
      <c r="C404" s="37" t="s">
        <v>201</v>
      </c>
      <c r="D404" s="114">
        <f>147.38*10.764</f>
        <v>1586.3983199999998</v>
      </c>
      <c r="E404" s="115"/>
      <c r="F404" s="36">
        <v>0</v>
      </c>
      <c r="G404" s="36">
        <f t="shared" ref="G404:G410" si="4">D404*1.6+F404</f>
        <v>2538.2373119999997</v>
      </c>
      <c r="H404" s="36" t="s">
        <v>202</v>
      </c>
      <c r="I404" s="101" t="str">
        <f>A403</f>
        <v>63rd Floor (Part Refuge Area)</v>
      </c>
      <c r="J404" s="102"/>
    </row>
    <row r="405" spans="1:12" ht="15.75">
      <c r="A405" s="116">
        <v>2</v>
      </c>
      <c r="B405" s="117"/>
      <c r="C405" s="126" t="s">
        <v>200</v>
      </c>
      <c r="D405" s="127"/>
      <c r="E405" s="127"/>
      <c r="F405" s="127"/>
      <c r="G405" s="127"/>
      <c r="H405" s="128"/>
      <c r="I405" s="103"/>
      <c r="J405" s="104"/>
    </row>
    <row r="406" spans="1:12" ht="15.75">
      <c r="A406" s="116">
        <v>3</v>
      </c>
      <c r="B406" s="117"/>
      <c r="C406" s="37" t="s">
        <v>201</v>
      </c>
      <c r="D406" s="114">
        <f>147.38*10.764</f>
        <v>1586.3983199999998</v>
      </c>
      <c r="E406" s="115"/>
      <c r="F406" s="36">
        <v>0</v>
      </c>
      <c r="G406" s="36">
        <f t="shared" si="4"/>
        <v>2538.2373119999997</v>
      </c>
      <c r="H406" s="36" t="s">
        <v>202</v>
      </c>
      <c r="I406" s="103"/>
      <c r="J406" s="104"/>
    </row>
    <row r="407" spans="1:12" ht="15.75">
      <c r="A407" s="116">
        <v>4</v>
      </c>
      <c r="B407" s="117"/>
      <c r="C407" s="37" t="s">
        <v>243</v>
      </c>
      <c r="D407" s="114">
        <f>124.44*10.764</f>
        <v>1339.4721599999998</v>
      </c>
      <c r="E407" s="115"/>
      <c r="F407" s="36">
        <v>0</v>
      </c>
      <c r="G407" s="36">
        <f t="shared" si="4"/>
        <v>2143.155456</v>
      </c>
      <c r="H407" s="36" t="s">
        <v>202</v>
      </c>
      <c r="I407" s="103"/>
      <c r="J407" s="104"/>
    </row>
    <row r="408" spans="1:12" ht="15.75">
      <c r="A408" s="116">
        <v>5</v>
      </c>
      <c r="B408" s="117"/>
      <c r="C408" s="37" t="s">
        <v>243</v>
      </c>
      <c r="D408" s="114">
        <f>132.11*10.764</f>
        <v>1422.0320400000001</v>
      </c>
      <c r="E408" s="115"/>
      <c r="F408" s="36">
        <v>0</v>
      </c>
      <c r="G408" s="36">
        <f t="shared" si="4"/>
        <v>2275.251264</v>
      </c>
      <c r="H408" s="36" t="s">
        <v>202</v>
      </c>
      <c r="I408" s="103"/>
      <c r="J408" s="104"/>
    </row>
    <row r="409" spans="1:12" ht="15.75">
      <c r="A409" s="116">
        <v>6</v>
      </c>
      <c r="B409" s="117"/>
      <c r="C409" s="37" t="s">
        <v>243</v>
      </c>
      <c r="D409" s="114">
        <f>132.11*10.764</f>
        <v>1422.0320400000001</v>
      </c>
      <c r="E409" s="115"/>
      <c r="F409" s="36">
        <v>0</v>
      </c>
      <c r="G409" s="36">
        <f t="shared" si="4"/>
        <v>2275.251264</v>
      </c>
      <c r="H409" s="36" t="s">
        <v>202</v>
      </c>
      <c r="I409" s="103"/>
      <c r="J409" s="104"/>
    </row>
    <row r="410" spans="1:12" ht="15.75">
      <c r="A410" s="116">
        <v>7</v>
      </c>
      <c r="B410" s="117"/>
      <c r="C410" s="37" t="s">
        <v>243</v>
      </c>
      <c r="D410" s="118">
        <f>125.41*10.764</f>
        <v>1349.9132399999999</v>
      </c>
      <c r="E410" s="119"/>
      <c r="F410" s="36">
        <v>0</v>
      </c>
      <c r="G410" s="36">
        <f t="shared" si="4"/>
        <v>2159.8611839999999</v>
      </c>
      <c r="H410" s="36" t="s">
        <v>202</v>
      </c>
      <c r="I410" s="105"/>
      <c r="J410" s="106"/>
    </row>
    <row r="411" spans="1:12" ht="15.75">
      <c r="A411" s="123" t="s">
        <v>251</v>
      </c>
      <c r="B411" s="124"/>
      <c r="C411" s="124"/>
      <c r="D411" s="124"/>
      <c r="E411" s="124"/>
      <c r="F411" s="124"/>
      <c r="G411" s="124"/>
      <c r="H411" s="124"/>
      <c r="I411" s="124"/>
      <c r="J411" s="125"/>
    </row>
    <row r="412" spans="1:12" ht="15.75" customHeight="1">
      <c r="A412" s="116">
        <v>1</v>
      </c>
      <c r="B412" s="117"/>
      <c r="C412" s="37" t="s">
        <v>201</v>
      </c>
      <c r="D412" s="114">
        <f>147.38*10.764</f>
        <v>1586.3983199999998</v>
      </c>
      <c r="E412" s="115"/>
      <c r="F412" s="36">
        <v>0</v>
      </c>
      <c r="G412" s="36">
        <f t="shared" ref="G412" si="5">D412*1.6+F412</f>
        <v>2538.2373119999997</v>
      </c>
      <c r="H412" s="36" t="s">
        <v>202</v>
      </c>
      <c r="I412" s="101" t="str">
        <f>A411</f>
        <v>65th Floor (Part Terrace Area)</v>
      </c>
      <c r="J412" s="102"/>
    </row>
    <row r="413" spans="1:12" ht="15.75">
      <c r="A413" s="116">
        <v>2</v>
      </c>
      <c r="B413" s="117"/>
      <c r="C413" s="126" t="s">
        <v>252</v>
      </c>
      <c r="D413" s="127"/>
      <c r="E413" s="127"/>
      <c r="F413" s="127"/>
      <c r="G413" s="127"/>
      <c r="H413" s="128"/>
      <c r="I413" s="103"/>
      <c r="J413" s="104"/>
    </row>
    <row r="414" spans="1:12" ht="15.75">
      <c r="A414" s="116">
        <v>3</v>
      </c>
      <c r="B414" s="117"/>
      <c r="C414" s="37" t="s">
        <v>201</v>
      </c>
      <c r="D414" s="114">
        <f>147.38*10.764</f>
        <v>1586.3983199999998</v>
      </c>
      <c r="E414" s="115"/>
      <c r="F414" s="36">
        <v>0</v>
      </c>
      <c r="G414" s="36">
        <f t="shared" ref="G414:G418" si="6">D414*1.6+F414</f>
        <v>2538.2373119999997</v>
      </c>
      <c r="H414" s="36" t="s">
        <v>202</v>
      </c>
      <c r="I414" s="103"/>
      <c r="J414" s="104"/>
    </row>
    <row r="415" spans="1:12" ht="15.75">
      <c r="A415" s="116">
        <v>4</v>
      </c>
      <c r="B415" s="117"/>
      <c r="C415" s="37" t="s">
        <v>243</v>
      </c>
      <c r="D415" s="114">
        <f>124.44*10.764</f>
        <v>1339.4721599999998</v>
      </c>
      <c r="E415" s="115"/>
      <c r="F415" s="36">
        <v>0</v>
      </c>
      <c r="G415" s="36">
        <f t="shared" si="6"/>
        <v>2143.155456</v>
      </c>
      <c r="H415" s="36" t="s">
        <v>202</v>
      </c>
      <c r="I415" s="103"/>
      <c r="J415" s="104"/>
    </row>
    <row r="416" spans="1:12" ht="15.75">
      <c r="A416" s="116">
        <v>5</v>
      </c>
      <c r="B416" s="117"/>
      <c r="C416" s="37" t="s">
        <v>243</v>
      </c>
      <c r="D416" s="114">
        <f>132.11*10.764</f>
        <v>1422.0320400000001</v>
      </c>
      <c r="E416" s="115"/>
      <c r="F416" s="36">
        <v>0</v>
      </c>
      <c r="G416" s="36">
        <f t="shared" si="6"/>
        <v>2275.251264</v>
      </c>
      <c r="H416" s="36" t="s">
        <v>202</v>
      </c>
      <c r="I416" s="103"/>
      <c r="J416" s="104"/>
    </row>
    <row r="417" spans="1:10" ht="15.75">
      <c r="A417" s="116">
        <v>6</v>
      </c>
      <c r="B417" s="117"/>
      <c r="C417" s="37" t="s">
        <v>243</v>
      </c>
      <c r="D417" s="114">
        <f>132.11*10.764</f>
        <v>1422.0320400000001</v>
      </c>
      <c r="E417" s="115"/>
      <c r="F417" s="36">
        <v>0</v>
      </c>
      <c r="G417" s="36">
        <f t="shared" si="6"/>
        <v>2275.251264</v>
      </c>
      <c r="H417" s="36" t="s">
        <v>202</v>
      </c>
      <c r="I417" s="103"/>
      <c r="J417" s="104"/>
    </row>
    <row r="418" spans="1:10" ht="15.75">
      <c r="A418" s="116">
        <v>7</v>
      </c>
      <c r="B418" s="117"/>
      <c r="C418" s="37" t="s">
        <v>243</v>
      </c>
      <c r="D418" s="118">
        <f>125.41*10.764</f>
        <v>1349.9132399999999</v>
      </c>
      <c r="E418" s="119"/>
      <c r="F418" s="36">
        <v>0</v>
      </c>
      <c r="G418" s="36">
        <f t="shared" si="6"/>
        <v>2159.8611839999999</v>
      </c>
      <c r="H418" s="36" t="s">
        <v>202</v>
      </c>
      <c r="I418" s="105"/>
      <c r="J418" s="106"/>
    </row>
    <row r="419" spans="1:10" ht="261" customHeight="1">
      <c r="A419" s="120" t="s">
        <v>394</v>
      </c>
      <c r="B419" s="121"/>
      <c r="C419" s="121"/>
      <c r="D419" s="121"/>
      <c r="E419" s="121"/>
      <c r="F419" s="121"/>
      <c r="G419" s="121"/>
      <c r="H419" s="121"/>
      <c r="I419" s="121"/>
      <c r="J419" s="122"/>
    </row>
    <row r="420" spans="1:10" ht="12.95" customHeight="1">
      <c r="A420" s="91" t="s">
        <v>253</v>
      </c>
      <c r="B420" s="92"/>
      <c r="C420" s="92"/>
      <c r="D420" s="92"/>
      <c r="E420" s="92"/>
      <c r="F420" s="92"/>
      <c r="G420" s="92"/>
      <c r="H420" s="92"/>
      <c r="I420" s="92"/>
      <c r="J420" s="93"/>
    </row>
    <row r="421" spans="1:10">
      <c r="A421" s="88" t="s">
        <v>254</v>
      </c>
      <c r="B421" s="89"/>
      <c r="C421" s="89"/>
      <c r="D421" s="89"/>
      <c r="E421" s="89"/>
      <c r="F421" s="89"/>
      <c r="G421" s="89"/>
      <c r="H421" s="89"/>
      <c r="I421" s="89"/>
      <c r="J421" s="90"/>
    </row>
    <row r="422" spans="1:10">
      <c r="A422" s="91" t="s">
        <v>255</v>
      </c>
      <c r="B422" s="92"/>
      <c r="C422" s="92"/>
      <c r="D422" s="92"/>
      <c r="E422" s="92"/>
      <c r="F422" s="92"/>
      <c r="G422" s="92"/>
      <c r="H422" s="92"/>
      <c r="I422" s="92"/>
      <c r="J422" s="93"/>
    </row>
    <row r="423" spans="1:10" ht="16.5" customHeight="1">
      <c r="A423" s="88" t="s">
        <v>256</v>
      </c>
      <c r="B423" s="89"/>
      <c r="C423" s="89"/>
      <c r="D423" s="89"/>
      <c r="E423" s="89"/>
      <c r="F423" s="89"/>
      <c r="G423" s="89"/>
      <c r="H423" s="89"/>
      <c r="I423" s="89"/>
      <c r="J423" s="90"/>
    </row>
    <row r="424" spans="1:10" ht="16.5" customHeight="1">
      <c r="A424" s="94" t="s">
        <v>257</v>
      </c>
      <c r="B424" s="95"/>
      <c r="C424" s="95"/>
      <c r="D424" s="95"/>
      <c r="E424" s="95"/>
      <c r="F424" s="95"/>
      <c r="G424" s="95"/>
      <c r="H424" s="95"/>
      <c r="I424" s="95"/>
      <c r="J424" s="96"/>
    </row>
    <row r="425" spans="1:10">
      <c r="A425" s="88" t="s">
        <v>258</v>
      </c>
      <c r="B425" s="89"/>
      <c r="C425" s="89"/>
      <c r="D425" s="89"/>
      <c r="E425" s="89"/>
      <c r="F425" s="89"/>
      <c r="G425" s="89"/>
      <c r="H425" s="89"/>
      <c r="I425" s="89"/>
      <c r="J425" s="90"/>
    </row>
    <row r="426" spans="1:10" hidden="1">
      <c r="A426" s="88" t="s">
        <v>259</v>
      </c>
      <c r="B426" s="89"/>
      <c r="C426" s="89"/>
      <c r="D426" s="89"/>
      <c r="E426" s="89"/>
      <c r="F426" s="89"/>
      <c r="G426" s="89"/>
      <c r="H426" s="89"/>
      <c r="I426" s="89"/>
      <c r="J426" s="90"/>
    </row>
    <row r="427" spans="1:10" ht="30.75" hidden="1" customHeight="1">
      <c r="A427" s="97" t="s">
        <v>260</v>
      </c>
      <c r="B427" s="98"/>
      <c r="C427" s="98"/>
      <c r="D427" s="98"/>
      <c r="E427" s="98"/>
      <c r="F427" s="98"/>
      <c r="G427" s="98"/>
      <c r="H427" s="98"/>
      <c r="I427" s="98"/>
      <c r="J427" s="99"/>
    </row>
    <row r="428" spans="1:10" ht="15" customHeight="1">
      <c r="A428" s="108" t="s">
        <v>261</v>
      </c>
      <c r="B428" s="109"/>
      <c r="C428" s="109"/>
      <c r="D428" s="109"/>
      <c r="E428" s="109"/>
      <c r="F428" s="109"/>
      <c r="G428" s="109"/>
      <c r="H428" s="109"/>
      <c r="I428" s="109"/>
      <c r="J428" s="110"/>
    </row>
    <row r="429" spans="1:10">
      <c r="A429" s="111"/>
      <c r="B429" s="112"/>
      <c r="C429" s="112"/>
      <c r="D429" s="112"/>
      <c r="E429" s="112"/>
      <c r="F429" s="112"/>
      <c r="G429" s="112"/>
      <c r="H429" s="112"/>
      <c r="I429" s="112"/>
      <c r="J429" s="113"/>
    </row>
    <row r="430" spans="1:10">
      <c r="A430" s="111"/>
      <c r="B430" s="112"/>
      <c r="C430" s="112"/>
      <c r="D430" s="112"/>
      <c r="E430" s="112"/>
      <c r="F430" s="112"/>
      <c r="G430" s="112"/>
      <c r="H430" s="112"/>
      <c r="I430" s="112"/>
      <c r="J430" s="113"/>
    </row>
    <row r="431" spans="1:10">
      <c r="A431" s="38" t="s">
        <v>262</v>
      </c>
      <c r="E431" s="40" t="str">
        <f>F8</f>
        <v>Rustomjee Crown</v>
      </c>
    </row>
    <row r="433" spans="1:10">
      <c r="B433" s="39"/>
      <c r="C433" s="39"/>
      <c r="D433" s="39"/>
      <c r="G433" s="39"/>
      <c r="H433" s="39"/>
      <c r="I433" s="39"/>
      <c r="J433" s="39"/>
    </row>
    <row r="434" spans="1:10">
      <c r="A434" s="39"/>
      <c r="B434" s="39"/>
      <c r="C434" s="39"/>
      <c r="D434" s="39"/>
      <c r="E434" s="39"/>
      <c r="F434" s="39"/>
      <c r="G434" s="39"/>
      <c r="H434" s="39"/>
      <c r="I434" s="39"/>
      <c r="J434" s="39"/>
    </row>
    <row r="435" spans="1:10">
      <c r="A435" s="39"/>
      <c r="B435" s="39"/>
      <c r="C435" s="39"/>
      <c r="D435" s="39"/>
      <c r="E435" s="39"/>
      <c r="F435" s="39"/>
      <c r="G435" s="39"/>
      <c r="H435" s="39"/>
      <c r="I435" s="39"/>
      <c r="J435" s="39"/>
    </row>
    <row r="454" spans="2:8">
      <c r="B454" s="100"/>
      <c r="C454" s="100"/>
      <c r="D454" s="100"/>
      <c r="E454" s="100"/>
      <c r="F454" s="100"/>
      <c r="G454" s="100"/>
      <c r="H454" s="100"/>
    </row>
    <row r="482" spans="1:1">
      <c r="A482" s="41" t="s">
        <v>263</v>
      </c>
    </row>
  </sheetData>
  <mergeCells count="841">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E12"/>
    <mergeCell ref="F12:J12"/>
    <mergeCell ref="A13:E13"/>
    <mergeCell ref="F13:J13"/>
    <mergeCell ref="A14:B14"/>
    <mergeCell ref="C14:J14"/>
    <mergeCell ref="A15:B15"/>
    <mergeCell ref="C15:E15"/>
    <mergeCell ref="F15:G15"/>
    <mergeCell ref="H15:J15"/>
    <mergeCell ref="A16:B16"/>
    <mergeCell ref="C16:E16"/>
    <mergeCell ref="F16:G16"/>
    <mergeCell ref="H16:J16"/>
    <mergeCell ref="A17:B17"/>
    <mergeCell ref="C17:E17"/>
    <mergeCell ref="F17:G17"/>
    <mergeCell ref="H17:J17"/>
    <mergeCell ref="A18:B18"/>
    <mergeCell ref="C18:E18"/>
    <mergeCell ref="F18:G18"/>
    <mergeCell ref="H18:J18"/>
    <mergeCell ref="A23:E23"/>
    <mergeCell ref="F23:J23"/>
    <mergeCell ref="A24:E24"/>
    <mergeCell ref="F24:J24"/>
    <mergeCell ref="A25:E25"/>
    <mergeCell ref="F25:J25"/>
    <mergeCell ref="A26:E26"/>
    <mergeCell ref="F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J30"/>
    <mergeCell ref="A31:J31"/>
    <mergeCell ref="A32:B32"/>
    <mergeCell ref="C32:J32"/>
    <mergeCell ref="A33:B33"/>
    <mergeCell ref="C33:J33"/>
    <mergeCell ref="A34:J34"/>
    <mergeCell ref="A37:E37"/>
    <mergeCell ref="F37:J37"/>
    <mergeCell ref="A44:B44"/>
    <mergeCell ref="C44:F44"/>
    <mergeCell ref="H44:J44"/>
    <mergeCell ref="A45:B45"/>
    <mergeCell ref="C45:F45"/>
    <mergeCell ref="H45:J45"/>
    <mergeCell ref="C46:F46"/>
    <mergeCell ref="H46:J46"/>
    <mergeCell ref="A38:E38"/>
    <mergeCell ref="F38:J38"/>
    <mergeCell ref="A39:E39"/>
    <mergeCell ref="F39:J39"/>
    <mergeCell ref="A40:E40"/>
    <mergeCell ref="F40:J40"/>
    <mergeCell ref="A41:E41"/>
    <mergeCell ref="F41:J41"/>
    <mergeCell ref="A42:E42"/>
    <mergeCell ref="F42:J42"/>
    <mergeCell ref="C56:F56"/>
    <mergeCell ref="H56:J56"/>
    <mergeCell ref="C57:J57"/>
    <mergeCell ref="A60:J60"/>
    <mergeCell ref="A61:C61"/>
    <mergeCell ref="D61:J61"/>
    <mergeCell ref="A62:C62"/>
    <mergeCell ref="D62:J62"/>
    <mergeCell ref="A56:B57"/>
    <mergeCell ref="A58:B59"/>
    <mergeCell ref="C58:F58"/>
    <mergeCell ref="H58:J58"/>
    <mergeCell ref="C59:J59"/>
    <mergeCell ref="A63:C63"/>
    <mergeCell ref="D63:J63"/>
    <mergeCell ref="A64:C64"/>
    <mergeCell ref="D64:J64"/>
    <mergeCell ref="A65:C65"/>
    <mergeCell ref="D65:J65"/>
    <mergeCell ref="A66:C66"/>
    <mergeCell ref="D66:J66"/>
    <mergeCell ref="A67:C67"/>
    <mergeCell ref="D67:J67"/>
    <mergeCell ref="A68:C68"/>
    <mergeCell ref="D68:J68"/>
    <mergeCell ref="A69:C69"/>
    <mergeCell ref="D69:J69"/>
    <mergeCell ref="A70:C70"/>
    <mergeCell ref="D70:J70"/>
    <mergeCell ref="A71:C71"/>
    <mergeCell ref="D71:J71"/>
    <mergeCell ref="A72:B72"/>
    <mergeCell ref="C72:J72"/>
    <mergeCell ref="D73:E73"/>
    <mergeCell ref="I73:J73"/>
    <mergeCell ref="A74:B74"/>
    <mergeCell ref="C74:J74"/>
    <mergeCell ref="A75:B75"/>
    <mergeCell ref="D75:E75"/>
    <mergeCell ref="F75:G75"/>
    <mergeCell ref="H75:J75"/>
    <mergeCell ref="A76:B76"/>
    <mergeCell ref="D76:E76"/>
    <mergeCell ref="A82:B82"/>
    <mergeCell ref="D82:E82"/>
    <mergeCell ref="A83:B83"/>
    <mergeCell ref="D83:E83"/>
    <mergeCell ref="A84:B84"/>
    <mergeCell ref="D84:E84"/>
    <mergeCell ref="A85:B85"/>
    <mergeCell ref="D85:E85"/>
    <mergeCell ref="A86:B86"/>
    <mergeCell ref="C86:J86"/>
    <mergeCell ref="H76:J85"/>
    <mergeCell ref="A77:B77"/>
    <mergeCell ref="D77:E77"/>
    <mergeCell ref="A78:B78"/>
    <mergeCell ref="D78:E78"/>
    <mergeCell ref="A79:B79"/>
    <mergeCell ref="D79:E79"/>
    <mergeCell ref="A80:B80"/>
    <mergeCell ref="D80:E80"/>
    <mergeCell ref="A81:B81"/>
    <mergeCell ref="D81:E81"/>
    <mergeCell ref="F76:G85"/>
    <mergeCell ref="D87:E87"/>
    <mergeCell ref="I87:J87"/>
    <mergeCell ref="A88:B88"/>
    <mergeCell ref="C88:J88"/>
    <mergeCell ref="A89:B89"/>
    <mergeCell ref="D89:E89"/>
    <mergeCell ref="F89:G89"/>
    <mergeCell ref="H89:J89"/>
    <mergeCell ref="A90:B90"/>
    <mergeCell ref="D90:E90"/>
    <mergeCell ref="A96:B96"/>
    <mergeCell ref="D96:E96"/>
    <mergeCell ref="A97:B97"/>
    <mergeCell ref="D97:E97"/>
    <mergeCell ref="A98:B98"/>
    <mergeCell ref="D98:E98"/>
    <mergeCell ref="A99:B99"/>
    <mergeCell ref="D99:E99"/>
    <mergeCell ref="A100:B100"/>
    <mergeCell ref="C100:J100"/>
    <mergeCell ref="F90:G99"/>
    <mergeCell ref="H90:J99"/>
    <mergeCell ref="A91:B91"/>
    <mergeCell ref="D91:E91"/>
    <mergeCell ref="A92:B92"/>
    <mergeCell ref="D92:E92"/>
    <mergeCell ref="A93:B93"/>
    <mergeCell ref="D93:E93"/>
    <mergeCell ref="A94:B94"/>
    <mergeCell ref="D94:E94"/>
    <mergeCell ref="A95:B95"/>
    <mergeCell ref="D95:E95"/>
    <mergeCell ref="D101:E101"/>
    <mergeCell ref="I101:J101"/>
    <mergeCell ref="A102:B102"/>
    <mergeCell ref="C102:J102"/>
    <mergeCell ref="A103:B103"/>
    <mergeCell ref="D103:E103"/>
    <mergeCell ref="F103:G103"/>
    <mergeCell ref="H103:J103"/>
    <mergeCell ref="A104:B104"/>
    <mergeCell ref="D104:E104"/>
    <mergeCell ref="A110:B110"/>
    <mergeCell ref="D110:E110"/>
    <mergeCell ref="A111:B111"/>
    <mergeCell ref="D111:E111"/>
    <mergeCell ref="A112:B112"/>
    <mergeCell ref="D112:E112"/>
    <mergeCell ref="A113:B113"/>
    <mergeCell ref="D113:E113"/>
    <mergeCell ref="A114:J114"/>
    <mergeCell ref="F104:G113"/>
    <mergeCell ref="H104:J113"/>
    <mergeCell ref="A105:B105"/>
    <mergeCell ref="D105:E105"/>
    <mergeCell ref="A106:B106"/>
    <mergeCell ref="D106:E106"/>
    <mergeCell ref="A107:B107"/>
    <mergeCell ref="D107:E107"/>
    <mergeCell ref="A108:B108"/>
    <mergeCell ref="D108:E108"/>
    <mergeCell ref="A109:B109"/>
    <mergeCell ref="D109:E109"/>
    <mergeCell ref="A115:F115"/>
    <mergeCell ref="G115:J115"/>
    <mergeCell ref="A116:F116"/>
    <mergeCell ref="G116:J116"/>
    <mergeCell ref="A117:F117"/>
    <mergeCell ref="G117:J117"/>
    <mergeCell ref="A118:F118"/>
    <mergeCell ref="G118:J118"/>
    <mergeCell ref="A119:F119"/>
    <mergeCell ref="G119:J119"/>
    <mergeCell ref="A120:F120"/>
    <mergeCell ref="G120:J120"/>
    <mergeCell ref="A121:F121"/>
    <mergeCell ref="G121:J121"/>
    <mergeCell ref="A122:F122"/>
    <mergeCell ref="G122:J122"/>
    <mergeCell ref="A123:F123"/>
    <mergeCell ref="G123:J123"/>
    <mergeCell ref="A124:F124"/>
    <mergeCell ref="G124:J124"/>
    <mergeCell ref="A125:J125"/>
    <mergeCell ref="A126:B126"/>
    <mergeCell ref="D126:F126"/>
    <mergeCell ref="G126:J126"/>
    <mergeCell ref="A127:B127"/>
    <mergeCell ref="D127:F127"/>
    <mergeCell ref="G127:J127"/>
    <mergeCell ref="A128:B128"/>
    <mergeCell ref="D128:F128"/>
    <mergeCell ref="G128:J128"/>
    <mergeCell ref="A129:B129"/>
    <mergeCell ref="D129:F129"/>
    <mergeCell ref="G129:J129"/>
    <mergeCell ref="A130:B130"/>
    <mergeCell ref="D130:F130"/>
    <mergeCell ref="G130:J130"/>
    <mergeCell ref="A131:J131"/>
    <mergeCell ref="A132:J132"/>
    <mergeCell ref="A133:B133"/>
    <mergeCell ref="D133:E133"/>
    <mergeCell ref="I133:J133"/>
    <mergeCell ref="A134:J134"/>
    <mergeCell ref="A135:J135"/>
    <mergeCell ref="A136:J136"/>
    <mergeCell ref="A137:J137"/>
    <mergeCell ref="A138:J138"/>
    <mergeCell ref="A139:J139"/>
    <mergeCell ref="A140:J140"/>
    <mergeCell ref="A141:B141"/>
    <mergeCell ref="C141:H141"/>
    <mergeCell ref="A142:B142"/>
    <mergeCell ref="D142:E142"/>
    <mergeCell ref="A143:B143"/>
    <mergeCell ref="D143:E143"/>
    <mergeCell ref="A144:B144"/>
    <mergeCell ref="D144:E144"/>
    <mergeCell ref="A145:J145"/>
    <mergeCell ref="A146:B146"/>
    <mergeCell ref="C146:H146"/>
    <mergeCell ref="I141:J144"/>
    <mergeCell ref="A147:B147"/>
    <mergeCell ref="D147:E147"/>
    <mergeCell ref="A148:B148"/>
    <mergeCell ref="D148:E148"/>
    <mergeCell ref="A149:B149"/>
    <mergeCell ref="D149:E149"/>
    <mergeCell ref="A150:J150"/>
    <mergeCell ref="A151:B151"/>
    <mergeCell ref="D151:E151"/>
    <mergeCell ref="I146:J149"/>
    <mergeCell ref="A152:B152"/>
    <mergeCell ref="D152:E152"/>
    <mergeCell ref="A153:B153"/>
    <mergeCell ref="D153:E153"/>
    <mergeCell ref="A154:B154"/>
    <mergeCell ref="D154:E154"/>
    <mergeCell ref="A155:J155"/>
    <mergeCell ref="A156:B156"/>
    <mergeCell ref="D156:E156"/>
    <mergeCell ref="I151:J154"/>
    <mergeCell ref="A157:B157"/>
    <mergeCell ref="D157:E157"/>
    <mergeCell ref="A158:B158"/>
    <mergeCell ref="D158:E158"/>
    <mergeCell ref="A159:B159"/>
    <mergeCell ref="D159:E159"/>
    <mergeCell ref="A160:J160"/>
    <mergeCell ref="A161:J161"/>
    <mergeCell ref="A162:B162"/>
    <mergeCell ref="C162:H162"/>
    <mergeCell ref="I156:J159"/>
    <mergeCell ref="A163:B163"/>
    <mergeCell ref="D163:E163"/>
    <mergeCell ref="A164:B164"/>
    <mergeCell ref="D164:E164"/>
    <mergeCell ref="A165:B165"/>
    <mergeCell ref="D165:E165"/>
    <mergeCell ref="A166:J166"/>
    <mergeCell ref="A167:B167"/>
    <mergeCell ref="C167:H167"/>
    <mergeCell ref="I162:J165"/>
    <mergeCell ref="A168:B168"/>
    <mergeCell ref="D168:E168"/>
    <mergeCell ref="A169:B169"/>
    <mergeCell ref="D169:E169"/>
    <mergeCell ref="A170:B170"/>
    <mergeCell ref="D170:E170"/>
    <mergeCell ref="A171:J171"/>
    <mergeCell ref="A172:B172"/>
    <mergeCell ref="D172:E172"/>
    <mergeCell ref="I167:J170"/>
    <mergeCell ref="A173:B173"/>
    <mergeCell ref="D173:E173"/>
    <mergeCell ref="A174:B174"/>
    <mergeCell ref="D174:E174"/>
    <mergeCell ref="A175:B175"/>
    <mergeCell ref="D175:E175"/>
    <mergeCell ref="A176:J176"/>
    <mergeCell ref="A177:B177"/>
    <mergeCell ref="C177:H177"/>
    <mergeCell ref="I172:J175"/>
    <mergeCell ref="A178:B178"/>
    <mergeCell ref="D178:E178"/>
    <mergeCell ref="A179:B179"/>
    <mergeCell ref="D179:E179"/>
    <mergeCell ref="A180:B180"/>
    <mergeCell ref="D180:E180"/>
    <mergeCell ref="A181:J181"/>
    <mergeCell ref="A182:B182"/>
    <mergeCell ref="C182:H182"/>
    <mergeCell ref="I177:J180"/>
    <mergeCell ref="A183:B183"/>
    <mergeCell ref="D183:E183"/>
    <mergeCell ref="A184:B184"/>
    <mergeCell ref="D184:E184"/>
    <mergeCell ref="A185:B185"/>
    <mergeCell ref="D185:E185"/>
    <mergeCell ref="A186:J186"/>
    <mergeCell ref="A187:B187"/>
    <mergeCell ref="D187:E187"/>
    <mergeCell ref="I182:J185"/>
    <mergeCell ref="A188:B188"/>
    <mergeCell ref="D188:E188"/>
    <mergeCell ref="A189:B189"/>
    <mergeCell ref="D189:E189"/>
    <mergeCell ref="A190:B190"/>
    <mergeCell ref="D190:E190"/>
    <mergeCell ref="A191:J191"/>
    <mergeCell ref="A192:J192"/>
    <mergeCell ref="A193:B193"/>
    <mergeCell ref="C193:H193"/>
    <mergeCell ref="I187:J190"/>
    <mergeCell ref="A194:B194"/>
    <mergeCell ref="D194:E194"/>
    <mergeCell ref="A195:B195"/>
    <mergeCell ref="D195:E195"/>
    <mergeCell ref="A196:B196"/>
    <mergeCell ref="D196:E196"/>
    <mergeCell ref="A197:J197"/>
    <mergeCell ref="A198:B198"/>
    <mergeCell ref="C198:H198"/>
    <mergeCell ref="I193:J196"/>
    <mergeCell ref="A199:B199"/>
    <mergeCell ref="D199:E199"/>
    <mergeCell ref="A200:B200"/>
    <mergeCell ref="D200:E200"/>
    <mergeCell ref="A201:B201"/>
    <mergeCell ref="D201:E201"/>
    <mergeCell ref="A202:J202"/>
    <mergeCell ref="A203:B203"/>
    <mergeCell ref="C203:H203"/>
    <mergeCell ref="I198:J201"/>
    <mergeCell ref="A204:B204"/>
    <mergeCell ref="D204:E204"/>
    <mergeCell ref="A205:B205"/>
    <mergeCell ref="D205:E205"/>
    <mergeCell ref="A206:B206"/>
    <mergeCell ref="D206:E206"/>
    <mergeCell ref="A207:J207"/>
    <mergeCell ref="A208:B208"/>
    <mergeCell ref="D208:E208"/>
    <mergeCell ref="I203:J206"/>
    <mergeCell ref="A209:B209"/>
    <mergeCell ref="D209:E209"/>
    <mergeCell ref="A210:B210"/>
    <mergeCell ref="D210:E210"/>
    <mergeCell ref="A211:B211"/>
    <mergeCell ref="D211:E211"/>
    <mergeCell ref="A212:J212"/>
    <mergeCell ref="A213:J213"/>
    <mergeCell ref="A214:B214"/>
    <mergeCell ref="C214:H214"/>
    <mergeCell ref="I208:J211"/>
    <mergeCell ref="A215:B215"/>
    <mergeCell ref="D215:E215"/>
    <mergeCell ref="A216:B216"/>
    <mergeCell ref="D216:E216"/>
    <mergeCell ref="A217:B217"/>
    <mergeCell ref="D217:E217"/>
    <mergeCell ref="A218:J218"/>
    <mergeCell ref="A219:B219"/>
    <mergeCell ref="C219:H219"/>
    <mergeCell ref="I214:J217"/>
    <mergeCell ref="A220:B220"/>
    <mergeCell ref="D220:E220"/>
    <mergeCell ref="A221:B221"/>
    <mergeCell ref="D221:E221"/>
    <mergeCell ref="A222:B222"/>
    <mergeCell ref="D222:E222"/>
    <mergeCell ref="A223:J223"/>
    <mergeCell ref="A224:B224"/>
    <mergeCell ref="D224:E224"/>
    <mergeCell ref="I219:J222"/>
    <mergeCell ref="A225:B225"/>
    <mergeCell ref="D225:E225"/>
    <mergeCell ref="A226:B226"/>
    <mergeCell ref="D226:E226"/>
    <mergeCell ref="A227:B227"/>
    <mergeCell ref="D227:E227"/>
    <mergeCell ref="A228:J228"/>
    <mergeCell ref="A229:B229"/>
    <mergeCell ref="D229:E229"/>
    <mergeCell ref="I224:J227"/>
    <mergeCell ref="A230:B230"/>
    <mergeCell ref="D230:E230"/>
    <mergeCell ref="A231:B231"/>
    <mergeCell ref="D231:E231"/>
    <mergeCell ref="A232:B232"/>
    <mergeCell ref="D232:E232"/>
    <mergeCell ref="A233:J233"/>
    <mergeCell ref="A234:B234"/>
    <mergeCell ref="D234:E234"/>
    <mergeCell ref="I229:J232"/>
    <mergeCell ref="A235:B235"/>
    <mergeCell ref="C235:H235"/>
    <mergeCell ref="A236:B236"/>
    <mergeCell ref="D236:E236"/>
    <mergeCell ref="A237:B237"/>
    <mergeCell ref="D237:E237"/>
    <mergeCell ref="A238:J238"/>
    <mergeCell ref="A239:J239"/>
    <mergeCell ref="A240:J240"/>
    <mergeCell ref="A241:J241"/>
    <mergeCell ref="A242:J242"/>
    <mergeCell ref="A243:J243"/>
    <mergeCell ref="A244:J244"/>
    <mergeCell ref="A245:J245"/>
    <mergeCell ref="A246:B246"/>
    <mergeCell ref="D246:E246"/>
    <mergeCell ref="A247:B247"/>
    <mergeCell ref="D247:E247"/>
    <mergeCell ref="A248:B248"/>
    <mergeCell ref="C248:H248"/>
    <mergeCell ref="A249:B249"/>
    <mergeCell ref="D249:E249"/>
    <mergeCell ref="A250:J250"/>
    <mergeCell ref="A251:B251"/>
    <mergeCell ref="D251:E251"/>
    <mergeCell ref="A252:B252"/>
    <mergeCell ref="D252:E252"/>
    <mergeCell ref="A253:B253"/>
    <mergeCell ref="C253:H253"/>
    <mergeCell ref="A254:B254"/>
    <mergeCell ref="D254:E254"/>
    <mergeCell ref="A255:J255"/>
    <mergeCell ref="A256:B256"/>
    <mergeCell ref="D256:E256"/>
    <mergeCell ref="A257:B257"/>
    <mergeCell ref="D257:E257"/>
    <mergeCell ref="A258:B258"/>
    <mergeCell ref="D258:E258"/>
    <mergeCell ref="A259:B259"/>
    <mergeCell ref="D259:E259"/>
    <mergeCell ref="A260:J260"/>
    <mergeCell ref="A261:B261"/>
    <mergeCell ref="D261:E261"/>
    <mergeCell ref="A262:B262"/>
    <mergeCell ref="D262:E262"/>
    <mergeCell ref="A263:B263"/>
    <mergeCell ref="D263:E263"/>
    <mergeCell ref="A264:B264"/>
    <mergeCell ref="D264:E264"/>
    <mergeCell ref="A265:J265"/>
    <mergeCell ref="A266:J266"/>
    <mergeCell ref="A267:B267"/>
    <mergeCell ref="D267:E267"/>
    <mergeCell ref="A268:B268"/>
    <mergeCell ref="D268:E268"/>
    <mergeCell ref="A269:B269"/>
    <mergeCell ref="C269:H269"/>
    <mergeCell ref="A270:B270"/>
    <mergeCell ref="D270:E270"/>
    <mergeCell ref="A271:J271"/>
    <mergeCell ref="A272:B272"/>
    <mergeCell ref="D272:E272"/>
    <mergeCell ref="A273:B273"/>
    <mergeCell ref="D273:E273"/>
    <mergeCell ref="A274:B274"/>
    <mergeCell ref="C274:H274"/>
    <mergeCell ref="A275:B275"/>
    <mergeCell ref="D275:E275"/>
    <mergeCell ref="A276:J276"/>
    <mergeCell ref="A277:B277"/>
    <mergeCell ref="D277:E277"/>
    <mergeCell ref="A278:B278"/>
    <mergeCell ref="D278:E278"/>
    <mergeCell ref="A279:B279"/>
    <mergeCell ref="D279:E279"/>
    <mergeCell ref="A280:B280"/>
    <mergeCell ref="D280:E280"/>
    <mergeCell ref="A281:J281"/>
    <mergeCell ref="A282:B282"/>
    <mergeCell ref="D282:E282"/>
    <mergeCell ref="A283:B283"/>
    <mergeCell ref="D283:E283"/>
    <mergeCell ref="A284:B284"/>
    <mergeCell ref="C284:H284"/>
    <mergeCell ref="A285:B285"/>
    <mergeCell ref="D285:E285"/>
    <mergeCell ref="A286:J286"/>
    <mergeCell ref="A287:B287"/>
    <mergeCell ref="D287:E287"/>
    <mergeCell ref="A288:B288"/>
    <mergeCell ref="D288:E288"/>
    <mergeCell ref="I282:J285"/>
    <mergeCell ref="A289:B289"/>
    <mergeCell ref="C289:H289"/>
    <mergeCell ref="A290:B290"/>
    <mergeCell ref="D290:E290"/>
    <mergeCell ref="A291:J291"/>
    <mergeCell ref="A292:B292"/>
    <mergeCell ref="D292:E292"/>
    <mergeCell ref="A293:B293"/>
    <mergeCell ref="D293:E293"/>
    <mergeCell ref="I287:J290"/>
    <mergeCell ref="A294:B294"/>
    <mergeCell ref="D294:E294"/>
    <mergeCell ref="A295:B295"/>
    <mergeCell ref="D295:E295"/>
    <mergeCell ref="A296:J296"/>
    <mergeCell ref="A297:J297"/>
    <mergeCell ref="A298:B298"/>
    <mergeCell ref="D298:E298"/>
    <mergeCell ref="A299:B299"/>
    <mergeCell ref="D299:E299"/>
    <mergeCell ref="I292:J295"/>
    <mergeCell ref="A300:B300"/>
    <mergeCell ref="C300:H300"/>
    <mergeCell ref="A301:B301"/>
    <mergeCell ref="D301:E301"/>
    <mergeCell ref="A302:J302"/>
    <mergeCell ref="A303:B303"/>
    <mergeCell ref="D303:E303"/>
    <mergeCell ref="A304:B304"/>
    <mergeCell ref="D304:E304"/>
    <mergeCell ref="A305:B305"/>
    <mergeCell ref="C305:H305"/>
    <mergeCell ref="A306:B306"/>
    <mergeCell ref="D306:E306"/>
    <mergeCell ref="A307:J307"/>
    <mergeCell ref="A308:B308"/>
    <mergeCell ref="D308:E308"/>
    <mergeCell ref="A309:B309"/>
    <mergeCell ref="D309:E309"/>
    <mergeCell ref="A310:B310"/>
    <mergeCell ref="D310:E310"/>
    <mergeCell ref="A311:B311"/>
    <mergeCell ref="D311:E311"/>
    <mergeCell ref="A312:J312"/>
    <mergeCell ref="A313:J313"/>
    <mergeCell ref="A314:B314"/>
    <mergeCell ref="D314:E314"/>
    <mergeCell ref="A315:B315"/>
    <mergeCell ref="D315:E315"/>
    <mergeCell ref="A316:B316"/>
    <mergeCell ref="C316:H316"/>
    <mergeCell ref="A317:B317"/>
    <mergeCell ref="D317:E317"/>
    <mergeCell ref="A318:J318"/>
    <mergeCell ref="A319:B319"/>
    <mergeCell ref="D319:E319"/>
    <mergeCell ref="A320:B320"/>
    <mergeCell ref="D320:E320"/>
    <mergeCell ref="I314:J317"/>
    <mergeCell ref="A321:B321"/>
    <mergeCell ref="C321:H321"/>
    <mergeCell ref="A322:B322"/>
    <mergeCell ref="D322:E322"/>
    <mergeCell ref="A323:J323"/>
    <mergeCell ref="A324:B324"/>
    <mergeCell ref="D324:E324"/>
    <mergeCell ref="A325:B325"/>
    <mergeCell ref="D325:E325"/>
    <mergeCell ref="I319:J322"/>
    <mergeCell ref="A326:B326"/>
    <mergeCell ref="C326:H326"/>
    <mergeCell ref="A327:B327"/>
    <mergeCell ref="D327:E327"/>
    <mergeCell ref="A328:J328"/>
    <mergeCell ref="A329:B329"/>
    <mergeCell ref="D329:E329"/>
    <mergeCell ref="A330:B330"/>
    <mergeCell ref="D330:E330"/>
    <mergeCell ref="I324:J327"/>
    <mergeCell ref="A331:B331"/>
    <mergeCell ref="D331:E331"/>
    <mergeCell ref="A332:B332"/>
    <mergeCell ref="D332:E332"/>
    <mergeCell ref="A333:J333"/>
    <mergeCell ref="A334:J334"/>
    <mergeCell ref="A335:J335"/>
    <mergeCell ref="A336:J336"/>
    <mergeCell ref="A337:J337"/>
    <mergeCell ref="I329:J332"/>
    <mergeCell ref="A338:J338"/>
    <mergeCell ref="A339:J339"/>
    <mergeCell ref="A340:B340"/>
    <mergeCell ref="D340:E340"/>
    <mergeCell ref="A341:B341"/>
    <mergeCell ref="D341:E341"/>
    <mergeCell ref="A342:B342"/>
    <mergeCell ref="D342:E342"/>
    <mergeCell ref="A343:B343"/>
    <mergeCell ref="D343:E343"/>
    <mergeCell ref="A344:B344"/>
    <mergeCell ref="D344:E344"/>
    <mergeCell ref="A345:B345"/>
    <mergeCell ref="D345:E345"/>
    <mergeCell ref="A346:B346"/>
    <mergeCell ref="D346:E346"/>
    <mergeCell ref="A347:J347"/>
    <mergeCell ref="A348:B348"/>
    <mergeCell ref="C348:H348"/>
    <mergeCell ref="A349:B349"/>
    <mergeCell ref="C349:H349"/>
    <mergeCell ref="A350:B350"/>
    <mergeCell ref="D350:E350"/>
    <mergeCell ref="A351:B351"/>
    <mergeCell ref="D351:E351"/>
    <mergeCell ref="A352:B352"/>
    <mergeCell ref="D352:E352"/>
    <mergeCell ref="A353:B353"/>
    <mergeCell ref="D353:E353"/>
    <mergeCell ref="A354:B354"/>
    <mergeCell ref="D354:E354"/>
    <mergeCell ref="A355:J355"/>
    <mergeCell ref="A356:B356"/>
    <mergeCell ref="D356:E356"/>
    <mergeCell ref="A357:B357"/>
    <mergeCell ref="D357:E357"/>
    <mergeCell ref="A358:B358"/>
    <mergeCell ref="D358:E358"/>
    <mergeCell ref="A359:B359"/>
    <mergeCell ref="D359:E359"/>
    <mergeCell ref="A360:B360"/>
    <mergeCell ref="D360:E360"/>
    <mergeCell ref="A361:B361"/>
    <mergeCell ref="D361:E361"/>
    <mergeCell ref="A362:B362"/>
    <mergeCell ref="D362:E362"/>
    <mergeCell ref="A363:J363"/>
    <mergeCell ref="I356:J362"/>
    <mergeCell ref="A369:B369"/>
    <mergeCell ref="D369:E369"/>
    <mergeCell ref="A370:B370"/>
    <mergeCell ref="D370:E370"/>
    <mergeCell ref="A371:J371"/>
    <mergeCell ref="A372:B372"/>
    <mergeCell ref="D372:E372"/>
    <mergeCell ref="A373:B373"/>
    <mergeCell ref="D373:E373"/>
    <mergeCell ref="I364:J370"/>
    <mergeCell ref="A364:B364"/>
    <mergeCell ref="C364:H364"/>
    <mergeCell ref="A365:B365"/>
    <mergeCell ref="C365:H365"/>
    <mergeCell ref="A366:B366"/>
    <mergeCell ref="D366:E366"/>
    <mergeCell ref="A367:B367"/>
    <mergeCell ref="D367:E367"/>
    <mergeCell ref="A368:B368"/>
    <mergeCell ref="D368:E368"/>
    <mergeCell ref="A374:B374"/>
    <mergeCell ref="D374:E374"/>
    <mergeCell ref="A375:B375"/>
    <mergeCell ref="D375:E375"/>
    <mergeCell ref="A376:B376"/>
    <mergeCell ref="D376:E376"/>
    <mergeCell ref="A377:B377"/>
    <mergeCell ref="D377:E377"/>
    <mergeCell ref="A378:B378"/>
    <mergeCell ref="D378:E378"/>
    <mergeCell ref="A379:J379"/>
    <mergeCell ref="A380:B380"/>
    <mergeCell ref="C380:H380"/>
    <mergeCell ref="A381:B381"/>
    <mergeCell ref="C381:H381"/>
    <mergeCell ref="A382:B382"/>
    <mergeCell ref="D382:E382"/>
    <mergeCell ref="A383:B383"/>
    <mergeCell ref="D383:E383"/>
    <mergeCell ref="A384:B384"/>
    <mergeCell ref="D384:E384"/>
    <mergeCell ref="A385:B385"/>
    <mergeCell ref="D385:E385"/>
    <mergeCell ref="A386:B386"/>
    <mergeCell ref="D386:E386"/>
    <mergeCell ref="A387:J387"/>
    <mergeCell ref="A388:B388"/>
    <mergeCell ref="D388:E388"/>
    <mergeCell ref="A394:B394"/>
    <mergeCell ref="D394:E394"/>
    <mergeCell ref="A395:J395"/>
    <mergeCell ref="A396:B396"/>
    <mergeCell ref="C396:H396"/>
    <mergeCell ref="A397:B397"/>
    <mergeCell ref="C397:H397"/>
    <mergeCell ref="A398:B398"/>
    <mergeCell ref="D398:E398"/>
    <mergeCell ref="I388:J394"/>
    <mergeCell ref="A389:B389"/>
    <mergeCell ref="D389:E389"/>
    <mergeCell ref="A390:B390"/>
    <mergeCell ref="D390:E390"/>
    <mergeCell ref="A391:B391"/>
    <mergeCell ref="D391:E391"/>
    <mergeCell ref="A392:B392"/>
    <mergeCell ref="D392:E392"/>
    <mergeCell ref="A393:B393"/>
    <mergeCell ref="D393:E393"/>
    <mergeCell ref="A399:B399"/>
    <mergeCell ref="D399:E399"/>
    <mergeCell ref="A400:B400"/>
    <mergeCell ref="D400:E400"/>
    <mergeCell ref="A401:B401"/>
    <mergeCell ref="D401:E401"/>
    <mergeCell ref="A402:B402"/>
    <mergeCell ref="D402:E402"/>
    <mergeCell ref="A403:J403"/>
    <mergeCell ref="I396:J402"/>
    <mergeCell ref="A409:B409"/>
    <mergeCell ref="D409:E409"/>
    <mergeCell ref="A410:B410"/>
    <mergeCell ref="D410:E410"/>
    <mergeCell ref="A411:J411"/>
    <mergeCell ref="A412:B412"/>
    <mergeCell ref="D412:E412"/>
    <mergeCell ref="A413:B413"/>
    <mergeCell ref="C413:H413"/>
    <mergeCell ref="I412:J418"/>
    <mergeCell ref="I404:J410"/>
    <mergeCell ref="A404:B404"/>
    <mergeCell ref="D404:E404"/>
    <mergeCell ref="A405:B405"/>
    <mergeCell ref="C405:H405"/>
    <mergeCell ref="A406:B406"/>
    <mergeCell ref="D406:E406"/>
    <mergeCell ref="A407:B407"/>
    <mergeCell ref="D407:E407"/>
    <mergeCell ref="A408:B408"/>
    <mergeCell ref="D408:E408"/>
    <mergeCell ref="A414:B414"/>
    <mergeCell ref="D414:E414"/>
    <mergeCell ref="A415:B415"/>
    <mergeCell ref="D415:E415"/>
    <mergeCell ref="A416:B416"/>
    <mergeCell ref="D416:E416"/>
    <mergeCell ref="A417:B417"/>
    <mergeCell ref="D417:E417"/>
    <mergeCell ref="A418:B418"/>
    <mergeCell ref="D418:E418"/>
    <mergeCell ref="A419:J419"/>
    <mergeCell ref="A420:J420"/>
    <mergeCell ref="A421:J421"/>
    <mergeCell ref="A422:J422"/>
    <mergeCell ref="A423:J423"/>
    <mergeCell ref="A424:J424"/>
    <mergeCell ref="A425:J425"/>
    <mergeCell ref="A426:J426"/>
    <mergeCell ref="A427:J427"/>
    <mergeCell ref="B454:H454"/>
    <mergeCell ref="I234:J237"/>
    <mergeCell ref="I372:J378"/>
    <mergeCell ref="I380:J386"/>
    <mergeCell ref="I298:J301"/>
    <mergeCell ref="I340:J346"/>
    <mergeCell ref="I303:J306"/>
    <mergeCell ref="I308:J311"/>
    <mergeCell ref="I348:J354"/>
    <mergeCell ref="A428:J430"/>
    <mergeCell ref="I246:J249"/>
    <mergeCell ref="I251:J254"/>
    <mergeCell ref="I256:J259"/>
    <mergeCell ref="I261:J264"/>
    <mergeCell ref="I267:J270"/>
    <mergeCell ref="I272:J275"/>
    <mergeCell ref="I277:J280"/>
    <mergeCell ref="A19:E20"/>
    <mergeCell ref="F19:J20"/>
    <mergeCell ref="A21:E22"/>
    <mergeCell ref="F21:J22"/>
    <mergeCell ref="A35:J36"/>
    <mergeCell ref="A52:B53"/>
    <mergeCell ref="A50:B51"/>
    <mergeCell ref="A54:B55"/>
    <mergeCell ref="A46:B47"/>
    <mergeCell ref="A48:B49"/>
    <mergeCell ref="C48:F48"/>
    <mergeCell ref="H48:J48"/>
    <mergeCell ref="C49:J49"/>
    <mergeCell ref="C55:J55"/>
    <mergeCell ref="C47:J47"/>
    <mergeCell ref="C50:F50"/>
    <mergeCell ref="H50:J50"/>
    <mergeCell ref="C51:J51"/>
    <mergeCell ref="C52:F52"/>
    <mergeCell ref="H52:J52"/>
    <mergeCell ref="C53:J53"/>
    <mergeCell ref="C54:F54"/>
    <mergeCell ref="H54:J54"/>
    <mergeCell ref="A43:J43"/>
  </mergeCells>
  <hyperlinks>
    <hyperlink ref="C33" r:id="rId1"/>
  </hyperlinks>
  <printOptions horizontalCentered="1"/>
  <pageMargins left="0.39370078740157499" right="0.39370078740157499" top="0.78740157480314998" bottom="0.78740157480314998" header="0.31496062992126" footer="0.31496062992126"/>
  <pageSetup paperSize="9" scale="97" fitToHeight="0" orientation="portrait" r:id="rId2"/>
  <headerFooter>
    <oddHeader>&amp;C&amp;"Times New Roman,Bold"&amp;20&amp;G</oddHeader>
    <oddFooter>&amp;L&amp;"Times New Roman,Bold"Ref No: &amp;F&amp;C&amp;G&amp;R&amp;P</oddFooter>
  </headerFooter>
  <rowBreaks count="2" manualBreakCount="2">
    <brk id="430" max="16383" man="1"/>
    <brk id="481" max="9" man="1"/>
  </rowBreaks>
  <colBreaks count="1" manualBreakCount="1">
    <brk id="10" max="1048575" man="1"/>
  </col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2"/>
  <sheetViews>
    <sheetView showWhiteSpace="0" view="pageLayout" topLeftCell="A47" zoomScale="85" zoomScaleNormal="100" zoomScaleSheetLayoutView="110" zoomScalePageLayoutView="85" workbookViewId="0">
      <selection activeCell="D98" sqref="D98:E98"/>
    </sheetView>
  </sheetViews>
  <sheetFormatPr defaultColWidth="9" defaultRowHeight="15"/>
  <cols>
    <col min="1" max="1" width="8.7109375" customWidth="1"/>
    <col min="2" max="2" width="9.85546875" customWidth="1"/>
    <col min="3" max="3" width="14.42578125" customWidth="1"/>
    <col min="4" max="4" width="7.28515625" customWidth="1"/>
    <col min="5" max="5" width="5.5703125" customWidth="1"/>
    <col min="6" max="6" width="9" customWidth="1"/>
    <col min="7" max="8" width="9.85546875" customWidth="1"/>
    <col min="9" max="9" width="11.140625" customWidth="1"/>
    <col min="10" max="10" width="2.85546875" customWidth="1"/>
    <col min="11" max="11" width="3.5703125" customWidth="1"/>
  </cols>
  <sheetData>
    <row r="1" spans="1:10" ht="43.9" customHeight="1">
      <c r="A1" s="226" t="s">
        <v>264</v>
      </c>
      <c r="B1" s="227"/>
      <c r="C1" s="227"/>
      <c r="D1" s="227"/>
      <c r="E1" s="227"/>
      <c r="F1" s="227"/>
      <c r="G1" s="227"/>
      <c r="H1" s="227"/>
      <c r="I1" s="227"/>
      <c r="J1" s="228"/>
    </row>
    <row r="2" spans="1:10">
      <c r="A2" s="154" t="s">
        <v>1</v>
      </c>
      <c r="B2" s="155"/>
      <c r="C2" s="155"/>
      <c r="D2" s="155"/>
      <c r="E2" s="155"/>
      <c r="F2" s="155"/>
      <c r="G2" s="155"/>
      <c r="H2" s="155"/>
      <c r="I2" s="155"/>
      <c r="J2" s="156"/>
    </row>
    <row r="3" spans="1:10">
      <c r="A3" s="88" t="s">
        <v>2</v>
      </c>
      <c r="B3" s="89"/>
      <c r="C3" s="89"/>
      <c r="D3" s="89"/>
      <c r="E3" s="90"/>
      <c r="F3" s="229" t="s">
        <v>265</v>
      </c>
      <c r="G3" s="230"/>
      <c r="H3" s="230"/>
      <c r="I3" s="230"/>
      <c r="J3" s="231"/>
    </row>
    <row r="4" spans="1:10">
      <c r="A4" s="88" t="s">
        <v>3</v>
      </c>
      <c r="B4" s="89"/>
      <c r="C4" s="89"/>
      <c r="D4" s="89"/>
      <c r="E4" s="90"/>
      <c r="F4" s="88" t="s">
        <v>4</v>
      </c>
      <c r="G4" s="89"/>
      <c r="H4" s="89"/>
      <c r="I4" s="89"/>
      <c r="J4" s="90"/>
    </row>
    <row r="5" spans="1:10">
      <c r="A5" s="88" t="s">
        <v>5</v>
      </c>
      <c r="B5" s="89"/>
      <c r="C5" s="89"/>
      <c r="D5" s="89"/>
      <c r="E5" s="90"/>
      <c r="F5" s="229" t="s">
        <v>265</v>
      </c>
      <c r="G5" s="230"/>
      <c r="H5" s="230"/>
      <c r="I5" s="230"/>
      <c r="J5" s="231"/>
    </row>
    <row r="6" spans="1:10" ht="16.5" customHeight="1">
      <c r="A6" s="88" t="s">
        <v>6</v>
      </c>
      <c r="B6" s="89"/>
      <c r="C6" s="89"/>
      <c r="D6" s="89"/>
      <c r="E6" s="90"/>
      <c r="F6" s="97" t="s">
        <v>266</v>
      </c>
      <c r="G6" s="98"/>
      <c r="H6" s="98"/>
      <c r="I6" s="98"/>
      <c r="J6" s="99"/>
    </row>
    <row r="7" spans="1:10" ht="15" customHeight="1">
      <c r="A7" s="88" t="s">
        <v>8</v>
      </c>
      <c r="B7" s="89"/>
      <c r="C7" s="89"/>
      <c r="D7" s="89"/>
      <c r="E7" s="90"/>
      <c r="F7" s="97" t="str">
        <f>F6</f>
        <v>M/s.Realgem Buildtech Private Limited</v>
      </c>
      <c r="G7" s="98"/>
      <c r="H7" s="98"/>
      <c r="I7" s="98"/>
      <c r="J7" s="99"/>
    </row>
    <row r="8" spans="1:10">
      <c r="A8" s="88" t="s">
        <v>9</v>
      </c>
      <c r="B8" s="89"/>
      <c r="C8" s="89"/>
      <c r="D8" s="89"/>
      <c r="E8" s="90"/>
      <c r="F8" s="88" t="s">
        <v>10</v>
      </c>
      <c r="G8" s="89"/>
      <c r="H8" s="89"/>
      <c r="I8" s="89"/>
      <c r="J8" s="90"/>
    </row>
    <row r="9" spans="1:10" ht="30" customHeight="1">
      <c r="A9" s="88" t="s">
        <v>11</v>
      </c>
      <c r="B9" s="89"/>
      <c r="C9" s="89"/>
      <c r="D9" s="89"/>
      <c r="E9" s="90"/>
      <c r="F9" s="97" t="s">
        <v>12</v>
      </c>
      <c r="G9" s="89"/>
      <c r="H9" s="89"/>
      <c r="I9" s="89"/>
      <c r="J9" s="90"/>
    </row>
    <row r="10" spans="1:10">
      <c r="A10" s="88" t="s">
        <v>13</v>
      </c>
      <c r="B10" s="89"/>
      <c r="C10" s="89"/>
      <c r="D10" s="89"/>
      <c r="E10" s="90"/>
      <c r="F10" s="88">
        <v>9167969617</v>
      </c>
      <c r="G10" s="89"/>
      <c r="H10" s="89"/>
      <c r="I10" s="89"/>
      <c r="J10" s="90"/>
    </row>
    <row r="11" spans="1:10">
      <c r="A11" s="88" t="s">
        <v>14</v>
      </c>
      <c r="B11" s="89"/>
      <c r="C11" s="89"/>
      <c r="D11" s="89"/>
      <c r="E11" s="90"/>
      <c r="F11" s="88" t="s">
        <v>267</v>
      </c>
      <c r="G11" s="89"/>
      <c r="H11" s="89"/>
      <c r="I11" s="89"/>
      <c r="J11" s="90"/>
    </row>
    <row r="12" spans="1:10">
      <c r="A12" s="88" t="s">
        <v>18</v>
      </c>
      <c r="B12" s="89"/>
      <c r="C12" s="89"/>
      <c r="D12" s="89"/>
      <c r="E12" s="90"/>
      <c r="F12" s="94" t="s">
        <v>19</v>
      </c>
      <c r="G12" s="224"/>
      <c r="H12" s="224"/>
      <c r="I12" s="224"/>
      <c r="J12" s="225"/>
    </row>
    <row r="13" spans="1:10" ht="30" customHeight="1">
      <c r="A13" s="200" t="s">
        <v>20</v>
      </c>
      <c r="B13" s="200"/>
      <c r="C13" s="97" t="s">
        <v>268</v>
      </c>
      <c r="D13" s="98"/>
      <c r="E13" s="98"/>
      <c r="F13" s="98"/>
      <c r="G13" s="98"/>
      <c r="H13" s="98"/>
      <c r="I13" s="98"/>
      <c r="J13" s="99"/>
    </row>
    <row r="14" spans="1:10" ht="36.75" customHeight="1">
      <c r="A14" s="27" t="s">
        <v>269</v>
      </c>
      <c r="B14" s="97" t="s">
        <v>270</v>
      </c>
      <c r="C14" s="98"/>
      <c r="D14" s="99"/>
      <c r="E14" s="275" t="s">
        <v>271</v>
      </c>
      <c r="F14" s="276"/>
      <c r="G14" s="28" t="s">
        <v>54</v>
      </c>
      <c r="H14" s="29" t="s">
        <v>24</v>
      </c>
      <c r="I14" s="97" t="s">
        <v>25</v>
      </c>
      <c r="J14" s="99"/>
    </row>
    <row r="15" spans="1:10">
      <c r="A15" s="27" t="s">
        <v>26</v>
      </c>
      <c r="B15" s="88" t="s">
        <v>27</v>
      </c>
      <c r="C15" s="89"/>
      <c r="D15" s="89"/>
      <c r="E15" s="90"/>
      <c r="F15" s="30" t="s">
        <v>28</v>
      </c>
      <c r="G15" s="88" t="s">
        <v>29</v>
      </c>
      <c r="H15" s="89"/>
      <c r="I15" s="89"/>
      <c r="J15" s="90"/>
    </row>
    <row r="16" spans="1:10">
      <c r="A16" s="27" t="s">
        <v>30</v>
      </c>
      <c r="B16" s="88" t="s">
        <v>29</v>
      </c>
      <c r="C16" s="89"/>
      <c r="D16" s="89"/>
      <c r="E16" s="90"/>
      <c r="F16" s="30" t="s">
        <v>31</v>
      </c>
      <c r="G16" s="88">
        <v>400025</v>
      </c>
      <c r="H16" s="89"/>
      <c r="I16" s="89"/>
      <c r="J16" s="90"/>
    </row>
    <row r="17" spans="1:10" ht="32.25" customHeight="1">
      <c r="A17" s="200" t="s">
        <v>32</v>
      </c>
      <c r="B17" s="200"/>
      <c r="C17" s="223" t="s">
        <v>33</v>
      </c>
      <c r="D17" s="223"/>
      <c r="E17" s="223"/>
      <c r="F17" s="85" t="s">
        <v>34</v>
      </c>
      <c r="G17" s="85"/>
      <c r="H17" s="98" t="s">
        <v>272</v>
      </c>
      <c r="I17" s="98"/>
      <c r="J17" s="99"/>
    </row>
    <row r="18" spans="1:10" ht="15" customHeight="1">
      <c r="A18" s="69" t="s">
        <v>273</v>
      </c>
      <c r="B18" s="70"/>
      <c r="C18" s="70"/>
      <c r="D18" s="70"/>
      <c r="E18" s="71"/>
      <c r="F18" s="75" t="s">
        <v>37</v>
      </c>
      <c r="G18" s="76"/>
      <c r="H18" s="76"/>
      <c r="I18" s="76"/>
      <c r="J18" s="77"/>
    </row>
    <row r="19" spans="1:10" ht="31.5" customHeight="1">
      <c r="A19" s="72"/>
      <c r="B19" s="73"/>
      <c r="C19" s="73"/>
      <c r="D19" s="73"/>
      <c r="E19" s="74"/>
      <c r="F19" s="78"/>
      <c r="G19" s="79"/>
      <c r="H19" s="79"/>
      <c r="I19" s="79"/>
      <c r="J19" s="80"/>
    </row>
    <row r="20" spans="1:10" ht="15" customHeight="1">
      <c r="A20" s="69" t="s">
        <v>38</v>
      </c>
      <c r="B20" s="70"/>
      <c r="C20" s="70"/>
      <c r="D20" s="70"/>
      <c r="E20" s="71"/>
      <c r="F20" s="69" t="s">
        <v>39</v>
      </c>
      <c r="G20" s="70"/>
      <c r="H20" s="70"/>
      <c r="I20" s="70"/>
      <c r="J20" s="71"/>
    </row>
    <row r="21" spans="1:10">
      <c r="A21" s="72"/>
      <c r="B21" s="73"/>
      <c r="C21" s="73"/>
      <c r="D21" s="73"/>
      <c r="E21" s="74"/>
      <c r="F21" s="72"/>
      <c r="G21" s="73"/>
      <c r="H21" s="73"/>
      <c r="I21" s="73"/>
      <c r="J21" s="74"/>
    </row>
    <row r="22" spans="1:10">
      <c r="A22" s="88" t="s">
        <v>40</v>
      </c>
      <c r="B22" s="89"/>
      <c r="C22" s="89"/>
      <c r="D22" s="89"/>
      <c r="E22" s="90"/>
      <c r="F22" s="220" t="s">
        <v>41</v>
      </c>
      <c r="G22" s="221"/>
      <c r="H22" s="221"/>
      <c r="I22" s="221"/>
      <c r="J22" s="222"/>
    </row>
    <row r="23" spans="1:10">
      <c r="A23" s="88" t="s">
        <v>42</v>
      </c>
      <c r="B23" s="89"/>
      <c r="C23" s="89"/>
      <c r="D23" s="89"/>
      <c r="E23" s="90"/>
      <c r="F23" s="91" t="s">
        <v>43</v>
      </c>
      <c r="G23" s="92"/>
      <c r="H23" s="92"/>
      <c r="I23" s="92"/>
      <c r="J23" s="93"/>
    </row>
    <row r="24" spans="1:10">
      <c r="A24" s="88" t="s">
        <v>44</v>
      </c>
      <c r="B24" s="89"/>
      <c r="C24" s="89"/>
      <c r="D24" s="89"/>
      <c r="E24" s="90"/>
      <c r="F24" s="220" t="s">
        <v>45</v>
      </c>
      <c r="G24" s="221"/>
      <c r="H24" s="221"/>
      <c r="I24" s="221"/>
      <c r="J24" s="222"/>
    </row>
    <row r="25" spans="1:10">
      <c r="A25" s="88" t="s">
        <v>46</v>
      </c>
      <c r="B25" s="89"/>
      <c r="C25" s="89"/>
      <c r="D25" s="89"/>
      <c r="E25" s="90"/>
      <c r="F25" s="91" t="s">
        <v>47</v>
      </c>
      <c r="G25" s="92"/>
      <c r="H25" s="92"/>
      <c r="I25" s="92"/>
      <c r="J25" s="93"/>
    </row>
    <row r="26" spans="1:10">
      <c r="A26" s="218" t="s">
        <v>48</v>
      </c>
      <c r="B26" s="219"/>
      <c r="C26" s="218" t="s">
        <v>49</v>
      </c>
      <c r="D26" s="219"/>
      <c r="E26" s="218" t="s">
        <v>50</v>
      </c>
      <c r="F26" s="219"/>
      <c r="G26" s="218" t="s">
        <v>51</v>
      </c>
      <c r="H26" s="219"/>
      <c r="I26" s="218" t="s">
        <v>52</v>
      </c>
      <c r="J26" s="219"/>
    </row>
    <row r="27" spans="1:10">
      <c r="A27" s="218" t="s">
        <v>53</v>
      </c>
      <c r="B27" s="219"/>
      <c r="C27" s="218" t="s">
        <v>54</v>
      </c>
      <c r="D27" s="219"/>
      <c r="E27" s="218" t="s">
        <v>54</v>
      </c>
      <c r="F27" s="219"/>
      <c r="G27" s="218" t="s">
        <v>54</v>
      </c>
      <c r="H27" s="219"/>
      <c r="I27" s="218" t="s">
        <v>54</v>
      </c>
      <c r="J27" s="219"/>
    </row>
    <row r="28" spans="1:10">
      <c r="A28" s="218" t="s">
        <v>55</v>
      </c>
      <c r="B28" s="219"/>
      <c r="C28" s="218" t="s">
        <v>56</v>
      </c>
      <c r="D28" s="219"/>
      <c r="E28" s="218" t="s">
        <v>57</v>
      </c>
      <c r="F28" s="219"/>
      <c r="G28" s="218" t="s">
        <v>58</v>
      </c>
      <c r="H28" s="219"/>
      <c r="I28" s="218" t="s">
        <v>59</v>
      </c>
      <c r="J28" s="219"/>
    </row>
    <row r="29" spans="1:10">
      <c r="A29" s="88" t="s">
        <v>60</v>
      </c>
      <c r="B29" s="89"/>
      <c r="C29" s="89"/>
      <c r="D29" s="89"/>
      <c r="E29" s="89"/>
      <c r="F29" s="89"/>
      <c r="G29" s="89"/>
      <c r="H29" s="89"/>
      <c r="I29" s="89"/>
      <c r="J29" s="90"/>
    </row>
    <row r="30" spans="1:10">
      <c r="A30" s="88" t="s">
        <v>61</v>
      </c>
      <c r="B30" s="89"/>
      <c r="C30" s="89"/>
      <c r="D30" s="89"/>
      <c r="E30" s="89"/>
      <c r="F30" s="89"/>
      <c r="G30" s="89"/>
      <c r="H30" s="89"/>
      <c r="I30" s="89"/>
      <c r="J30" s="90"/>
    </row>
    <row r="31" spans="1:10">
      <c r="A31" s="88" t="s">
        <v>62</v>
      </c>
      <c r="B31" s="90"/>
      <c r="C31" s="218" t="s">
        <v>274</v>
      </c>
      <c r="D31" s="219"/>
      <c r="E31" s="218">
        <v>19.010485299999999</v>
      </c>
      <c r="F31" s="219"/>
      <c r="G31" s="218" t="s">
        <v>275</v>
      </c>
      <c r="H31" s="219"/>
      <c r="I31" s="218">
        <v>72.830538399999995</v>
      </c>
      <c r="J31" s="219"/>
    </row>
    <row r="32" spans="1:10">
      <c r="A32" s="166" t="s">
        <v>66</v>
      </c>
      <c r="B32" s="167"/>
      <c r="C32" s="167"/>
      <c r="D32" s="167"/>
      <c r="E32" s="167"/>
      <c r="F32" s="167"/>
      <c r="G32" s="167"/>
      <c r="H32" s="167"/>
      <c r="I32" s="167"/>
      <c r="J32" s="168"/>
    </row>
    <row r="33" spans="1:10" ht="15" customHeight="1">
      <c r="A33" s="69" t="s">
        <v>276</v>
      </c>
      <c r="B33" s="70"/>
      <c r="C33" s="70"/>
      <c r="D33" s="70"/>
      <c r="E33" s="70"/>
      <c r="F33" s="70"/>
      <c r="G33" s="70"/>
      <c r="H33" s="70"/>
      <c r="I33" s="70"/>
      <c r="J33" s="71"/>
    </row>
    <row r="34" spans="1:10">
      <c r="A34" s="72"/>
      <c r="B34" s="73"/>
      <c r="C34" s="73"/>
      <c r="D34" s="73"/>
      <c r="E34" s="73"/>
      <c r="F34" s="73"/>
      <c r="G34" s="73"/>
      <c r="H34" s="73"/>
      <c r="I34" s="73"/>
      <c r="J34" s="74"/>
    </row>
    <row r="35" spans="1:10" ht="16.5" customHeight="1">
      <c r="A35" s="88" t="s">
        <v>68</v>
      </c>
      <c r="B35" s="89"/>
      <c r="C35" s="89"/>
      <c r="D35" s="89"/>
      <c r="E35" s="90"/>
      <c r="F35" s="97">
        <v>23291.52</v>
      </c>
      <c r="G35" s="98"/>
      <c r="H35" s="98"/>
      <c r="I35" s="98"/>
      <c r="J35" s="99"/>
    </row>
    <row r="36" spans="1:10">
      <c r="A36" s="88" t="s">
        <v>69</v>
      </c>
      <c r="B36" s="89"/>
      <c r="C36" s="89"/>
      <c r="D36" s="89"/>
      <c r="E36" s="90"/>
      <c r="F36" s="214">
        <v>1.33</v>
      </c>
      <c r="G36" s="215"/>
      <c r="H36" s="215"/>
      <c r="I36" s="215"/>
      <c r="J36" s="216"/>
    </row>
    <row r="37" spans="1:10">
      <c r="A37" s="88" t="s">
        <v>70</v>
      </c>
      <c r="B37" s="89"/>
      <c r="C37" s="89"/>
      <c r="D37" s="89"/>
      <c r="E37" s="90"/>
      <c r="F37" s="214">
        <f>F39/F35-F36</f>
        <v>2.0369610227241499</v>
      </c>
      <c r="G37" s="215"/>
      <c r="H37" s="215"/>
      <c r="I37" s="215"/>
      <c r="J37" s="216"/>
    </row>
    <row r="38" spans="1:10">
      <c r="A38" s="88" t="s">
        <v>71</v>
      </c>
      <c r="B38" s="89"/>
      <c r="C38" s="89"/>
      <c r="D38" s="89"/>
      <c r="E38" s="90"/>
      <c r="F38" s="214">
        <v>4</v>
      </c>
      <c r="G38" s="215"/>
      <c r="H38" s="215"/>
      <c r="I38" s="215"/>
      <c r="J38" s="216"/>
    </row>
    <row r="39" spans="1:10">
      <c r="A39" s="88" t="s">
        <v>72</v>
      </c>
      <c r="B39" s="89"/>
      <c r="C39" s="89"/>
      <c r="D39" s="89"/>
      <c r="E39" s="90"/>
      <c r="F39" s="88">
        <v>78421.64</v>
      </c>
      <c r="G39" s="89"/>
      <c r="H39" s="89"/>
      <c r="I39" s="89"/>
      <c r="J39" s="90"/>
    </row>
    <row r="40" spans="1:10">
      <c r="A40" s="88" t="s">
        <v>73</v>
      </c>
      <c r="B40" s="89"/>
      <c r="C40" s="89"/>
      <c r="D40" s="89"/>
      <c r="E40" s="90"/>
      <c r="F40" s="88" t="str">
        <f>F11</f>
        <v>3 Buildings</v>
      </c>
      <c r="G40" s="89"/>
      <c r="H40" s="89"/>
      <c r="I40" s="89"/>
      <c r="J40" s="90"/>
    </row>
    <row r="41" spans="1:10">
      <c r="A41" s="166" t="s">
        <v>74</v>
      </c>
      <c r="B41" s="167"/>
      <c r="C41" s="167"/>
      <c r="D41" s="167"/>
      <c r="E41" s="167"/>
      <c r="F41" s="167"/>
      <c r="G41" s="167"/>
      <c r="H41" s="167"/>
      <c r="I41" s="167"/>
      <c r="J41" s="168"/>
    </row>
    <row r="42" spans="1:10" ht="16.5" customHeight="1">
      <c r="A42" s="97" t="s">
        <v>75</v>
      </c>
      <c r="B42" s="99"/>
      <c r="C42" s="169" t="s">
        <v>76</v>
      </c>
      <c r="D42" s="170"/>
      <c r="E42" s="170"/>
      <c r="F42" s="171"/>
      <c r="G42" s="31" t="s">
        <v>77</v>
      </c>
      <c r="H42" s="169" t="s">
        <v>277</v>
      </c>
      <c r="I42" s="170"/>
      <c r="J42" s="171"/>
    </row>
    <row r="43" spans="1:10" ht="31.5" customHeight="1">
      <c r="A43" s="97" t="s">
        <v>79</v>
      </c>
      <c r="B43" s="99"/>
      <c r="C43" s="169" t="str">
        <f>C42</f>
        <v>EB/5070/GS/A</v>
      </c>
      <c r="D43" s="170"/>
      <c r="E43" s="170"/>
      <c r="F43" s="171"/>
      <c r="G43" s="31" t="s">
        <v>77</v>
      </c>
      <c r="H43" s="169" t="str">
        <f>H42</f>
        <v>10/10/2019.</v>
      </c>
      <c r="I43" s="170"/>
      <c r="J43" s="171"/>
    </row>
    <row r="44" spans="1:10" ht="123" customHeight="1">
      <c r="A44" s="97" t="s">
        <v>278</v>
      </c>
      <c r="B44" s="99"/>
      <c r="C44" s="165" t="s">
        <v>279</v>
      </c>
      <c r="D44" s="163"/>
      <c r="E44" s="163"/>
      <c r="F44" s="164"/>
      <c r="G44" s="32" t="s">
        <v>77</v>
      </c>
      <c r="H44" s="32" t="s">
        <v>280</v>
      </c>
      <c r="I44" s="274" t="s">
        <v>281</v>
      </c>
      <c r="J44" s="274"/>
    </row>
    <row r="45" spans="1:10">
      <c r="A45" s="97" t="s">
        <v>282</v>
      </c>
      <c r="B45" s="99"/>
      <c r="C45" s="169" t="s">
        <v>54</v>
      </c>
      <c r="D45" s="170"/>
      <c r="E45" s="170"/>
      <c r="F45" s="171" t="s">
        <v>90</v>
      </c>
      <c r="G45" s="32" t="s">
        <v>77</v>
      </c>
      <c r="H45" s="169" t="s">
        <v>54</v>
      </c>
      <c r="I45" s="170" t="s">
        <v>92</v>
      </c>
      <c r="J45" s="171"/>
    </row>
    <row r="46" spans="1:10">
      <c r="A46" s="200" t="s">
        <v>283</v>
      </c>
      <c r="B46" s="200"/>
      <c r="C46" s="200"/>
      <c r="D46" s="271" t="str">
        <f>H44</f>
        <v>23/10/2019.</v>
      </c>
      <c r="E46" s="271"/>
      <c r="F46" s="88" t="s">
        <v>108</v>
      </c>
      <c r="G46" s="272"/>
      <c r="H46" s="88" t="s">
        <v>284</v>
      </c>
      <c r="I46" s="89"/>
      <c r="J46" s="90"/>
    </row>
    <row r="47" spans="1:10">
      <c r="A47" s="208" t="s">
        <v>101</v>
      </c>
      <c r="B47" s="209"/>
      <c r="C47" s="209"/>
      <c r="D47" s="209"/>
      <c r="E47" s="209"/>
      <c r="F47" s="209"/>
      <c r="G47" s="209"/>
      <c r="H47" s="209"/>
      <c r="I47" s="209"/>
      <c r="J47" s="210"/>
    </row>
    <row r="48" spans="1:10" ht="17.25" customHeight="1">
      <c r="A48" s="88" t="s">
        <v>102</v>
      </c>
      <c r="B48" s="89"/>
      <c r="C48" s="90"/>
      <c r="D48" s="218">
        <f>F39</f>
        <v>78421.64</v>
      </c>
      <c r="E48" s="219"/>
      <c r="F48" s="273" t="s">
        <v>103</v>
      </c>
      <c r="G48" s="273"/>
      <c r="H48" s="273"/>
      <c r="I48" s="94" t="s">
        <v>285</v>
      </c>
      <c r="J48" s="96"/>
    </row>
    <row r="49" spans="1:10" ht="91.5" customHeight="1">
      <c r="A49" s="33" t="s">
        <v>105</v>
      </c>
      <c r="B49" s="97" t="s">
        <v>286</v>
      </c>
      <c r="C49" s="98"/>
      <c r="D49" s="98"/>
      <c r="E49" s="98"/>
      <c r="F49" s="99"/>
      <c r="G49" s="98" t="s">
        <v>287</v>
      </c>
      <c r="H49" s="98"/>
      <c r="I49" s="98"/>
      <c r="J49" s="99"/>
    </row>
    <row r="50" spans="1:10" ht="33" customHeight="1">
      <c r="A50" s="88" t="s">
        <v>288</v>
      </c>
      <c r="B50" s="89"/>
      <c r="C50" s="89"/>
      <c r="D50" s="89"/>
      <c r="E50" s="90"/>
      <c r="F50" s="97" t="s">
        <v>289</v>
      </c>
      <c r="G50" s="98"/>
      <c r="H50" s="98"/>
      <c r="I50" s="98"/>
      <c r="J50" s="99"/>
    </row>
    <row r="51" spans="1:10">
      <c r="A51" s="88" t="s">
        <v>290</v>
      </c>
      <c r="B51" s="89"/>
      <c r="C51" s="89"/>
      <c r="D51" s="89"/>
      <c r="E51" s="89"/>
      <c r="F51" s="89"/>
      <c r="G51" s="89"/>
      <c r="H51" s="89"/>
      <c r="I51" s="89"/>
      <c r="J51" s="90"/>
    </row>
    <row r="52" spans="1:10" ht="15" customHeight="1">
      <c r="A52" s="268" t="s">
        <v>291</v>
      </c>
      <c r="B52" s="269"/>
      <c r="C52" s="269"/>
      <c r="D52" s="269"/>
      <c r="E52" s="269"/>
      <c r="F52" s="269"/>
      <c r="G52" s="269"/>
      <c r="H52" s="269"/>
      <c r="I52" s="269"/>
      <c r="J52" s="270"/>
    </row>
    <row r="53" spans="1:10" ht="33" customHeight="1">
      <c r="A53" s="263" t="s">
        <v>292</v>
      </c>
      <c r="B53" s="264"/>
      <c r="C53" s="264"/>
      <c r="D53" s="264"/>
      <c r="E53" s="264"/>
      <c r="F53" s="264"/>
      <c r="G53" s="264"/>
      <c r="H53" s="264"/>
      <c r="I53" s="264"/>
      <c r="J53" s="265"/>
    </row>
    <row r="54" spans="1:10" ht="15" customHeight="1">
      <c r="A54" s="254"/>
      <c r="B54" s="256"/>
      <c r="C54" s="244" t="s">
        <v>128</v>
      </c>
      <c r="D54" s="245"/>
      <c r="E54" s="246"/>
      <c r="F54" s="244" t="s">
        <v>293</v>
      </c>
      <c r="G54" s="246"/>
      <c r="H54" s="254"/>
      <c r="I54" s="255"/>
      <c r="J54" s="256"/>
    </row>
    <row r="55" spans="1:10">
      <c r="A55" s="257"/>
      <c r="B55" s="259"/>
      <c r="C55" s="244" t="s">
        <v>136</v>
      </c>
      <c r="D55" s="245"/>
      <c r="E55" s="246"/>
      <c r="F55" s="247">
        <f>'Construction %'!E4</f>
        <v>100</v>
      </c>
      <c r="G55" s="248"/>
      <c r="H55" s="257"/>
      <c r="I55" s="258"/>
      <c r="J55" s="259"/>
    </row>
    <row r="56" spans="1:10">
      <c r="A56" s="257"/>
      <c r="B56" s="259"/>
      <c r="C56" s="244" t="s">
        <v>294</v>
      </c>
      <c r="D56" s="245"/>
      <c r="E56" s="246"/>
      <c r="F56" s="266">
        <f>'Construction %'!E5</f>
        <v>87.5</v>
      </c>
      <c r="G56" s="267"/>
      <c r="H56" s="257"/>
      <c r="I56" s="258"/>
      <c r="J56" s="259"/>
    </row>
    <row r="57" spans="1:10">
      <c r="A57" s="257"/>
      <c r="B57" s="259"/>
      <c r="C57" s="244" t="s">
        <v>295</v>
      </c>
      <c r="D57" s="245"/>
      <c r="E57" s="246"/>
      <c r="F57" s="247">
        <f>'Construction %'!E6</f>
        <v>0</v>
      </c>
      <c r="G57" s="248"/>
      <c r="H57" s="257"/>
      <c r="I57" s="258"/>
      <c r="J57" s="259"/>
    </row>
    <row r="58" spans="1:10">
      <c r="A58" s="257"/>
      <c r="B58" s="259"/>
      <c r="C58" s="244" t="s">
        <v>296</v>
      </c>
      <c r="D58" s="245"/>
      <c r="E58" s="246"/>
      <c r="F58" s="247">
        <f>'Construction %'!E7</f>
        <v>0</v>
      </c>
      <c r="G58" s="248"/>
      <c r="H58" s="257"/>
      <c r="I58" s="258"/>
      <c r="J58" s="259"/>
    </row>
    <row r="59" spans="1:10">
      <c r="A59" s="257"/>
      <c r="B59" s="259"/>
      <c r="C59" s="244" t="s">
        <v>297</v>
      </c>
      <c r="D59" s="245"/>
      <c r="E59" s="246"/>
      <c r="F59" s="247">
        <f>'Construction %'!E8</f>
        <v>0</v>
      </c>
      <c r="G59" s="248"/>
      <c r="H59" s="257"/>
      <c r="I59" s="258"/>
      <c r="J59" s="259"/>
    </row>
    <row r="60" spans="1:10" ht="15" customHeight="1">
      <c r="A60" s="257"/>
      <c r="B60" s="259"/>
      <c r="C60" s="244" t="s">
        <v>298</v>
      </c>
      <c r="D60" s="245"/>
      <c r="E60" s="246"/>
      <c r="F60" s="247">
        <f>'Construction %'!E9</f>
        <v>0</v>
      </c>
      <c r="G60" s="248"/>
      <c r="H60" s="257"/>
      <c r="I60" s="258"/>
      <c r="J60" s="259"/>
    </row>
    <row r="61" spans="1:10">
      <c r="A61" s="260"/>
      <c r="B61" s="262"/>
      <c r="C61" s="244" t="s">
        <v>299</v>
      </c>
      <c r="D61" s="245"/>
      <c r="E61" s="246"/>
      <c r="F61" s="247">
        <f>'Construction %'!E10</f>
        <v>0</v>
      </c>
      <c r="G61" s="248"/>
      <c r="H61" s="260"/>
      <c r="I61" s="261"/>
      <c r="J61" s="262"/>
    </row>
    <row r="62" spans="1:10">
      <c r="A62" s="249" t="s">
        <v>300</v>
      </c>
      <c r="B62" s="250"/>
      <c r="C62" s="251"/>
      <c r="D62" s="252">
        <f>'Construction %'!G20</f>
        <v>45</v>
      </c>
      <c r="E62" s="253"/>
      <c r="F62" s="249" t="s">
        <v>301</v>
      </c>
      <c r="G62" s="250"/>
      <c r="H62" s="251"/>
      <c r="I62" s="252">
        <f>'Construction %'!H20</f>
        <v>56.25</v>
      </c>
      <c r="J62" s="253"/>
    </row>
    <row r="63" spans="1:10">
      <c r="A63" s="263" t="s">
        <v>302</v>
      </c>
      <c r="B63" s="264"/>
      <c r="C63" s="264"/>
      <c r="D63" s="264"/>
      <c r="E63" s="264"/>
      <c r="F63" s="264"/>
      <c r="G63" s="264"/>
      <c r="H63" s="264"/>
      <c r="I63" s="264"/>
      <c r="J63" s="265"/>
    </row>
    <row r="64" spans="1:10" ht="15" customHeight="1">
      <c r="A64" s="254"/>
      <c r="B64" s="256"/>
      <c r="C64" s="244" t="s">
        <v>128</v>
      </c>
      <c r="D64" s="245"/>
      <c r="E64" s="246"/>
      <c r="F64" s="244" t="s">
        <v>293</v>
      </c>
      <c r="G64" s="246"/>
      <c r="H64" s="254"/>
      <c r="I64" s="255"/>
      <c r="J64" s="256"/>
    </row>
    <row r="65" spans="1:10">
      <c r="A65" s="257"/>
      <c r="B65" s="259"/>
      <c r="C65" s="244" t="s">
        <v>136</v>
      </c>
      <c r="D65" s="245"/>
      <c r="E65" s="246"/>
      <c r="F65" s="247">
        <f>'Construction % (2)'!E4</f>
        <v>100</v>
      </c>
      <c r="G65" s="248"/>
      <c r="H65" s="257"/>
      <c r="I65" s="258"/>
      <c r="J65" s="259"/>
    </row>
    <row r="66" spans="1:10">
      <c r="A66" s="257"/>
      <c r="B66" s="259"/>
      <c r="C66" s="244" t="s">
        <v>294</v>
      </c>
      <c r="D66" s="245"/>
      <c r="E66" s="246"/>
      <c r="F66" s="247">
        <f>'Construction % (2)'!E5</f>
        <v>0</v>
      </c>
      <c r="G66" s="248"/>
      <c r="H66" s="257"/>
      <c r="I66" s="258"/>
      <c r="J66" s="259"/>
    </row>
    <row r="67" spans="1:10">
      <c r="A67" s="257"/>
      <c r="B67" s="259"/>
      <c r="C67" s="244" t="s">
        <v>295</v>
      </c>
      <c r="D67" s="245"/>
      <c r="E67" s="246"/>
      <c r="F67" s="247">
        <f>'Construction % (2)'!E6</f>
        <v>0</v>
      </c>
      <c r="G67" s="248"/>
      <c r="H67" s="257"/>
      <c r="I67" s="258"/>
      <c r="J67" s="259"/>
    </row>
    <row r="68" spans="1:10">
      <c r="A68" s="257"/>
      <c r="B68" s="259"/>
      <c r="C68" s="244" t="s">
        <v>296</v>
      </c>
      <c r="D68" s="245"/>
      <c r="E68" s="246"/>
      <c r="F68" s="247">
        <f>'Construction % (2)'!E7</f>
        <v>0</v>
      </c>
      <c r="G68" s="248"/>
      <c r="H68" s="257"/>
      <c r="I68" s="258"/>
      <c r="J68" s="259"/>
    </row>
    <row r="69" spans="1:10">
      <c r="A69" s="257"/>
      <c r="B69" s="259"/>
      <c r="C69" s="244" t="s">
        <v>297</v>
      </c>
      <c r="D69" s="245"/>
      <c r="E69" s="246"/>
      <c r="F69" s="247">
        <f>'Construction % (2)'!E8</f>
        <v>0</v>
      </c>
      <c r="G69" s="248"/>
      <c r="H69" s="257"/>
      <c r="I69" s="258"/>
      <c r="J69" s="259"/>
    </row>
    <row r="70" spans="1:10" ht="15" customHeight="1">
      <c r="A70" s="257"/>
      <c r="B70" s="259"/>
      <c r="C70" s="244" t="s">
        <v>298</v>
      </c>
      <c r="D70" s="245"/>
      <c r="E70" s="246"/>
      <c r="F70" s="247">
        <f>'Construction % (2)'!E9</f>
        <v>0</v>
      </c>
      <c r="G70" s="248"/>
      <c r="H70" s="257"/>
      <c r="I70" s="258"/>
      <c r="J70" s="259"/>
    </row>
    <row r="71" spans="1:10">
      <c r="A71" s="260"/>
      <c r="B71" s="262"/>
      <c r="C71" s="244" t="s">
        <v>299</v>
      </c>
      <c r="D71" s="245"/>
      <c r="E71" s="246"/>
      <c r="F71" s="247">
        <f>'Construction % (2)'!E10</f>
        <v>0</v>
      </c>
      <c r="G71" s="248"/>
      <c r="H71" s="260"/>
      <c r="I71" s="261"/>
      <c r="J71" s="262"/>
    </row>
    <row r="72" spans="1:10">
      <c r="A72" s="249" t="s">
        <v>300</v>
      </c>
      <c r="B72" s="250"/>
      <c r="C72" s="251"/>
      <c r="D72" s="252">
        <f>'Construction % (2)'!G20</f>
        <v>10</v>
      </c>
      <c r="E72" s="253"/>
      <c r="F72" s="249" t="s">
        <v>301</v>
      </c>
      <c r="G72" s="250"/>
      <c r="H72" s="251"/>
      <c r="I72" s="252">
        <f>'Construction % (2)'!H20</f>
        <v>30</v>
      </c>
      <c r="J72" s="253"/>
    </row>
    <row r="73" spans="1:10">
      <c r="A73" s="88" t="s">
        <v>303</v>
      </c>
      <c r="B73" s="89"/>
      <c r="C73" s="89"/>
      <c r="D73" s="89"/>
      <c r="E73" s="89"/>
      <c r="F73" s="89"/>
      <c r="G73" s="89"/>
      <c r="H73" s="89"/>
      <c r="I73" s="89"/>
      <c r="J73" s="90"/>
    </row>
    <row r="74" spans="1:10">
      <c r="A74" s="88" t="s">
        <v>304</v>
      </c>
      <c r="B74" s="89"/>
      <c r="C74" s="89"/>
      <c r="D74" s="89"/>
      <c r="E74" s="89"/>
      <c r="F74" s="89"/>
      <c r="G74" s="89"/>
      <c r="H74" s="89"/>
      <c r="I74" s="89"/>
      <c r="J74" s="90"/>
    </row>
    <row r="75" spans="1:10" ht="15" customHeight="1">
      <c r="A75" s="238" t="s">
        <v>305</v>
      </c>
      <c r="B75" s="239"/>
      <c r="C75" s="239"/>
      <c r="D75" s="239"/>
      <c r="E75" s="239"/>
      <c r="F75" s="239"/>
      <c r="G75" s="239"/>
      <c r="H75" s="239"/>
      <c r="I75" s="239"/>
      <c r="J75" s="240"/>
    </row>
    <row r="76" spans="1:10">
      <c r="A76" s="241"/>
      <c r="B76" s="242"/>
      <c r="C76" s="242"/>
      <c r="D76" s="242"/>
      <c r="E76" s="242"/>
      <c r="F76" s="242"/>
      <c r="G76" s="242"/>
      <c r="H76" s="242"/>
      <c r="I76" s="242"/>
      <c r="J76" s="243"/>
    </row>
    <row r="77" spans="1:10">
      <c r="A77" s="166" t="s">
        <v>159</v>
      </c>
      <c r="B77" s="167"/>
      <c r="C77" s="167"/>
      <c r="D77" s="167"/>
      <c r="E77" s="167"/>
      <c r="F77" s="167"/>
      <c r="G77" s="167"/>
      <c r="H77" s="167"/>
      <c r="I77" s="167"/>
      <c r="J77" s="168"/>
    </row>
    <row r="78" spans="1:10">
      <c r="A78" s="88" t="s">
        <v>160</v>
      </c>
      <c r="B78" s="89"/>
      <c r="C78" s="89"/>
      <c r="D78" s="89"/>
      <c r="E78" s="89"/>
      <c r="F78" s="90"/>
      <c r="G78" s="172">
        <v>28000</v>
      </c>
      <c r="H78" s="173"/>
      <c r="I78" s="173"/>
      <c r="J78" s="174"/>
    </row>
    <row r="79" spans="1:10" ht="17.25" customHeight="1">
      <c r="A79" s="88" t="s">
        <v>306</v>
      </c>
      <c r="B79" s="89"/>
      <c r="C79" s="89"/>
      <c r="D79" s="89"/>
      <c r="E79" s="89"/>
      <c r="F79" s="90"/>
      <c r="G79" s="165" t="s">
        <v>54</v>
      </c>
      <c r="H79" s="163"/>
      <c r="I79" s="163"/>
      <c r="J79" s="164"/>
    </row>
    <row r="80" spans="1:10" ht="17.25" customHeight="1">
      <c r="A80" s="88" t="s">
        <v>165</v>
      </c>
      <c r="B80" s="89"/>
      <c r="C80" s="89"/>
      <c r="D80" s="89"/>
      <c r="E80" s="89"/>
      <c r="F80" s="90"/>
      <c r="G80" s="165" t="s">
        <v>54</v>
      </c>
      <c r="H80" s="163"/>
      <c r="I80" s="163"/>
      <c r="J80" s="164"/>
    </row>
    <row r="81" spans="1:10" ht="17.25" customHeight="1">
      <c r="A81" s="88" t="s">
        <v>166</v>
      </c>
      <c r="B81" s="89"/>
      <c r="C81" s="89"/>
      <c r="D81" s="89"/>
      <c r="E81" s="89"/>
      <c r="F81" s="90"/>
      <c r="G81" s="165" t="s">
        <v>54</v>
      </c>
      <c r="H81" s="163"/>
      <c r="I81" s="163"/>
      <c r="J81" s="164"/>
    </row>
    <row r="82" spans="1:10" ht="17.25" customHeight="1">
      <c r="A82" s="97" t="s">
        <v>167</v>
      </c>
      <c r="B82" s="98"/>
      <c r="C82" s="98"/>
      <c r="D82" s="98"/>
      <c r="E82" s="98"/>
      <c r="F82" s="99"/>
      <c r="G82" s="165" t="s">
        <v>54</v>
      </c>
      <c r="H82" s="163"/>
      <c r="I82" s="163"/>
      <c r="J82" s="164"/>
    </row>
    <row r="83" spans="1:10" ht="15" customHeight="1">
      <c r="A83" s="88" t="s">
        <v>169</v>
      </c>
      <c r="B83" s="89"/>
      <c r="C83" s="89"/>
      <c r="D83" s="89"/>
      <c r="E83" s="89"/>
      <c r="F83" s="90"/>
      <c r="G83" s="165" t="s">
        <v>54</v>
      </c>
      <c r="H83" s="163"/>
      <c r="I83" s="163"/>
      <c r="J83" s="164"/>
    </row>
    <row r="84" spans="1:10" ht="17.25" customHeight="1">
      <c r="A84" s="88" t="s">
        <v>170</v>
      </c>
      <c r="B84" s="89"/>
      <c r="C84" s="89"/>
      <c r="D84" s="89"/>
      <c r="E84" s="89"/>
      <c r="F84" s="90"/>
      <c r="G84" s="165" t="s">
        <v>54</v>
      </c>
      <c r="H84" s="163"/>
      <c r="I84" s="163"/>
      <c r="J84" s="164"/>
    </row>
    <row r="85" spans="1:10" ht="15" customHeight="1">
      <c r="A85" s="88" t="s">
        <v>172</v>
      </c>
      <c r="B85" s="89"/>
      <c r="C85" s="89"/>
      <c r="D85" s="89"/>
      <c r="E85" s="89"/>
      <c r="F85" s="90"/>
      <c r="G85" s="165" t="s">
        <v>54</v>
      </c>
      <c r="H85" s="163"/>
      <c r="I85" s="163"/>
      <c r="J85" s="164"/>
    </row>
    <row r="86" spans="1:10">
      <c r="A86" s="88" t="s">
        <v>307</v>
      </c>
      <c r="B86" s="89"/>
      <c r="C86" s="89"/>
      <c r="D86" s="89"/>
      <c r="E86" s="89"/>
      <c r="F86" s="90"/>
      <c r="G86" s="165" t="s">
        <v>54</v>
      </c>
      <c r="H86" s="163"/>
      <c r="I86" s="163"/>
      <c r="J86" s="164"/>
    </row>
    <row r="87" spans="1:10" s="26" customFormat="1" ht="14.45" customHeight="1">
      <c r="A87" s="166" t="s">
        <v>173</v>
      </c>
      <c r="B87" s="167"/>
      <c r="C87" s="167"/>
      <c r="D87" s="167"/>
      <c r="E87" s="167"/>
      <c r="F87" s="168"/>
      <c r="G87" s="169">
        <f>G78*0.8</f>
        <v>22400</v>
      </c>
      <c r="H87" s="170"/>
      <c r="I87" s="170"/>
      <c r="J87" s="171"/>
    </row>
    <row r="88" spans="1:10" s="26" customFormat="1" ht="21" customHeight="1">
      <c r="A88" s="151" t="s">
        <v>184</v>
      </c>
      <c r="B88" s="152"/>
      <c r="C88" s="152"/>
      <c r="D88" s="152"/>
      <c r="E88" s="152"/>
      <c r="F88" s="152"/>
      <c r="G88" s="152"/>
      <c r="H88" s="152"/>
      <c r="I88" s="152"/>
      <c r="J88" s="153"/>
    </row>
    <row r="89" spans="1:10">
      <c r="A89" s="154" t="s">
        <v>185</v>
      </c>
      <c r="B89" s="155"/>
      <c r="C89" s="155"/>
      <c r="D89" s="155"/>
      <c r="E89" s="155"/>
      <c r="F89" s="155"/>
      <c r="G89" s="155"/>
      <c r="H89" s="155"/>
      <c r="I89" s="155"/>
      <c r="J89" s="156"/>
    </row>
    <row r="90" spans="1:10" ht="38.25">
      <c r="A90" s="148" t="s">
        <v>186</v>
      </c>
      <c r="B90" s="150"/>
      <c r="C90" s="34" t="s">
        <v>187</v>
      </c>
      <c r="D90" s="157" t="s">
        <v>188</v>
      </c>
      <c r="E90" s="158"/>
      <c r="F90" s="35" t="s">
        <v>189</v>
      </c>
      <c r="G90" s="34" t="s">
        <v>190</v>
      </c>
      <c r="H90" s="34" t="s">
        <v>191</v>
      </c>
      <c r="I90" s="148" t="s">
        <v>192</v>
      </c>
      <c r="J90" s="150"/>
    </row>
    <row r="91" spans="1:10" ht="19.5" customHeight="1">
      <c r="A91" s="133" t="s">
        <v>193</v>
      </c>
      <c r="B91" s="134"/>
      <c r="C91" s="134"/>
      <c r="D91" s="134"/>
      <c r="E91" s="134"/>
      <c r="F91" s="134"/>
      <c r="G91" s="134"/>
      <c r="H91" s="134"/>
      <c r="I91" s="134"/>
      <c r="J91" s="135"/>
    </row>
    <row r="92" spans="1:10" ht="19.5" customHeight="1">
      <c r="A92" s="136" t="s">
        <v>194</v>
      </c>
      <c r="B92" s="137"/>
      <c r="C92" s="137"/>
      <c r="D92" s="137"/>
      <c r="E92" s="137"/>
      <c r="F92" s="137"/>
      <c r="G92" s="137"/>
      <c r="H92" s="137"/>
      <c r="I92" s="137"/>
      <c r="J92" s="138"/>
    </row>
    <row r="93" spans="1:10" ht="19.5" customHeight="1">
      <c r="A93" s="136" t="s">
        <v>195</v>
      </c>
      <c r="B93" s="137"/>
      <c r="C93" s="137"/>
      <c r="D93" s="137"/>
      <c r="E93" s="137"/>
      <c r="F93" s="137"/>
      <c r="G93" s="137"/>
      <c r="H93" s="137"/>
      <c r="I93" s="137"/>
      <c r="J93" s="138"/>
    </row>
    <row r="94" spans="1:10" ht="19.5" customHeight="1">
      <c r="A94" s="136" t="s">
        <v>308</v>
      </c>
      <c r="B94" s="137"/>
      <c r="C94" s="137"/>
      <c r="D94" s="137"/>
      <c r="E94" s="137"/>
      <c r="F94" s="137"/>
      <c r="G94" s="137"/>
      <c r="H94" s="137"/>
      <c r="I94" s="137"/>
      <c r="J94" s="138"/>
    </row>
    <row r="95" spans="1:10" ht="19.5" customHeight="1">
      <c r="A95" s="136" t="s">
        <v>197</v>
      </c>
      <c r="B95" s="137"/>
      <c r="C95" s="137"/>
      <c r="D95" s="137"/>
      <c r="E95" s="137"/>
      <c r="F95" s="137"/>
      <c r="G95" s="137"/>
      <c r="H95" s="137"/>
      <c r="I95" s="137"/>
      <c r="J95" s="138"/>
    </row>
    <row r="96" spans="1:10" ht="19.5" customHeight="1">
      <c r="A96" s="136" t="s">
        <v>229</v>
      </c>
      <c r="B96" s="137"/>
      <c r="C96" s="137"/>
      <c r="D96" s="137"/>
      <c r="E96" s="137"/>
      <c r="F96" s="137"/>
      <c r="G96" s="137"/>
      <c r="H96" s="137"/>
      <c r="I96" s="137"/>
      <c r="J96" s="138"/>
    </row>
    <row r="97" spans="1:10" ht="39" customHeight="1">
      <c r="A97" s="136" t="s">
        <v>309</v>
      </c>
      <c r="B97" s="137"/>
      <c r="C97" s="137"/>
      <c r="D97" s="137"/>
      <c r="E97" s="137"/>
      <c r="F97" s="137"/>
      <c r="G97" s="137"/>
      <c r="H97" s="137"/>
      <c r="I97" s="137"/>
      <c r="J97" s="138"/>
    </row>
    <row r="98" spans="1:10" ht="39.75" customHeight="1">
      <c r="A98" s="116">
        <v>1</v>
      </c>
      <c r="B98" s="117"/>
      <c r="C98" s="36" t="s">
        <v>203</v>
      </c>
      <c r="D98" s="116">
        <f>207.12*10.764</f>
        <v>2229.43968</v>
      </c>
      <c r="E98" s="117"/>
      <c r="F98" s="36">
        <v>0</v>
      </c>
      <c r="G98" s="36">
        <f>D98*1.5+F98</f>
        <v>3344.1595200000002</v>
      </c>
      <c r="H98" s="36" t="s">
        <v>202</v>
      </c>
      <c r="I98" s="101" t="s">
        <v>309</v>
      </c>
      <c r="J98" s="102"/>
    </row>
    <row r="99" spans="1:10" ht="37.5" customHeight="1">
      <c r="A99" s="116">
        <v>2</v>
      </c>
      <c r="B99" s="117"/>
      <c r="C99" s="36" t="s">
        <v>201</v>
      </c>
      <c r="D99" s="116">
        <f>165.41*10.764</f>
        <v>1780.4732399999998</v>
      </c>
      <c r="E99" s="117"/>
      <c r="F99" s="36">
        <v>0</v>
      </c>
      <c r="G99" s="36">
        <f>D99*1.5+F99</f>
        <v>2670.7098599999999</v>
      </c>
      <c r="H99" s="36" t="s">
        <v>202</v>
      </c>
      <c r="I99" s="103"/>
      <c r="J99" s="104"/>
    </row>
    <row r="100" spans="1:10" ht="39" customHeight="1">
      <c r="A100" s="116">
        <v>3</v>
      </c>
      <c r="B100" s="117"/>
      <c r="C100" s="36" t="s">
        <v>203</v>
      </c>
      <c r="D100" s="116">
        <f>207.12*10.764</f>
        <v>2229.43968</v>
      </c>
      <c r="E100" s="117"/>
      <c r="F100" s="36">
        <v>0</v>
      </c>
      <c r="G100" s="36">
        <f>D100*1.5+F100</f>
        <v>3344.1595200000002</v>
      </c>
      <c r="H100" s="36" t="s">
        <v>202</v>
      </c>
      <c r="I100" s="103"/>
      <c r="J100" s="104"/>
    </row>
    <row r="101" spans="1:10" ht="40.5" customHeight="1">
      <c r="A101" s="116">
        <v>4</v>
      </c>
      <c r="B101" s="117"/>
      <c r="C101" s="36" t="s">
        <v>201</v>
      </c>
      <c r="D101" s="116">
        <f>165.41*10.764</f>
        <v>1780.4732399999998</v>
      </c>
      <c r="E101" s="117"/>
      <c r="F101" s="36">
        <v>0</v>
      </c>
      <c r="G101" s="36">
        <f>D101*1.5+F101</f>
        <v>2670.7098599999999</v>
      </c>
      <c r="H101" s="36" t="s">
        <v>202</v>
      </c>
      <c r="I101" s="105"/>
      <c r="J101" s="106"/>
    </row>
    <row r="102" spans="1:10" ht="19.5" customHeight="1">
      <c r="A102" s="123" t="s">
        <v>310</v>
      </c>
      <c r="B102" s="124"/>
      <c r="C102" s="124"/>
      <c r="D102" s="124"/>
      <c r="E102" s="124"/>
      <c r="F102" s="124"/>
      <c r="G102" s="124"/>
      <c r="H102" s="124"/>
      <c r="I102" s="124"/>
      <c r="J102" s="125"/>
    </row>
    <row r="103" spans="1:10" ht="19.5" customHeight="1">
      <c r="A103" s="116">
        <v>1</v>
      </c>
      <c r="B103" s="117"/>
      <c r="C103" s="116" t="s">
        <v>311</v>
      </c>
      <c r="D103" s="129"/>
      <c r="E103" s="129"/>
      <c r="F103" s="129"/>
      <c r="G103" s="129"/>
      <c r="H103" s="117"/>
      <c r="I103" s="101" t="s">
        <v>310</v>
      </c>
      <c r="J103" s="102"/>
    </row>
    <row r="104" spans="1:10" ht="19.5" customHeight="1">
      <c r="A104" s="116">
        <v>2</v>
      </c>
      <c r="B104" s="117"/>
      <c r="C104" s="36" t="s">
        <v>201</v>
      </c>
      <c r="D104" s="116">
        <f>165.41*10.764</f>
        <v>1780.4732399999998</v>
      </c>
      <c r="E104" s="117"/>
      <c r="F104" s="36">
        <v>0</v>
      </c>
      <c r="G104" s="36">
        <f>D104*1.5+F104</f>
        <v>2670.7098599999999</v>
      </c>
      <c r="H104" s="36" t="s">
        <v>202</v>
      </c>
      <c r="I104" s="103"/>
      <c r="J104" s="104"/>
    </row>
    <row r="105" spans="1:10" ht="19.5" customHeight="1">
      <c r="A105" s="116">
        <v>3</v>
      </c>
      <c r="B105" s="117"/>
      <c r="C105" s="36" t="s">
        <v>203</v>
      </c>
      <c r="D105" s="116">
        <f>207.12*10.764</f>
        <v>2229.43968</v>
      </c>
      <c r="E105" s="117"/>
      <c r="F105" s="36">
        <v>0</v>
      </c>
      <c r="G105" s="36">
        <f>D105*1.5+F105</f>
        <v>3344.1595200000002</v>
      </c>
      <c r="H105" s="36" t="s">
        <v>202</v>
      </c>
      <c r="I105" s="103"/>
      <c r="J105" s="104"/>
    </row>
    <row r="106" spans="1:10" ht="19.5" customHeight="1">
      <c r="A106" s="116">
        <v>4</v>
      </c>
      <c r="B106" s="117"/>
      <c r="C106" s="36" t="s">
        <v>201</v>
      </c>
      <c r="D106" s="116">
        <f>165.41*10.764</f>
        <v>1780.4732399999998</v>
      </c>
      <c r="E106" s="117"/>
      <c r="F106" s="36">
        <v>0</v>
      </c>
      <c r="G106" s="36">
        <f>D106*1.5+F106</f>
        <v>2670.7098599999999</v>
      </c>
      <c r="H106" s="36" t="s">
        <v>202</v>
      </c>
      <c r="I106" s="105"/>
      <c r="J106" s="106"/>
    </row>
    <row r="107" spans="1:10" ht="19.5" customHeight="1">
      <c r="A107" s="123" t="s">
        <v>312</v>
      </c>
      <c r="B107" s="124"/>
      <c r="C107" s="124"/>
      <c r="D107" s="124"/>
      <c r="E107" s="124"/>
      <c r="F107" s="124"/>
      <c r="G107" s="124"/>
      <c r="H107" s="124"/>
      <c r="I107" s="124"/>
      <c r="J107" s="125"/>
    </row>
    <row r="108" spans="1:10" ht="19.5" customHeight="1">
      <c r="A108" s="116">
        <v>1</v>
      </c>
      <c r="B108" s="117"/>
      <c r="C108" s="116" t="s">
        <v>313</v>
      </c>
      <c r="D108" s="129"/>
      <c r="E108" s="129"/>
      <c r="F108" s="129"/>
      <c r="G108" s="129"/>
      <c r="H108" s="117"/>
      <c r="I108" s="101" t="s">
        <v>312</v>
      </c>
      <c r="J108" s="102"/>
    </row>
    <row r="109" spans="1:10" ht="19.5" customHeight="1">
      <c r="A109" s="116">
        <v>2</v>
      </c>
      <c r="B109" s="117"/>
      <c r="C109" s="36" t="s">
        <v>201</v>
      </c>
      <c r="D109" s="116">
        <f>165.41*10.764</f>
        <v>1780.4732399999998</v>
      </c>
      <c r="E109" s="117"/>
      <c r="F109" s="36">
        <v>0</v>
      </c>
      <c r="G109" s="36">
        <f>D109*1.5+F109</f>
        <v>2670.7098599999999</v>
      </c>
      <c r="H109" s="36" t="s">
        <v>202</v>
      </c>
      <c r="I109" s="103"/>
      <c r="J109" s="104"/>
    </row>
    <row r="110" spans="1:10" ht="19.5" customHeight="1">
      <c r="A110" s="116">
        <v>3</v>
      </c>
      <c r="B110" s="117"/>
      <c r="C110" s="36" t="s">
        <v>203</v>
      </c>
      <c r="D110" s="116">
        <f>207.12*10.764</f>
        <v>2229.43968</v>
      </c>
      <c r="E110" s="117"/>
      <c r="F110" s="36">
        <v>0</v>
      </c>
      <c r="G110" s="36">
        <f>D110*1.5+F110</f>
        <v>3344.1595200000002</v>
      </c>
      <c r="H110" s="36" t="s">
        <v>202</v>
      </c>
      <c r="I110" s="103"/>
      <c r="J110" s="104"/>
    </row>
    <row r="111" spans="1:10" ht="19.5" customHeight="1">
      <c r="A111" s="116">
        <v>4</v>
      </c>
      <c r="B111" s="117"/>
      <c r="C111" s="36" t="s">
        <v>201</v>
      </c>
      <c r="D111" s="116">
        <f>165.41*10.764</f>
        <v>1780.4732399999998</v>
      </c>
      <c r="E111" s="117"/>
      <c r="F111" s="36">
        <v>0</v>
      </c>
      <c r="G111" s="36">
        <f>D111*1.5+F111</f>
        <v>2670.7098599999999</v>
      </c>
      <c r="H111" s="36" t="s">
        <v>202</v>
      </c>
      <c r="I111" s="105"/>
      <c r="J111" s="106"/>
    </row>
    <row r="112" spans="1:10" ht="19.5" customHeight="1">
      <c r="A112" s="123" t="s">
        <v>314</v>
      </c>
      <c r="B112" s="124"/>
      <c r="C112" s="124"/>
      <c r="D112" s="124"/>
      <c r="E112" s="124"/>
      <c r="F112" s="124"/>
      <c r="G112" s="124"/>
      <c r="H112" s="124"/>
      <c r="I112" s="124"/>
      <c r="J112" s="125"/>
    </row>
    <row r="113" spans="1:10" ht="19.5" customHeight="1">
      <c r="A113" s="123" t="s">
        <v>315</v>
      </c>
      <c r="B113" s="124"/>
      <c r="C113" s="124"/>
      <c r="D113" s="124"/>
      <c r="E113" s="124"/>
      <c r="F113" s="124"/>
      <c r="G113" s="124"/>
      <c r="H113" s="124"/>
      <c r="I113" s="124"/>
      <c r="J113" s="125"/>
    </row>
    <row r="114" spans="1:10" ht="19.5" customHeight="1">
      <c r="A114" s="116">
        <v>1</v>
      </c>
      <c r="B114" s="117"/>
      <c r="C114" s="116" t="s">
        <v>311</v>
      </c>
      <c r="D114" s="129"/>
      <c r="E114" s="129"/>
      <c r="F114" s="129"/>
      <c r="G114" s="129"/>
      <c r="H114" s="117"/>
      <c r="I114" s="101" t="s">
        <v>315</v>
      </c>
      <c r="J114" s="102"/>
    </row>
    <row r="115" spans="1:10" ht="19.5" customHeight="1">
      <c r="A115" s="116">
        <v>2</v>
      </c>
      <c r="B115" s="117"/>
      <c r="C115" s="36" t="s">
        <v>201</v>
      </c>
      <c r="D115" s="116">
        <f>165.41*10.764</f>
        <v>1780.4732399999998</v>
      </c>
      <c r="E115" s="117"/>
      <c r="F115" s="36">
        <v>0</v>
      </c>
      <c r="G115" s="36">
        <f>D115*1.5+F115</f>
        <v>2670.7098599999999</v>
      </c>
      <c r="H115" s="36" t="s">
        <v>202</v>
      </c>
      <c r="I115" s="103"/>
      <c r="J115" s="104"/>
    </row>
    <row r="116" spans="1:10" ht="19.5" customHeight="1">
      <c r="A116" s="116">
        <v>3</v>
      </c>
      <c r="B116" s="117"/>
      <c r="C116" s="36" t="s">
        <v>203</v>
      </c>
      <c r="D116" s="116">
        <f>207.12*10.764</f>
        <v>2229.43968</v>
      </c>
      <c r="E116" s="117"/>
      <c r="F116" s="36">
        <v>0</v>
      </c>
      <c r="G116" s="36">
        <f>D116*1.5+F116</f>
        <v>3344.1595200000002</v>
      </c>
      <c r="H116" s="36" t="s">
        <v>202</v>
      </c>
      <c r="I116" s="103"/>
      <c r="J116" s="104"/>
    </row>
    <row r="117" spans="1:10" ht="19.5" customHeight="1">
      <c r="A117" s="116">
        <v>4</v>
      </c>
      <c r="B117" s="117"/>
      <c r="C117" s="36" t="s">
        <v>201</v>
      </c>
      <c r="D117" s="116">
        <f>165.41*10.764</f>
        <v>1780.4732399999998</v>
      </c>
      <c r="E117" s="117"/>
      <c r="F117" s="36">
        <v>0</v>
      </c>
      <c r="G117" s="36">
        <f>D117*1.5+F117</f>
        <v>2670.7098599999999</v>
      </c>
      <c r="H117" s="36" t="s">
        <v>202</v>
      </c>
      <c r="I117" s="105"/>
      <c r="J117" s="106"/>
    </row>
    <row r="118" spans="1:10" ht="19.5" customHeight="1">
      <c r="A118" s="133" t="s">
        <v>228</v>
      </c>
      <c r="B118" s="134"/>
      <c r="C118" s="134"/>
      <c r="D118" s="134"/>
      <c r="E118" s="134"/>
      <c r="F118" s="134"/>
      <c r="G118" s="134"/>
      <c r="H118" s="134"/>
      <c r="I118" s="134"/>
      <c r="J118" s="135"/>
    </row>
    <row r="119" spans="1:10" ht="19.5" customHeight="1">
      <c r="A119" s="136" t="s">
        <v>194</v>
      </c>
      <c r="B119" s="137"/>
      <c r="C119" s="137"/>
      <c r="D119" s="137"/>
      <c r="E119" s="137"/>
      <c r="F119" s="137"/>
      <c r="G119" s="137"/>
      <c r="H119" s="137"/>
      <c r="I119" s="137"/>
      <c r="J119" s="138"/>
    </row>
    <row r="120" spans="1:10" ht="19.5" customHeight="1">
      <c r="A120" s="136" t="s">
        <v>195</v>
      </c>
      <c r="B120" s="137"/>
      <c r="C120" s="137"/>
      <c r="D120" s="137"/>
      <c r="E120" s="137"/>
      <c r="F120" s="137"/>
      <c r="G120" s="137"/>
      <c r="H120" s="137"/>
      <c r="I120" s="137"/>
      <c r="J120" s="138"/>
    </row>
    <row r="121" spans="1:10" ht="19.5" customHeight="1">
      <c r="A121" s="136" t="s">
        <v>308</v>
      </c>
      <c r="B121" s="137"/>
      <c r="C121" s="137"/>
      <c r="D121" s="137"/>
      <c r="E121" s="137"/>
      <c r="F121" s="137"/>
      <c r="G121" s="137"/>
      <c r="H121" s="137"/>
      <c r="I121" s="137"/>
      <c r="J121" s="138"/>
    </row>
    <row r="122" spans="1:10" ht="19.5" customHeight="1">
      <c r="A122" s="136" t="s">
        <v>197</v>
      </c>
      <c r="B122" s="137"/>
      <c r="C122" s="137"/>
      <c r="D122" s="137"/>
      <c r="E122" s="137"/>
      <c r="F122" s="137"/>
      <c r="G122" s="137"/>
      <c r="H122" s="137"/>
      <c r="I122" s="137"/>
      <c r="J122" s="138"/>
    </row>
    <row r="123" spans="1:10" ht="19.5" customHeight="1">
      <c r="A123" s="136" t="s">
        <v>316</v>
      </c>
      <c r="B123" s="137"/>
      <c r="C123" s="137"/>
      <c r="D123" s="137"/>
      <c r="E123" s="137"/>
      <c r="F123" s="137"/>
      <c r="G123" s="137"/>
      <c r="H123" s="137"/>
      <c r="I123" s="137"/>
      <c r="J123" s="138"/>
    </row>
    <row r="124" spans="1:10" ht="39" customHeight="1">
      <c r="A124" s="136" t="s">
        <v>309</v>
      </c>
      <c r="B124" s="137"/>
      <c r="C124" s="137"/>
      <c r="D124" s="137"/>
      <c r="E124" s="137"/>
      <c r="F124" s="137"/>
      <c r="G124" s="137"/>
      <c r="H124" s="137"/>
      <c r="I124" s="137"/>
      <c r="J124" s="138"/>
    </row>
    <row r="125" spans="1:10" ht="38.25" customHeight="1">
      <c r="A125" s="116">
        <v>1</v>
      </c>
      <c r="B125" s="117"/>
      <c r="C125" s="36" t="s">
        <v>201</v>
      </c>
      <c r="D125" s="114">
        <f>167.2*10.764</f>
        <v>1799.7407999999998</v>
      </c>
      <c r="E125" s="115"/>
      <c r="F125" s="36">
        <v>0</v>
      </c>
      <c r="G125" s="36">
        <f>D125*1.5+F125</f>
        <v>2699.6111999999998</v>
      </c>
      <c r="H125" s="36" t="s">
        <v>202</v>
      </c>
      <c r="I125" s="101" t="s">
        <v>309</v>
      </c>
      <c r="J125" s="102"/>
    </row>
    <row r="126" spans="1:10" ht="37.5" customHeight="1">
      <c r="A126" s="116">
        <v>2</v>
      </c>
      <c r="B126" s="117"/>
      <c r="C126" s="36" t="s">
        <v>201</v>
      </c>
      <c r="D126" s="114">
        <f>165.41*10.764</f>
        <v>1780.4732399999998</v>
      </c>
      <c r="E126" s="115">
        <f>165.41*10.764</f>
        <v>1780.4732399999998</v>
      </c>
      <c r="F126" s="36">
        <v>0</v>
      </c>
      <c r="G126" s="36">
        <f>D126*1.5+F126</f>
        <v>2670.7098599999999</v>
      </c>
      <c r="H126" s="36" t="s">
        <v>202</v>
      </c>
      <c r="I126" s="103"/>
      <c r="J126" s="104"/>
    </row>
    <row r="127" spans="1:10" ht="38.25" customHeight="1">
      <c r="A127" s="116">
        <v>3</v>
      </c>
      <c r="B127" s="117"/>
      <c r="C127" s="36" t="s">
        <v>201</v>
      </c>
      <c r="D127" s="114">
        <f>167.2*10.764</f>
        <v>1799.7407999999998</v>
      </c>
      <c r="E127" s="115">
        <f>167.2*10.764</f>
        <v>1799.7407999999998</v>
      </c>
      <c r="F127" s="36">
        <v>0</v>
      </c>
      <c r="G127" s="36">
        <f>D127*1.5+F127</f>
        <v>2699.6111999999998</v>
      </c>
      <c r="H127" s="36" t="s">
        <v>202</v>
      </c>
      <c r="I127" s="103"/>
      <c r="J127" s="104"/>
    </row>
    <row r="128" spans="1:10" ht="39" customHeight="1">
      <c r="A128" s="116">
        <v>4</v>
      </c>
      <c r="B128" s="117"/>
      <c r="C128" s="36" t="s">
        <v>201</v>
      </c>
      <c r="D128" s="114">
        <f>165.41*10.764</f>
        <v>1780.4732399999998</v>
      </c>
      <c r="E128" s="115">
        <f>165.41*10.764</f>
        <v>1780.4732399999998</v>
      </c>
      <c r="F128" s="36">
        <v>0</v>
      </c>
      <c r="G128" s="36">
        <f>D128*1.5+F128</f>
        <v>2670.7098599999999</v>
      </c>
      <c r="H128" s="36" t="s">
        <v>202</v>
      </c>
      <c r="I128" s="105"/>
      <c r="J128" s="106"/>
    </row>
    <row r="129" spans="1:10" ht="19.5" customHeight="1">
      <c r="A129" s="123" t="s">
        <v>310</v>
      </c>
      <c r="B129" s="124"/>
      <c r="C129" s="124"/>
      <c r="D129" s="124"/>
      <c r="E129" s="124"/>
      <c r="F129" s="124"/>
      <c r="G129" s="124"/>
      <c r="H129" s="124"/>
      <c r="I129" s="124"/>
      <c r="J129" s="125"/>
    </row>
    <row r="130" spans="1:10" ht="19.5" customHeight="1">
      <c r="A130" s="116">
        <v>1</v>
      </c>
      <c r="B130" s="117"/>
      <c r="C130" s="36" t="s">
        <v>201</v>
      </c>
      <c r="D130" s="114">
        <f>167.2*10.764</f>
        <v>1799.7407999999998</v>
      </c>
      <c r="E130" s="115"/>
      <c r="F130" s="36">
        <v>0</v>
      </c>
      <c r="G130" s="36">
        <f>D130*1.5+F130</f>
        <v>2699.6111999999998</v>
      </c>
      <c r="H130" s="36" t="s">
        <v>202</v>
      </c>
      <c r="I130" s="101" t="s">
        <v>310</v>
      </c>
      <c r="J130" s="102"/>
    </row>
    <row r="131" spans="1:10" ht="19.5" customHeight="1">
      <c r="A131" s="116">
        <v>2</v>
      </c>
      <c r="B131" s="117"/>
      <c r="C131" s="36" t="s">
        <v>201</v>
      </c>
      <c r="D131" s="114">
        <f>165.41*10.764</f>
        <v>1780.4732399999998</v>
      </c>
      <c r="E131" s="115">
        <f>165.41*10.764</f>
        <v>1780.4732399999998</v>
      </c>
      <c r="F131" s="36">
        <v>0</v>
      </c>
      <c r="G131" s="36">
        <f>D131*1.5+F131</f>
        <v>2670.7098599999999</v>
      </c>
      <c r="H131" s="36" t="s">
        <v>202</v>
      </c>
      <c r="I131" s="103"/>
      <c r="J131" s="104"/>
    </row>
    <row r="132" spans="1:10" ht="19.5" customHeight="1">
      <c r="A132" s="116">
        <v>3</v>
      </c>
      <c r="B132" s="117"/>
      <c r="C132" s="116" t="s">
        <v>311</v>
      </c>
      <c r="D132" s="129"/>
      <c r="E132" s="129"/>
      <c r="F132" s="129"/>
      <c r="G132" s="129"/>
      <c r="H132" s="117"/>
      <c r="I132" s="103"/>
      <c r="J132" s="104"/>
    </row>
    <row r="133" spans="1:10" ht="19.5" customHeight="1">
      <c r="A133" s="116">
        <v>4</v>
      </c>
      <c r="B133" s="117"/>
      <c r="C133" s="36" t="s">
        <v>201</v>
      </c>
      <c r="D133" s="114">
        <f>165.41*10.764</f>
        <v>1780.4732399999998</v>
      </c>
      <c r="E133" s="115">
        <f>165.41*10.764</f>
        <v>1780.4732399999998</v>
      </c>
      <c r="F133" s="36">
        <v>0</v>
      </c>
      <c r="G133" s="36">
        <f>D133*1.5+F133</f>
        <v>2670.7098599999999</v>
      </c>
      <c r="H133" s="36" t="s">
        <v>202</v>
      </c>
      <c r="I133" s="105"/>
      <c r="J133" s="106"/>
    </row>
    <row r="134" spans="1:10" ht="19.5" customHeight="1">
      <c r="A134" s="123" t="s">
        <v>312</v>
      </c>
      <c r="B134" s="124"/>
      <c r="C134" s="124"/>
      <c r="D134" s="124"/>
      <c r="E134" s="124"/>
      <c r="F134" s="124"/>
      <c r="G134" s="124"/>
      <c r="H134" s="124"/>
      <c r="I134" s="124"/>
      <c r="J134" s="125"/>
    </row>
    <row r="135" spans="1:10" ht="19.5" customHeight="1">
      <c r="A135" s="116">
        <v>1</v>
      </c>
      <c r="B135" s="117"/>
      <c r="C135" s="36" t="s">
        <v>201</v>
      </c>
      <c r="D135" s="114">
        <f>167.2*10.764</f>
        <v>1799.7407999999998</v>
      </c>
      <c r="E135" s="115"/>
      <c r="F135" s="36">
        <v>0</v>
      </c>
      <c r="G135" s="36">
        <f>D135*1.5+F135</f>
        <v>2699.6111999999998</v>
      </c>
      <c r="H135" s="36" t="s">
        <v>202</v>
      </c>
      <c r="I135" s="101" t="s">
        <v>312</v>
      </c>
      <c r="J135" s="102"/>
    </row>
    <row r="136" spans="1:10" ht="19.5" customHeight="1">
      <c r="A136" s="116">
        <v>2</v>
      </c>
      <c r="B136" s="117"/>
      <c r="C136" s="36" t="s">
        <v>201</v>
      </c>
      <c r="D136" s="114">
        <f>165.41*10.764</f>
        <v>1780.4732399999998</v>
      </c>
      <c r="E136" s="115">
        <f>165.41*10.764</f>
        <v>1780.4732399999998</v>
      </c>
      <c r="F136" s="36">
        <v>0</v>
      </c>
      <c r="G136" s="36">
        <f>D136*1.5+F136</f>
        <v>2670.7098599999999</v>
      </c>
      <c r="H136" s="36" t="s">
        <v>202</v>
      </c>
      <c r="I136" s="103"/>
      <c r="J136" s="104"/>
    </row>
    <row r="137" spans="1:10" ht="19.5" customHeight="1">
      <c r="A137" s="116">
        <v>3</v>
      </c>
      <c r="B137" s="117"/>
      <c r="C137" s="116" t="s">
        <v>313</v>
      </c>
      <c r="D137" s="129"/>
      <c r="E137" s="129"/>
      <c r="F137" s="129"/>
      <c r="G137" s="129"/>
      <c r="H137" s="117"/>
      <c r="I137" s="103"/>
      <c r="J137" s="104"/>
    </row>
    <row r="138" spans="1:10" ht="19.5" customHeight="1">
      <c r="A138" s="116">
        <v>4</v>
      </c>
      <c r="B138" s="117"/>
      <c r="C138" s="36" t="s">
        <v>201</v>
      </c>
      <c r="D138" s="118">
        <f>165.41*10.764</f>
        <v>1780.4732399999998</v>
      </c>
      <c r="E138" s="119">
        <f>165.41*10.764</f>
        <v>1780.4732399999998</v>
      </c>
      <c r="F138" s="36">
        <v>0</v>
      </c>
      <c r="G138" s="36">
        <f>D138*1.5+F138</f>
        <v>2670.7098599999999</v>
      </c>
      <c r="H138" s="36" t="s">
        <v>202</v>
      </c>
      <c r="I138" s="105"/>
      <c r="J138" s="106"/>
    </row>
    <row r="139" spans="1:10" ht="19.5" customHeight="1">
      <c r="A139" s="123" t="s">
        <v>314</v>
      </c>
      <c r="B139" s="124"/>
      <c r="C139" s="124"/>
      <c r="D139" s="124"/>
      <c r="E139" s="124"/>
      <c r="F139" s="124"/>
      <c r="G139" s="124"/>
      <c r="H139" s="124"/>
      <c r="I139" s="124"/>
      <c r="J139" s="125"/>
    </row>
    <row r="140" spans="1:10" ht="19.5" customHeight="1">
      <c r="A140" s="123" t="s">
        <v>315</v>
      </c>
      <c r="B140" s="124"/>
      <c r="C140" s="124"/>
      <c r="D140" s="124"/>
      <c r="E140" s="124"/>
      <c r="F140" s="124"/>
      <c r="G140" s="124"/>
      <c r="H140" s="124"/>
      <c r="I140" s="124"/>
      <c r="J140" s="125"/>
    </row>
    <row r="141" spans="1:10" ht="19.5" customHeight="1">
      <c r="A141" s="116">
        <v>1</v>
      </c>
      <c r="B141" s="117"/>
      <c r="C141" s="36" t="s">
        <v>201</v>
      </c>
      <c r="D141" s="114">
        <f>167.2*10.764</f>
        <v>1799.7407999999998</v>
      </c>
      <c r="E141" s="115"/>
      <c r="F141" s="36">
        <v>0</v>
      </c>
      <c r="G141" s="36">
        <f>D141*1.5+F141</f>
        <v>2699.6111999999998</v>
      </c>
      <c r="H141" s="36" t="s">
        <v>202</v>
      </c>
      <c r="I141" s="101" t="s">
        <v>315</v>
      </c>
      <c r="J141" s="102"/>
    </row>
    <row r="142" spans="1:10" ht="19.5" customHeight="1">
      <c r="A142" s="116">
        <v>2</v>
      </c>
      <c r="B142" s="117"/>
      <c r="C142" s="36" t="s">
        <v>201</v>
      </c>
      <c r="D142" s="114">
        <f>165.41*10.764</f>
        <v>1780.4732399999998</v>
      </c>
      <c r="E142" s="115">
        <f>165.41*10.764</f>
        <v>1780.4732399999998</v>
      </c>
      <c r="F142" s="36">
        <v>0</v>
      </c>
      <c r="G142" s="36">
        <f>D142*1.5+F142</f>
        <v>2670.7098599999999</v>
      </c>
      <c r="H142" s="36" t="s">
        <v>202</v>
      </c>
      <c r="I142" s="103"/>
      <c r="J142" s="104"/>
    </row>
    <row r="143" spans="1:10" ht="19.5" customHeight="1">
      <c r="A143" s="116">
        <v>3</v>
      </c>
      <c r="B143" s="117"/>
      <c r="C143" s="116" t="s">
        <v>311</v>
      </c>
      <c r="D143" s="129"/>
      <c r="E143" s="129"/>
      <c r="F143" s="129"/>
      <c r="G143" s="129"/>
      <c r="H143" s="117"/>
      <c r="I143" s="103"/>
      <c r="J143" s="104"/>
    </row>
    <row r="144" spans="1:10" ht="19.5" customHeight="1">
      <c r="A144" s="116">
        <v>4</v>
      </c>
      <c r="B144" s="117"/>
      <c r="C144" s="36" t="s">
        <v>201</v>
      </c>
      <c r="D144" s="114">
        <f>165.41*10.764</f>
        <v>1780.4732399999998</v>
      </c>
      <c r="E144" s="115">
        <f>165.41*10.764</f>
        <v>1780.4732399999998</v>
      </c>
      <c r="F144" s="36">
        <v>0</v>
      </c>
      <c r="G144" s="36">
        <f>D144*1.5+F144</f>
        <v>2670.7098599999999</v>
      </c>
      <c r="H144" s="36" t="s">
        <v>202</v>
      </c>
      <c r="I144" s="105"/>
      <c r="J144" s="106"/>
    </row>
    <row r="145" spans="1:10" ht="19.5" customHeight="1">
      <c r="A145" s="133" t="s">
        <v>234</v>
      </c>
      <c r="B145" s="134"/>
      <c r="C145" s="134"/>
      <c r="D145" s="134"/>
      <c r="E145" s="134"/>
      <c r="F145" s="134"/>
      <c r="G145" s="134"/>
      <c r="H145" s="134"/>
      <c r="I145" s="134"/>
      <c r="J145" s="135"/>
    </row>
    <row r="146" spans="1:10" ht="19.5" customHeight="1">
      <c r="A146" s="136" t="s">
        <v>235</v>
      </c>
      <c r="B146" s="137"/>
      <c r="C146" s="137"/>
      <c r="D146" s="137"/>
      <c r="E146" s="137"/>
      <c r="F146" s="137"/>
      <c r="G146" s="137"/>
      <c r="H146" s="137"/>
      <c r="I146" s="137"/>
      <c r="J146" s="138"/>
    </row>
    <row r="147" spans="1:10" ht="19.5" customHeight="1">
      <c r="A147" s="136" t="s">
        <v>195</v>
      </c>
      <c r="B147" s="137"/>
      <c r="C147" s="137"/>
      <c r="D147" s="137"/>
      <c r="E147" s="137"/>
      <c r="F147" s="137"/>
      <c r="G147" s="137"/>
      <c r="H147" s="137"/>
      <c r="I147" s="137"/>
      <c r="J147" s="138"/>
    </row>
    <row r="148" spans="1:10" ht="19.5" customHeight="1">
      <c r="A148" s="136" t="s">
        <v>236</v>
      </c>
      <c r="B148" s="137"/>
      <c r="C148" s="137"/>
      <c r="D148" s="137"/>
      <c r="E148" s="137"/>
      <c r="F148" s="137"/>
      <c r="G148" s="137"/>
      <c r="H148" s="137"/>
      <c r="I148" s="137"/>
      <c r="J148" s="138"/>
    </row>
    <row r="149" spans="1:10" ht="19.5" customHeight="1">
      <c r="A149" s="136" t="s">
        <v>317</v>
      </c>
      <c r="B149" s="137"/>
      <c r="C149" s="137"/>
      <c r="D149" s="137"/>
      <c r="E149" s="137"/>
      <c r="F149" s="137"/>
      <c r="G149" s="137"/>
      <c r="H149" s="137"/>
      <c r="I149" s="137"/>
      <c r="J149" s="138"/>
    </row>
    <row r="150" spans="1:10" ht="19.5" customHeight="1">
      <c r="A150" s="123" t="s">
        <v>318</v>
      </c>
      <c r="B150" s="124"/>
      <c r="C150" s="124"/>
      <c r="D150" s="124"/>
      <c r="E150" s="124"/>
      <c r="F150" s="124"/>
      <c r="G150" s="124"/>
      <c r="H150" s="124"/>
      <c r="I150" s="124"/>
      <c r="J150" s="125"/>
    </row>
    <row r="151" spans="1:10" ht="19.5" customHeight="1">
      <c r="A151" s="116">
        <v>1</v>
      </c>
      <c r="B151" s="117"/>
      <c r="C151" s="37" t="s">
        <v>201</v>
      </c>
      <c r="D151" s="114">
        <f>130.39*10.764</f>
        <v>1403.5179599999997</v>
      </c>
      <c r="E151" s="115"/>
      <c r="F151" s="36">
        <v>0</v>
      </c>
      <c r="G151" s="36">
        <f t="shared" ref="G151:G157" si="0">D151*1.5+F151</f>
        <v>2105.2769399999997</v>
      </c>
      <c r="H151" s="36" t="s">
        <v>202</v>
      </c>
      <c r="I151" s="101" t="s">
        <v>319</v>
      </c>
      <c r="J151" s="102"/>
    </row>
    <row r="152" spans="1:10" ht="19.5" customHeight="1">
      <c r="A152" s="116">
        <v>2</v>
      </c>
      <c r="B152" s="117"/>
      <c r="C152" s="37" t="s">
        <v>243</v>
      </c>
      <c r="D152" s="114">
        <f>114.79*10.764</f>
        <v>1235.5995599999999</v>
      </c>
      <c r="E152" s="115">
        <f>114.79*10.764</f>
        <v>1235.5995599999999</v>
      </c>
      <c r="F152" s="36">
        <v>0</v>
      </c>
      <c r="G152" s="36">
        <f t="shared" si="0"/>
        <v>1853.3993399999999</v>
      </c>
      <c r="H152" s="36" t="s">
        <v>202</v>
      </c>
      <c r="I152" s="103"/>
      <c r="J152" s="104"/>
    </row>
    <row r="153" spans="1:10" ht="19.5" customHeight="1">
      <c r="A153" s="116">
        <v>3</v>
      </c>
      <c r="B153" s="117"/>
      <c r="C153" s="37" t="s">
        <v>201</v>
      </c>
      <c r="D153" s="114">
        <f>130.39*10.764</f>
        <v>1403.5179599999997</v>
      </c>
      <c r="E153" s="115">
        <f>130.29*10.764</f>
        <v>1402.4415599999998</v>
      </c>
      <c r="F153" s="36">
        <v>0</v>
      </c>
      <c r="G153" s="36">
        <f t="shared" si="0"/>
        <v>2105.2769399999997</v>
      </c>
      <c r="H153" s="36" t="s">
        <v>202</v>
      </c>
      <c r="I153" s="103"/>
      <c r="J153" s="104"/>
    </row>
    <row r="154" spans="1:10" ht="19.5" customHeight="1">
      <c r="A154" s="116">
        <v>4</v>
      </c>
      <c r="B154" s="117"/>
      <c r="C154" s="37" t="s">
        <v>243</v>
      </c>
      <c r="D154" s="114">
        <f>115.15*10.764</f>
        <v>1239.4746</v>
      </c>
      <c r="E154" s="115">
        <f>115.15*10.764</f>
        <v>1239.4746</v>
      </c>
      <c r="F154" s="36">
        <v>0</v>
      </c>
      <c r="G154" s="36">
        <f t="shared" si="0"/>
        <v>1859.2119</v>
      </c>
      <c r="H154" s="36" t="s">
        <v>202</v>
      </c>
      <c r="I154" s="103"/>
      <c r="J154" s="104"/>
    </row>
    <row r="155" spans="1:10" ht="19.5" customHeight="1">
      <c r="A155" s="116">
        <v>5</v>
      </c>
      <c r="B155" s="117"/>
      <c r="C155" s="37" t="s">
        <v>243</v>
      </c>
      <c r="D155" s="114">
        <f>123.2*10.764</f>
        <v>1326.1248000000001</v>
      </c>
      <c r="E155" s="115">
        <f>123.2*10.764</f>
        <v>1326.1248000000001</v>
      </c>
      <c r="F155" s="36">
        <v>0</v>
      </c>
      <c r="G155" s="36">
        <f t="shared" si="0"/>
        <v>1989.1872000000001</v>
      </c>
      <c r="H155" s="36" t="s">
        <v>202</v>
      </c>
      <c r="I155" s="103"/>
      <c r="J155" s="104"/>
    </row>
    <row r="156" spans="1:10" ht="19.5" customHeight="1">
      <c r="A156" s="116">
        <v>6</v>
      </c>
      <c r="B156" s="117"/>
      <c r="C156" s="37" t="s">
        <v>243</v>
      </c>
      <c r="D156" s="114">
        <f>123.2*10.764</f>
        <v>1326.1248000000001</v>
      </c>
      <c r="E156" s="115">
        <f>123.2*10.764</f>
        <v>1326.1248000000001</v>
      </c>
      <c r="F156" s="36">
        <v>0</v>
      </c>
      <c r="G156" s="36">
        <f t="shared" si="0"/>
        <v>1989.1872000000001</v>
      </c>
      <c r="H156" s="36" t="s">
        <v>202</v>
      </c>
      <c r="I156" s="103"/>
      <c r="J156" s="104"/>
    </row>
    <row r="157" spans="1:10" ht="19.5" customHeight="1">
      <c r="A157" s="116">
        <v>7</v>
      </c>
      <c r="B157" s="117"/>
      <c r="C157" s="37" t="s">
        <v>243</v>
      </c>
      <c r="D157" s="118">
        <f>115.15*10.764</f>
        <v>1239.4746</v>
      </c>
      <c r="E157" s="119">
        <f>115.15*10.764</f>
        <v>1239.4746</v>
      </c>
      <c r="F157" s="36">
        <v>0</v>
      </c>
      <c r="G157" s="36">
        <f t="shared" si="0"/>
        <v>1859.2119</v>
      </c>
      <c r="H157" s="36" t="s">
        <v>202</v>
      </c>
      <c r="I157" s="105"/>
      <c r="J157" s="106"/>
    </row>
    <row r="158" spans="1:10" ht="19.5" customHeight="1">
      <c r="A158" s="123" t="s">
        <v>320</v>
      </c>
      <c r="B158" s="129"/>
      <c r="C158" s="129"/>
      <c r="D158" s="129"/>
      <c r="E158" s="129"/>
      <c r="F158" s="129"/>
      <c r="G158" s="129"/>
      <c r="H158" s="129"/>
      <c r="I158" s="129"/>
      <c r="J158" s="117"/>
    </row>
    <row r="159" spans="1:10" ht="19.5" customHeight="1">
      <c r="A159" s="116">
        <v>1</v>
      </c>
      <c r="B159" s="117"/>
      <c r="C159" s="126" t="s">
        <v>311</v>
      </c>
      <c r="D159" s="127"/>
      <c r="E159" s="127"/>
      <c r="F159" s="127"/>
      <c r="G159" s="127"/>
      <c r="H159" s="128"/>
      <c r="I159" s="101" t="s">
        <v>320</v>
      </c>
      <c r="J159" s="102"/>
    </row>
    <row r="160" spans="1:10" ht="19.5" customHeight="1">
      <c r="A160" s="116">
        <v>2</v>
      </c>
      <c r="B160" s="117"/>
      <c r="C160" s="126" t="s">
        <v>311</v>
      </c>
      <c r="D160" s="127"/>
      <c r="E160" s="127"/>
      <c r="F160" s="127"/>
      <c r="G160" s="127"/>
      <c r="H160" s="128"/>
      <c r="I160" s="103"/>
      <c r="J160" s="104"/>
    </row>
    <row r="161" spans="1:10" ht="19.5" customHeight="1">
      <c r="A161" s="116">
        <v>3</v>
      </c>
      <c r="B161" s="117"/>
      <c r="C161" s="37" t="s">
        <v>201</v>
      </c>
      <c r="D161" s="114">
        <f>130.39*10.764</f>
        <v>1403.5179599999997</v>
      </c>
      <c r="E161" s="115">
        <f>130.29*10.764</f>
        <v>1402.4415599999998</v>
      </c>
      <c r="F161" s="36">
        <v>0</v>
      </c>
      <c r="G161" s="36">
        <f>D161*1.5+F161</f>
        <v>2105.2769399999997</v>
      </c>
      <c r="H161" s="36" t="s">
        <v>202</v>
      </c>
      <c r="I161" s="103"/>
      <c r="J161" s="104"/>
    </row>
    <row r="162" spans="1:10" ht="19.5" customHeight="1">
      <c r="A162" s="116">
        <v>4</v>
      </c>
      <c r="B162" s="117"/>
      <c r="C162" s="37" t="s">
        <v>243</v>
      </c>
      <c r="D162" s="114">
        <f>115.15*10.764</f>
        <v>1239.4746</v>
      </c>
      <c r="E162" s="115">
        <f>115.15*10.764</f>
        <v>1239.4746</v>
      </c>
      <c r="F162" s="36">
        <v>0</v>
      </c>
      <c r="G162" s="36">
        <f>D162*1.5+F162</f>
        <v>1859.2119</v>
      </c>
      <c r="H162" s="36" t="s">
        <v>202</v>
      </c>
      <c r="I162" s="103"/>
      <c r="J162" s="104"/>
    </row>
    <row r="163" spans="1:10" ht="19.5" customHeight="1">
      <c r="A163" s="116">
        <v>5</v>
      </c>
      <c r="B163" s="117"/>
      <c r="C163" s="37" t="s">
        <v>243</v>
      </c>
      <c r="D163" s="114">
        <f>123.2*10.764</f>
        <v>1326.1248000000001</v>
      </c>
      <c r="E163" s="115">
        <f>123.2*10.764</f>
        <v>1326.1248000000001</v>
      </c>
      <c r="F163" s="36">
        <v>0</v>
      </c>
      <c r="G163" s="36">
        <f>D163*1.5+F163</f>
        <v>1989.1872000000001</v>
      </c>
      <c r="H163" s="36" t="s">
        <v>202</v>
      </c>
      <c r="I163" s="103"/>
      <c r="J163" s="104"/>
    </row>
    <row r="164" spans="1:10" ht="19.5" customHeight="1">
      <c r="A164" s="116">
        <v>6</v>
      </c>
      <c r="B164" s="117"/>
      <c r="C164" s="37" t="s">
        <v>243</v>
      </c>
      <c r="D164" s="114">
        <f>123.2*10.764</f>
        <v>1326.1248000000001</v>
      </c>
      <c r="E164" s="115">
        <f>123.2*10.764</f>
        <v>1326.1248000000001</v>
      </c>
      <c r="F164" s="36">
        <v>0</v>
      </c>
      <c r="G164" s="36">
        <f>D164*1.5+F164</f>
        <v>1989.1872000000001</v>
      </c>
      <c r="H164" s="36" t="s">
        <v>202</v>
      </c>
      <c r="I164" s="103"/>
      <c r="J164" s="104"/>
    </row>
    <row r="165" spans="1:10" ht="19.5" customHeight="1">
      <c r="A165" s="116">
        <v>7</v>
      </c>
      <c r="B165" s="117"/>
      <c r="C165" s="37" t="s">
        <v>243</v>
      </c>
      <c r="D165" s="118">
        <f>115.15*10.764</f>
        <v>1239.4746</v>
      </c>
      <c r="E165" s="119">
        <f>115.15*10.764</f>
        <v>1239.4746</v>
      </c>
      <c r="F165" s="36">
        <v>0</v>
      </c>
      <c r="G165" s="36">
        <f>D165*1.5+F165</f>
        <v>1859.2119</v>
      </c>
      <c r="H165" s="36" t="s">
        <v>202</v>
      </c>
      <c r="I165" s="105"/>
      <c r="J165" s="106"/>
    </row>
    <row r="166" spans="1:10" ht="134.25" customHeight="1">
      <c r="A166" s="235" t="s">
        <v>321</v>
      </c>
      <c r="B166" s="236"/>
      <c r="C166" s="236"/>
      <c r="D166" s="236"/>
      <c r="E166" s="236"/>
      <c r="F166" s="236"/>
      <c r="G166" s="236"/>
      <c r="H166" s="236"/>
      <c r="I166" s="236"/>
      <c r="J166" s="237"/>
    </row>
    <row r="167" spans="1:10">
      <c r="A167" s="91" t="s">
        <v>253</v>
      </c>
      <c r="B167" s="92"/>
      <c r="C167" s="92"/>
      <c r="D167" s="92"/>
      <c r="E167" s="92"/>
      <c r="F167" s="92"/>
      <c r="G167" s="92"/>
      <c r="H167" s="92"/>
      <c r="I167" s="92"/>
      <c r="J167" s="93"/>
    </row>
    <row r="168" spans="1:10">
      <c r="A168" s="88" t="s">
        <v>254</v>
      </c>
      <c r="B168" s="89"/>
      <c r="C168" s="89"/>
      <c r="D168" s="89"/>
      <c r="E168" s="89"/>
      <c r="F168" s="89"/>
      <c r="G168" s="89"/>
      <c r="H168" s="89"/>
      <c r="I168" s="89"/>
      <c r="J168" s="90"/>
    </row>
    <row r="169" spans="1:10">
      <c r="A169" s="91" t="s">
        <v>255</v>
      </c>
      <c r="B169" s="92"/>
      <c r="C169" s="92"/>
      <c r="D169" s="92"/>
      <c r="E169" s="92"/>
      <c r="F169" s="92"/>
      <c r="G169" s="92"/>
      <c r="H169" s="92"/>
      <c r="I169" s="92"/>
      <c r="J169" s="93"/>
    </row>
    <row r="170" spans="1:10">
      <c r="A170" s="88" t="s">
        <v>256</v>
      </c>
      <c r="B170" s="89"/>
      <c r="C170" s="89"/>
      <c r="D170" s="89"/>
      <c r="E170" s="89"/>
      <c r="F170" s="89"/>
      <c r="G170" s="89"/>
      <c r="H170" s="89"/>
      <c r="I170" s="89"/>
      <c r="J170" s="90"/>
    </row>
    <row r="171" spans="1:10" ht="16.5" customHeight="1">
      <c r="A171" s="94" t="s">
        <v>257</v>
      </c>
      <c r="B171" s="95"/>
      <c r="C171" s="95"/>
      <c r="D171" s="95"/>
      <c r="E171" s="95"/>
      <c r="F171" s="95"/>
      <c r="G171" s="95"/>
      <c r="H171" s="95"/>
      <c r="I171" s="95"/>
      <c r="J171" s="96"/>
    </row>
    <row r="172" spans="1:10">
      <c r="A172" s="88" t="s">
        <v>258</v>
      </c>
      <c r="B172" s="89"/>
      <c r="C172" s="89"/>
      <c r="D172" s="89"/>
      <c r="E172" s="89"/>
      <c r="F172" s="89"/>
      <c r="G172" s="89"/>
      <c r="H172" s="89"/>
      <c r="I172" s="89"/>
      <c r="J172" s="90"/>
    </row>
    <row r="173" spans="1:10">
      <c r="A173" s="88" t="s">
        <v>259</v>
      </c>
      <c r="B173" s="89"/>
      <c r="C173" s="89"/>
      <c r="D173" s="89"/>
      <c r="E173" s="89"/>
      <c r="F173" s="89"/>
      <c r="G173" s="89"/>
      <c r="H173" s="89"/>
      <c r="I173" s="89"/>
      <c r="J173" s="90"/>
    </row>
    <row r="174" spans="1:10" ht="30.75" customHeight="1">
      <c r="A174" s="97" t="s">
        <v>260</v>
      </c>
      <c r="B174" s="98"/>
      <c r="C174" s="98"/>
      <c r="D174" s="98"/>
      <c r="E174" s="98"/>
      <c r="F174" s="98"/>
      <c r="G174" s="98"/>
      <c r="H174" s="98"/>
      <c r="I174" s="98"/>
      <c r="J174" s="99"/>
    </row>
    <row r="175" spans="1:10" ht="15" customHeight="1">
      <c r="A175" s="108" t="s">
        <v>261</v>
      </c>
      <c r="B175" s="109"/>
      <c r="C175" s="109"/>
      <c r="D175" s="109"/>
      <c r="E175" s="109"/>
      <c r="F175" s="109"/>
      <c r="G175" s="109"/>
      <c r="H175" s="109"/>
      <c r="I175" s="109"/>
      <c r="J175" s="110"/>
    </row>
    <row r="176" spans="1:10">
      <c r="A176" s="111"/>
      <c r="B176" s="112"/>
      <c r="C176" s="112"/>
      <c r="D176" s="112"/>
      <c r="E176" s="112"/>
      <c r="F176" s="112"/>
      <c r="G176" s="112"/>
      <c r="H176" s="112"/>
      <c r="I176" s="112"/>
      <c r="J176" s="113"/>
    </row>
    <row r="177" spans="1:10">
      <c r="A177" s="111"/>
      <c r="B177" s="112"/>
      <c r="C177" s="112"/>
      <c r="D177" s="112"/>
      <c r="E177" s="112"/>
      <c r="F177" s="112"/>
      <c r="G177" s="112"/>
      <c r="H177" s="112"/>
      <c r="I177" s="112"/>
      <c r="J177" s="113"/>
    </row>
    <row r="178" spans="1:10">
      <c r="A178" s="232"/>
      <c r="B178" s="233"/>
      <c r="C178" s="233"/>
      <c r="D178" s="233"/>
      <c r="E178" s="233"/>
      <c r="F178" s="233"/>
      <c r="G178" s="233"/>
      <c r="H178" s="233"/>
      <c r="I178" s="233"/>
      <c r="J178" s="234"/>
    </row>
    <row r="212" spans="1:10" ht="31.5" customHeight="1"/>
    <row r="213" spans="1:10" ht="31.5" customHeight="1"/>
    <row r="214" spans="1:10" ht="15" customHeight="1">
      <c r="A214" s="38"/>
      <c r="B214" s="39"/>
      <c r="C214" s="39"/>
      <c r="D214" s="39"/>
      <c r="E214" s="39"/>
      <c r="F214" s="39"/>
      <c r="G214" s="39"/>
      <c r="H214" s="39"/>
      <c r="I214" s="39"/>
      <c r="J214" s="39"/>
    </row>
    <row r="215" spans="1:10">
      <c r="A215" s="38" t="s">
        <v>262</v>
      </c>
      <c r="B215" s="39"/>
      <c r="C215" s="39"/>
      <c r="D215" s="39"/>
      <c r="E215" s="40" t="str">
        <f>F8</f>
        <v>Rustomjee Crown</v>
      </c>
      <c r="G215" s="39"/>
      <c r="H215" s="39"/>
      <c r="I215" s="39"/>
      <c r="J215" s="39"/>
    </row>
    <row r="216" spans="1:10">
      <c r="A216" s="39"/>
      <c r="B216" s="39"/>
      <c r="C216" s="39"/>
      <c r="D216" s="39"/>
      <c r="E216" s="39"/>
      <c r="F216" s="39"/>
      <c r="G216" s="39"/>
      <c r="H216" s="39"/>
      <c r="I216" s="39"/>
      <c r="J216" s="39"/>
    </row>
    <row r="217" spans="1:10">
      <c r="A217" s="39"/>
      <c r="B217" s="39"/>
      <c r="C217" s="39"/>
      <c r="D217" s="39"/>
      <c r="E217" s="39"/>
      <c r="F217" s="39"/>
      <c r="G217" s="39"/>
      <c r="H217" s="39"/>
      <c r="I217" s="39"/>
      <c r="J217" s="39"/>
    </row>
    <row r="236" spans="2:8">
      <c r="B236" s="100" t="s">
        <v>322</v>
      </c>
      <c r="C236" s="100"/>
      <c r="D236" s="100"/>
      <c r="E236" s="100"/>
      <c r="F236" s="100"/>
      <c r="G236" s="100"/>
      <c r="H236" s="100"/>
    </row>
    <row r="259" spans="1:3">
      <c r="B259" s="100" t="s">
        <v>323</v>
      </c>
      <c r="C259" s="100"/>
    </row>
    <row r="262" spans="1:3">
      <c r="A262" s="41" t="s">
        <v>263</v>
      </c>
    </row>
  </sheetData>
  <mergeCells count="329">
    <mergeCell ref="A1:J1"/>
    <mergeCell ref="A2:J2"/>
    <mergeCell ref="A3:E3"/>
    <mergeCell ref="F3:J3"/>
    <mergeCell ref="A4:E4"/>
    <mergeCell ref="F4:J4"/>
    <mergeCell ref="A5:E5"/>
    <mergeCell ref="F5:J5"/>
    <mergeCell ref="A6:E6"/>
    <mergeCell ref="F6:J6"/>
    <mergeCell ref="A7:E7"/>
    <mergeCell ref="F7:J7"/>
    <mergeCell ref="A8:E8"/>
    <mergeCell ref="F8:J8"/>
    <mergeCell ref="A9:E9"/>
    <mergeCell ref="F9:J9"/>
    <mergeCell ref="A10:E10"/>
    <mergeCell ref="F10:J10"/>
    <mergeCell ref="A11:E11"/>
    <mergeCell ref="F11:J11"/>
    <mergeCell ref="A12:E12"/>
    <mergeCell ref="F12:J12"/>
    <mergeCell ref="A13:B13"/>
    <mergeCell ref="C13:J13"/>
    <mergeCell ref="B14:D14"/>
    <mergeCell ref="E14:F14"/>
    <mergeCell ref="I14:J14"/>
    <mergeCell ref="B15:E15"/>
    <mergeCell ref="G15:J15"/>
    <mergeCell ref="B16:E16"/>
    <mergeCell ref="G16:J16"/>
    <mergeCell ref="A17:B17"/>
    <mergeCell ref="C17:E17"/>
    <mergeCell ref="F17:G17"/>
    <mergeCell ref="H17:J17"/>
    <mergeCell ref="A22:E22"/>
    <mergeCell ref="F22:J22"/>
    <mergeCell ref="A23:E23"/>
    <mergeCell ref="F23:J23"/>
    <mergeCell ref="A20:E21"/>
    <mergeCell ref="F20:J21"/>
    <mergeCell ref="A18:E19"/>
    <mergeCell ref="F18:J19"/>
    <mergeCell ref="A24:E24"/>
    <mergeCell ref="F24:J24"/>
    <mergeCell ref="A25:E25"/>
    <mergeCell ref="F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J29"/>
    <mergeCell ref="A30:J30"/>
    <mergeCell ref="A31:B31"/>
    <mergeCell ref="C31:D31"/>
    <mergeCell ref="E31:F31"/>
    <mergeCell ref="G31:H31"/>
    <mergeCell ref="I31:J31"/>
    <mergeCell ref="A32:J32"/>
    <mergeCell ref="A35:E35"/>
    <mergeCell ref="F35:J35"/>
    <mergeCell ref="A33:J34"/>
    <mergeCell ref="A36:E36"/>
    <mergeCell ref="F36:J36"/>
    <mergeCell ref="A37:E37"/>
    <mergeCell ref="F37:J37"/>
    <mergeCell ref="A38:E38"/>
    <mergeCell ref="F38:J38"/>
    <mergeCell ref="A39:E39"/>
    <mergeCell ref="F39:J39"/>
    <mergeCell ref="A40:E40"/>
    <mergeCell ref="F40:J40"/>
    <mergeCell ref="A41:J41"/>
    <mergeCell ref="A42:B42"/>
    <mergeCell ref="C42:F42"/>
    <mergeCell ref="H42:J42"/>
    <mergeCell ref="A43:B43"/>
    <mergeCell ref="C43:F43"/>
    <mergeCell ref="H43:J43"/>
    <mergeCell ref="A44:B44"/>
    <mergeCell ref="C44:F44"/>
    <mergeCell ref="I44:J44"/>
    <mergeCell ref="A45:B45"/>
    <mergeCell ref="C45:F45"/>
    <mergeCell ref="H45:J45"/>
    <mergeCell ref="A46:C46"/>
    <mergeCell ref="D46:E46"/>
    <mergeCell ref="F46:G46"/>
    <mergeCell ref="H46:J46"/>
    <mergeCell ref="A47:J47"/>
    <mergeCell ref="A48:C48"/>
    <mergeCell ref="D48:E48"/>
    <mergeCell ref="F48:H48"/>
    <mergeCell ref="I48:J48"/>
    <mergeCell ref="B49:F49"/>
    <mergeCell ref="G49:J49"/>
    <mergeCell ref="A50:E50"/>
    <mergeCell ref="F50:J50"/>
    <mergeCell ref="A51:J51"/>
    <mergeCell ref="A52:J52"/>
    <mergeCell ref="A53:J53"/>
    <mergeCell ref="C54:E54"/>
    <mergeCell ref="F54:G54"/>
    <mergeCell ref="C60:E60"/>
    <mergeCell ref="F60:G60"/>
    <mergeCell ref="C61:E61"/>
    <mergeCell ref="F61:G61"/>
    <mergeCell ref="A62:C62"/>
    <mergeCell ref="D62:E62"/>
    <mergeCell ref="F62:H62"/>
    <mergeCell ref="I62:J62"/>
    <mergeCell ref="A63:J63"/>
    <mergeCell ref="A54:B61"/>
    <mergeCell ref="H54:J61"/>
    <mergeCell ref="C55:E55"/>
    <mergeCell ref="F55:G55"/>
    <mergeCell ref="C56:E56"/>
    <mergeCell ref="F56:G56"/>
    <mergeCell ref="C57:E57"/>
    <mergeCell ref="F57:G57"/>
    <mergeCell ref="C58:E58"/>
    <mergeCell ref="F58:G58"/>
    <mergeCell ref="C59:E59"/>
    <mergeCell ref="F59:G59"/>
    <mergeCell ref="C69:E69"/>
    <mergeCell ref="F69:G69"/>
    <mergeCell ref="C70:E70"/>
    <mergeCell ref="F70:G70"/>
    <mergeCell ref="C71:E71"/>
    <mergeCell ref="F71:G71"/>
    <mergeCell ref="A72:C72"/>
    <mergeCell ref="D72:E72"/>
    <mergeCell ref="F72:H72"/>
    <mergeCell ref="H64:J71"/>
    <mergeCell ref="A64:B71"/>
    <mergeCell ref="C64:E64"/>
    <mergeCell ref="F64:G64"/>
    <mergeCell ref="C65:E65"/>
    <mergeCell ref="F65:G65"/>
    <mergeCell ref="C66:E66"/>
    <mergeCell ref="F66:G66"/>
    <mergeCell ref="C67:E67"/>
    <mergeCell ref="F67:G67"/>
    <mergeCell ref="C68:E68"/>
    <mergeCell ref="F68:G68"/>
    <mergeCell ref="I72:J72"/>
    <mergeCell ref="A73:J73"/>
    <mergeCell ref="A74:J74"/>
    <mergeCell ref="A77:J77"/>
    <mergeCell ref="A78:F78"/>
    <mergeCell ref="G78:J78"/>
    <mergeCell ref="A79:F79"/>
    <mergeCell ref="G79:J79"/>
    <mergeCell ref="A80:F80"/>
    <mergeCell ref="G80:J80"/>
    <mergeCell ref="A75:J76"/>
    <mergeCell ref="A81:F81"/>
    <mergeCell ref="G81:J81"/>
    <mergeCell ref="A82:F82"/>
    <mergeCell ref="G82:J82"/>
    <mergeCell ref="A83:F83"/>
    <mergeCell ref="G83:J83"/>
    <mergeCell ref="A84:F84"/>
    <mergeCell ref="G84:J84"/>
    <mergeCell ref="A85:F85"/>
    <mergeCell ref="G85:J85"/>
    <mergeCell ref="A86:F86"/>
    <mergeCell ref="G86:J86"/>
    <mergeCell ref="A87:F87"/>
    <mergeCell ref="G87:J87"/>
    <mergeCell ref="A88:J88"/>
    <mergeCell ref="A89:J89"/>
    <mergeCell ref="A90:B90"/>
    <mergeCell ref="D90:E90"/>
    <mergeCell ref="I90:J90"/>
    <mergeCell ref="A91:J91"/>
    <mergeCell ref="A92:J92"/>
    <mergeCell ref="A93:J93"/>
    <mergeCell ref="A94:J94"/>
    <mergeCell ref="A95:J95"/>
    <mergeCell ref="A96:J96"/>
    <mergeCell ref="A97:J97"/>
    <mergeCell ref="A98:B98"/>
    <mergeCell ref="D98:E98"/>
    <mergeCell ref="A99:B99"/>
    <mergeCell ref="D99:E99"/>
    <mergeCell ref="A100:B100"/>
    <mergeCell ref="D100:E100"/>
    <mergeCell ref="A101:B101"/>
    <mergeCell ref="D101:E101"/>
    <mergeCell ref="A102:J102"/>
    <mergeCell ref="A103:B103"/>
    <mergeCell ref="C103:H103"/>
    <mergeCell ref="A104:B104"/>
    <mergeCell ref="D104:E104"/>
    <mergeCell ref="A105:B105"/>
    <mergeCell ref="D105:E105"/>
    <mergeCell ref="A106:B106"/>
    <mergeCell ref="D106:E106"/>
    <mergeCell ref="A107:J107"/>
    <mergeCell ref="A108:B108"/>
    <mergeCell ref="C108:H108"/>
    <mergeCell ref="A109:B109"/>
    <mergeCell ref="D109:E109"/>
    <mergeCell ref="A110:B110"/>
    <mergeCell ref="D110:E110"/>
    <mergeCell ref="A111:B111"/>
    <mergeCell ref="D111:E111"/>
    <mergeCell ref="A112:J112"/>
    <mergeCell ref="A113:J113"/>
    <mergeCell ref="A114:B114"/>
    <mergeCell ref="C114:H114"/>
    <mergeCell ref="A115:B115"/>
    <mergeCell ref="D115:E115"/>
    <mergeCell ref="A116:B116"/>
    <mergeCell ref="D116:E116"/>
    <mergeCell ref="A117:B117"/>
    <mergeCell ref="D117:E117"/>
    <mergeCell ref="A118:J118"/>
    <mergeCell ref="A119:J119"/>
    <mergeCell ref="A120:J120"/>
    <mergeCell ref="A121:J121"/>
    <mergeCell ref="A122:J122"/>
    <mergeCell ref="A123:J123"/>
    <mergeCell ref="A124:J124"/>
    <mergeCell ref="A125:B125"/>
    <mergeCell ref="D125:E125"/>
    <mergeCell ref="A126:B126"/>
    <mergeCell ref="D126:E126"/>
    <mergeCell ref="A127:B127"/>
    <mergeCell ref="D127:E127"/>
    <mergeCell ref="A128:B128"/>
    <mergeCell ref="D128:E128"/>
    <mergeCell ref="A129:J129"/>
    <mergeCell ref="A130:B130"/>
    <mergeCell ref="D130:E130"/>
    <mergeCell ref="A131:B131"/>
    <mergeCell ref="D131:E131"/>
    <mergeCell ref="A132:B132"/>
    <mergeCell ref="C132:H132"/>
    <mergeCell ref="A133:B133"/>
    <mergeCell ref="D133:E133"/>
    <mergeCell ref="A134:J134"/>
    <mergeCell ref="A135:B135"/>
    <mergeCell ref="D135:E135"/>
    <mergeCell ref="A136:B136"/>
    <mergeCell ref="D136:E136"/>
    <mergeCell ref="A137:B137"/>
    <mergeCell ref="C137:H137"/>
    <mergeCell ref="A138:B138"/>
    <mergeCell ref="D138:E138"/>
    <mergeCell ref="A139:J139"/>
    <mergeCell ref="A140:J140"/>
    <mergeCell ref="A141:B141"/>
    <mergeCell ref="D141:E141"/>
    <mergeCell ref="A142:B142"/>
    <mergeCell ref="D142:E142"/>
    <mergeCell ref="A143:B143"/>
    <mergeCell ref="C143:H143"/>
    <mergeCell ref="A144:B144"/>
    <mergeCell ref="D144:E144"/>
    <mergeCell ref="A145:J145"/>
    <mergeCell ref="A146:J146"/>
    <mergeCell ref="A147:J147"/>
    <mergeCell ref="A148:J148"/>
    <mergeCell ref="A149:J149"/>
    <mergeCell ref="A150:J150"/>
    <mergeCell ref="A151:B151"/>
    <mergeCell ref="D151:E151"/>
    <mergeCell ref="A152:B152"/>
    <mergeCell ref="D152:E152"/>
    <mergeCell ref="A153:B153"/>
    <mergeCell ref="D153:E153"/>
    <mergeCell ref="A154:B154"/>
    <mergeCell ref="D154:E154"/>
    <mergeCell ref="A155:B155"/>
    <mergeCell ref="D155:E155"/>
    <mergeCell ref="A156:B156"/>
    <mergeCell ref="D156:E156"/>
    <mergeCell ref="D163:E163"/>
    <mergeCell ref="A164:B164"/>
    <mergeCell ref="D164:E164"/>
    <mergeCell ref="A165:B165"/>
    <mergeCell ref="D165:E165"/>
    <mergeCell ref="A166:J166"/>
    <mergeCell ref="A157:B157"/>
    <mergeCell ref="D157:E157"/>
    <mergeCell ref="A158:J158"/>
    <mergeCell ref="A159:B159"/>
    <mergeCell ref="C159:H159"/>
    <mergeCell ref="A160:B160"/>
    <mergeCell ref="C160:H160"/>
    <mergeCell ref="A161:B161"/>
    <mergeCell ref="D161:E161"/>
    <mergeCell ref="B259:C259"/>
    <mergeCell ref="I98:J101"/>
    <mergeCell ref="I103:J106"/>
    <mergeCell ref="I108:J111"/>
    <mergeCell ref="I114:J117"/>
    <mergeCell ref="I125:J128"/>
    <mergeCell ref="I141:J144"/>
    <mergeCell ref="I135:J138"/>
    <mergeCell ref="I159:J165"/>
    <mergeCell ref="I151:J157"/>
    <mergeCell ref="I130:J133"/>
    <mergeCell ref="A175:J178"/>
    <mergeCell ref="A167:J167"/>
    <mergeCell ref="A168:J168"/>
    <mergeCell ref="A169:J169"/>
    <mergeCell ref="A170:J170"/>
    <mergeCell ref="A171:J171"/>
    <mergeCell ref="A172:J172"/>
    <mergeCell ref="A173:J173"/>
    <mergeCell ref="A174:J174"/>
    <mergeCell ref="B236:H236"/>
    <mergeCell ref="A162:B162"/>
    <mergeCell ref="D162:E162"/>
    <mergeCell ref="A163:B163"/>
  </mergeCells>
  <pageMargins left="0.7" right="0.7" top="0.75" bottom="0.75" header="0.3" footer="0.3"/>
  <pageSetup orientation="portrait" r:id="rId1"/>
  <headerFooter>
    <oddHeader>&amp;C&amp;"Times New Roman,Bold"&amp;20V S JADON &amp; CO. VALUERS LLP.</oddHeader>
    <oddFooter>&amp;L&amp;"Times New Roman,Bold"Ref No: &amp;F&amp;R&amp;P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ColWidth="9" defaultRowHeight="15"/>
  <cols>
    <col min="2" max="2" width="11.7109375" customWidth="1"/>
  </cols>
  <sheetData>
    <row r="2" spans="1:15">
      <c r="A2" t="s">
        <v>324</v>
      </c>
      <c r="B2" s="21" t="s">
        <v>325</v>
      </c>
      <c r="C2" s="21">
        <v>63</v>
      </c>
    </row>
    <row r="3" spans="1:15">
      <c r="B3" t="s">
        <v>326</v>
      </c>
      <c r="C3" t="s">
        <v>327</v>
      </c>
    </row>
    <row r="4" spans="1:15">
      <c r="A4" t="s">
        <v>328</v>
      </c>
      <c r="B4" s="5">
        <v>10</v>
      </c>
      <c r="C4" s="5">
        <v>10</v>
      </c>
      <c r="E4">
        <f>(100/B4)*C4</f>
        <v>100</v>
      </c>
    </row>
    <row r="5" spans="1:15">
      <c r="A5" t="s">
        <v>329</v>
      </c>
      <c r="B5" t="s">
        <v>330</v>
      </c>
      <c r="C5" t="s">
        <v>331</v>
      </c>
      <c r="E5" s="22">
        <f>(100/B6)*C6</f>
        <v>87.5</v>
      </c>
      <c r="I5" s="5" t="s">
        <v>332</v>
      </c>
      <c r="J5" s="5" t="s">
        <v>333</v>
      </c>
      <c r="K5" s="5" t="s">
        <v>334</v>
      </c>
      <c r="L5" s="5" t="s">
        <v>296</v>
      </c>
      <c r="M5" s="5" t="s">
        <v>297</v>
      </c>
      <c r="N5" s="5" t="s">
        <v>335</v>
      </c>
      <c r="O5" s="5" t="s">
        <v>299</v>
      </c>
    </row>
    <row r="6" spans="1:15">
      <c r="B6" s="5">
        <f>C2+1</f>
        <v>64</v>
      </c>
      <c r="C6" s="5">
        <v>56</v>
      </c>
      <c r="E6">
        <f>(100/B8)*C8</f>
        <v>0</v>
      </c>
      <c r="F6" s="23" t="s">
        <v>336</v>
      </c>
      <c r="I6" s="23">
        <f>C4</f>
        <v>10</v>
      </c>
      <c r="J6" s="23">
        <f>40/B6*C6</f>
        <v>35</v>
      </c>
      <c r="K6" s="23">
        <f>15/B8*C8</f>
        <v>0</v>
      </c>
      <c r="L6" s="23">
        <f>10/B10*C10</f>
        <v>0</v>
      </c>
      <c r="M6" s="23">
        <f>10/B12*C12</f>
        <v>0</v>
      </c>
      <c r="N6" s="23">
        <f>5/B14*C14</f>
        <v>0</v>
      </c>
      <c r="O6" s="23">
        <f>5/B16*C16</f>
        <v>0</v>
      </c>
    </row>
    <row r="7" spans="1:15">
      <c r="A7" t="s">
        <v>337</v>
      </c>
      <c r="B7" t="s">
        <v>338</v>
      </c>
      <c r="C7" t="s">
        <v>339</v>
      </c>
      <c r="E7">
        <f>(100/B10)*C10</f>
        <v>0</v>
      </c>
      <c r="F7" s="5" t="s">
        <v>340</v>
      </c>
      <c r="G7" s="5"/>
      <c r="H7" s="5"/>
      <c r="I7" s="5">
        <f>I6+20</f>
        <v>30</v>
      </c>
      <c r="J7" s="5">
        <f>30/B6*C6</f>
        <v>26.25</v>
      </c>
      <c r="K7" s="5">
        <f>15/B8*C8</f>
        <v>0</v>
      </c>
      <c r="L7" s="5">
        <f>10/B10*C10</f>
        <v>0</v>
      </c>
      <c r="M7" s="5">
        <f>5/B12*C12</f>
        <v>0</v>
      </c>
      <c r="N7" s="5">
        <f>5/B14*C14</f>
        <v>0</v>
      </c>
      <c r="O7" s="5">
        <f>5/B16*C16</f>
        <v>0</v>
      </c>
    </row>
    <row r="8" spans="1:15">
      <c r="B8" s="5">
        <f>C2</f>
        <v>63</v>
      </c>
      <c r="C8" s="5">
        <v>0</v>
      </c>
      <c r="E8">
        <f>(100/B12)*C12</f>
        <v>0</v>
      </c>
    </row>
    <row r="9" spans="1:15">
      <c r="A9" t="s">
        <v>341</v>
      </c>
      <c r="B9" t="s">
        <v>338</v>
      </c>
      <c r="C9" t="s">
        <v>339</v>
      </c>
      <c r="E9">
        <f>(100/B14)*C14</f>
        <v>0</v>
      </c>
    </row>
    <row r="10" spans="1:15">
      <c r="B10" s="5">
        <f>C2</f>
        <v>63</v>
      </c>
      <c r="C10" s="5">
        <v>0</v>
      </c>
      <c r="E10">
        <f>(100/B16)*C16</f>
        <v>0</v>
      </c>
    </row>
    <row r="11" spans="1:15">
      <c r="A11" t="s">
        <v>297</v>
      </c>
      <c r="B11" t="s">
        <v>338</v>
      </c>
      <c r="C11" t="s">
        <v>339</v>
      </c>
    </row>
    <row r="12" spans="1:15">
      <c r="B12" s="5">
        <f>C2</f>
        <v>63</v>
      </c>
      <c r="C12" s="5">
        <v>0</v>
      </c>
      <c r="F12" s="5"/>
      <c r="G12" s="5" t="s">
        <v>336</v>
      </c>
      <c r="H12" s="5" t="s">
        <v>342</v>
      </c>
      <c r="L12" t="s">
        <v>343</v>
      </c>
    </row>
    <row r="13" spans="1:15" ht="30">
      <c r="A13" s="24" t="s">
        <v>335</v>
      </c>
      <c r="B13" t="s">
        <v>338</v>
      </c>
      <c r="C13" t="s">
        <v>339</v>
      </c>
      <c r="F13" s="5" t="s">
        <v>136</v>
      </c>
      <c r="G13" s="5">
        <f>I6</f>
        <v>10</v>
      </c>
      <c r="H13" s="5">
        <f>I7</f>
        <v>30</v>
      </c>
      <c r="L13" t="s">
        <v>343</v>
      </c>
    </row>
    <row r="14" spans="1:15">
      <c r="B14" s="5">
        <f>C2</f>
        <v>63</v>
      </c>
      <c r="C14" s="5">
        <v>0</v>
      </c>
      <c r="F14" s="5" t="s">
        <v>294</v>
      </c>
      <c r="G14" s="5">
        <f>J6</f>
        <v>35</v>
      </c>
      <c r="H14" s="5">
        <f>J7</f>
        <v>26.25</v>
      </c>
    </row>
    <row r="15" spans="1:15">
      <c r="A15" t="s">
        <v>299</v>
      </c>
      <c r="B15" t="s">
        <v>338</v>
      </c>
      <c r="C15" t="s">
        <v>339</v>
      </c>
      <c r="F15" s="5" t="s">
        <v>334</v>
      </c>
      <c r="G15" s="5">
        <f>K6</f>
        <v>0</v>
      </c>
      <c r="H15" s="5">
        <f>K7</f>
        <v>0</v>
      </c>
    </row>
    <row r="16" spans="1:15">
      <c r="B16" s="5">
        <f>C2</f>
        <v>63</v>
      </c>
      <c r="C16" s="5">
        <v>0</v>
      </c>
      <c r="F16" s="5" t="s">
        <v>296</v>
      </c>
      <c r="G16" s="5">
        <f>L6</f>
        <v>0</v>
      </c>
      <c r="H16" s="5">
        <f>L7</f>
        <v>0</v>
      </c>
    </row>
    <row r="17" spans="6:8">
      <c r="F17" s="5" t="s">
        <v>297</v>
      </c>
      <c r="G17" s="5">
        <f>M6</f>
        <v>0</v>
      </c>
      <c r="H17" s="5">
        <f>M7</f>
        <v>0</v>
      </c>
    </row>
    <row r="18" spans="6:8" ht="30">
      <c r="F18" s="25" t="s">
        <v>335</v>
      </c>
      <c r="G18" s="5">
        <f>N6</f>
        <v>0</v>
      </c>
      <c r="H18" s="5">
        <f>N7</f>
        <v>0</v>
      </c>
    </row>
    <row r="19" spans="6:8">
      <c r="F19" s="5" t="s">
        <v>299</v>
      </c>
      <c r="G19" s="5">
        <f>O6</f>
        <v>0</v>
      </c>
      <c r="H19" s="5">
        <f>O7</f>
        <v>0</v>
      </c>
    </row>
    <row r="20" spans="6:8">
      <c r="F20" s="5" t="s">
        <v>344</v>
      </c>
      <c r="G20" s="5">
        <f>G13+G14+G15+G16+G17+G18+G19</f>
        <v>45</v>
      </c>
      <c r="H20" s="5">
        <f>H13+H14+H15+H16+H17+H18+H19</f>
        <v>56.25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7" workbookViewId="0">
      <selection activeCell="C6" sqref="C6"/>
    </sheetView>
  </sheetViews>
  <sheetFormatPr defaultColWidth="9" defaultRowHeight="15"/>
  <cols>
    <col min="2" max="2" width="11.7109375" customWidth="1"/>
  </cols>
  <sheetData>
    <row r="2" spans="1:15">
      <c r="A2" t="s">
        <v>324</v>
      </c>
      <c r="B2" s="21" t="s">
        <v>325</v>
      </c>
      <c r="C2" s="21">
        <v>42</v>
      </c>
    </row>
    <row r="3" spans="1:15">
      <c r="B3" t="s">
        <v>326</v>
      </c>
      <c r="C3" t="s">
        <v>327</v>
      </c>
    </row>
    <row r="4" spans="1:15">
      <c r="A4" t="s">
        <v>328</v>
      </c>
      <c r="B4" s="5">
        <v>10</v>
      </c>
      <c r="C4" s="5">
        <v>10</v>
      </c>
      <c r="E4">
        <f>(100/B4)*C4</f>
        <v>100</v>
      </c>
    </row>
    <row r="5" spans="1:15">
      <c r="A5" t="s">
        <v>329</v>
      </c>
      <c r="B5" t="s">
        <v>330</v>
      </c>
      <c r="C5" t="s">
        <v>331</v>
      </c>
      <c r="E5" s="22">
        <f>(100/B6)*C6</f>
        <v>0</v>
      </c>
      <c r="I5" s="5" t="s">
        <v>332</v>
      </c>
      <c r="J5" s="5" t="s">
        <v>333</v>
      </c>
      <c r="K5" s="5" t="s">
        <v>334</v>
      </c>
      <c r="L5" s="5" t="s">
        <v>296</v>
      </c>
      <c r="M5" s="5" t="s">
        <v>297</v>
      </c>
      <c r="N5" s="5" t="s">
        <v>335</v>
      </c>
      <c r="O5" s="5" t="s">
        <v>299</v>
      </c>
    </row>
    <row r="6" spans="1:15">
      <c r="B6" s="5">
        <f>C2+1</f>
        <v>43</v>
      </c>
      <c r="C6" s="5">
        <v>0</v>
      </c>
      <c r="E6">
        <f>(100/B8)*C8</f>
        <v>0</v>
      </c>
      <c r="F6" s="23" t="s">
        <v>336</v>
      </c>
      <c r="I6" s="23">
        <f>C4</f>
        <v>10</v>
      </c>
      <c r="J6" s="23">
        <f>40/B6*C6</f>
        <v>0</v>
      </c>
      <c r="K6" s="23">
        <f>15/B8*C8</f>
        <v>0</v>
      </c>
      <c r="L6" s="23">
        <f>10/B10*C10</f>
        <v>0</v>
      </c>
      <c r="M6" s="23">
        <f>10/B12*C12</f>
        <v>0</v>
      </c>
      <c r="N6" s="23">
        <f>5/B14*C14</f>
        <v>0</v>
      </c>
      <c r="O6" s="23">
        <f>5/B16*C16</f>
        <v>0</v>
      </c>
    </row>
    <row r="7" spans="1:15">
      <c r="A7" t="s">
        <v>337</v>
      </c>
      <c r="B7" t="s">
        <v>338</v>
      </c>
      <c r="C7" t="s">
        <v>339</v>
      </c>
      <c r="E7">
        <f>(100/B10)*C10</f>
        <v>0</v>
      </c>
      <c r="F7" s="5" t="s">
        <v>340</v>
      </c>
      <c r="G7" s="5"/>
      <c r="H7" s="5"/>
      <c r="I7" s="5">
        <f>I6+20</f>
        <v>30</v>
      </c>
      <c r="J7" s="5">
        <f>30/B6*C6</f>
        <v>0</v>
      </c>
      <c r="K7" s="5">
        <f>15/B8*C8</f>
        <v>0</v>
      </c>
      <c r="L7" s="5">
        <f>10/B10*C10</f>
        <v>0</v>
      </c>
      <c r="M7" s="5">
        <f>5/B12*C12</f>
        <v>0</v>
      </c>
      <c r="N7" s="5">
        <f>5/B14*C14</f>
        <v>0</v>
      </c>
      <c r="O7" s="5">
        <f>5/B16*C16</f>
        <v>0</v>
      </c>
    </row>
    <row r="8" spans="1:15">
      <c r="B8" s="5">
        <f>C2</f>
        <v>42</v>
      </c>
      <c r="C8" s="5">
        <v>0</v>
      </c>
      <c r="E8">
        <f>(100/B12)*C12</f>
        <v>0</v>
      </c>
    </row>
    <row r="9" spans="1:15">
      <c r="A9" t="s">
        <v>341</v>
      </c>
      <c r="B9" t="s">
        <v>338</v>
      </c>
      <c r="C9" t="s">
        <v>339</v>
      </c>
      <c r="E9">
        <f>(100/B14)*C14</f>
        <v>0</v>
      </c>
    </row>
    <row r="10" spans="1:15">
      <c r="B10" s="5">
        <f>C2</f>
        <v>42</v>
      </c>
      <c r="C10" s="5">
        <v>0</v>
      </c>
      <c r="E10">
        <f>(100/B16)*C16</f>
        <v>0</v>
      </c>
    </row>
    <row r="11" spans="1:15">
      <c r="A11" t="s">
        <v>297</v>
      </c>
      <c r="B11" t="s">
        <v>338</v>
      </c>
      <c r="C11" t="s">
        <v>339</v>
      </c>
    </row>
    <row r="12" spans="1:15">
      <c r="B12" s="5">
        <f>C2</f>
        <v>42</v>
      </c>
      <c r="C12" s="5">
        <v>0</v>
      </c>
      <c r="F12" s="5"/>
      <c r="G12" s="5" t="s">
        <v>336</v>
      </c>
      <c r="H12" s="5" t="s">
        <v>342</v>
      </c>
      <c r="L12" t="s">
        <v>343</v>
      </c>
    </row>
    <row r="13" spans="1:15" ht="30">
      <c r="A13" s="24" t="s">
        <v>335</v>
      </c>
      <c r="B13" t="s">
        <v>338</v>
      </c>
      <c r="C13" t="s">
        <v>339</v>
      </c>
      <c r="F13" s="5" t="s">
        <v>136</v>
      </c>
      <c r="G13" s="5">
        <f>I6</f>
        <v>10</v>
      </c>
      <c r="H13" s="5">
        <f>I7</f>
        <v>30</v>
      </c>
      <c r="L13" t="s">
        <v>343</v>
      </c>
    </row>
    <row r="14" spans="1:15">
      <c r="B14" s="5">
        <f>C2</f>
        <v>42</v>
      </c>
      <c r="C14" s="5">
        <v>0</v>
      </c>
      <c r="F14" s="5" t="s">
        <v>294</v>
      </c>
      <c r="G14" s="5">
        <f>J6</f>
        <v>0</v>
      </c>
      <c r="H14" s="5">
        <f>J7</f>
        <v>0</v>
      </c>
    </row>
    <row r="15" spans="1:15">
      <c r="A15" t="s">
        <v>299</v>
      </c>
      <c r="B15" t="s">
        <v>338</v>
      </c>
      <c r="C15" t="s">
        <v>339</v>
      </c>
      <c r="F15" s="5" t="s">
        <v>334</v>
      </c>
      <c r="G15" s="5">
        <f>K6</f>
        <v>0</v>
      </c>
      <c r="H15" s="5">
        <f>K7</f>
        <v>0</v>
      </c>
    </row>
    <row r="16" spans="1:15">
      <c r="B16" s="5">
        <f>C2</f>
        <v>42</v>
      </c>
      <c r="C16" s="5">
        <v>0</v>
      </c>
      <c r="F16" s="5" t="s">
        <v>296</v>
      </c>
      <c r="G16" s="5">
        <f>L6</f>
        <v>0</v>
      </c>
      <c r="H16" s="5">
        <f>L7</f>
        <v>0</v>
      </c>
    </row>
    <row r="17" spans="6:8">
      <c r="F17" s="5" t="s">
        <v>297</v>
      </c>
      <c r="G17" s="5">
        <f>M6</f>
        <v>0</v>
      </c>
      <c r="H17" s="5">
        <f>M7</f>
        <v>0</v>
      </c>
    </row>
    <row r="18" spans="6:8" ht="30">
      <c r="F18" s="25" t="s">
        <v>335</v>
      </c>
      <c r="G18" s="5">
        <f>N6</f>
        <v>0</v>
      </c>
      <c r="H18" s="5">
        <f>N7</f>
        <v>0</v>
      </c>
    </row>
    <row r="19" spans="6:8">
      <c r="F19" s="5" t="s">
        <v>299</v>
      </c>
      <c r="G19" s="5">
        <f>O6</f>
        <v>0</v>
      </c>
      <c r="H19" s="5">
        <f>O7</f>
        <v>0</v>
      </c>
    </row>
    <row r="20" spans="6:8">
      <c r="F20" s="5" t="s">
        <v>344</v>
      </c>
      <c r="G20" s="5">
        <f>G13+G14+G15+G16+G17+G18+G19</f>
        <v>10</v>
      </c>
      <c r="H20" s="5">
        <f>H13+H14+H15+H16+H17+H18+H19</f>
        <v>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election sqref="A1:IV65536"/>
    </sheetView>
  </sheetViews>
  <sheetFormatPr defaultColWidth="9.140625" defaultRowHeight="15"/>
  <cols>
    <col min="1" max="1" width="20.5703125" style="6" customWidth="1"/>
    <col min="2" max="2" width="11.7109375" style="6" customWidth="1"/>
    <col min="3" max="4" width="9.140625" style="6"/>
    <col min="5" max="5" width="10.140625" style="6" customWidth="1"/>
    <col min="6" max="6" width="10.7109375" style="6" customWidth="1"/>
    <col min="7" max="7" width="9.140625" style="6"/>
    <col min="8" max="8" width="10.42578125" style="6" customWidth="1"/>
    <col min="9" max="9" width="15.42578125" style="6" customWidth="1"/>
    <col min="10" max="16384" width="9.140625" style="6"/>
  </cols>
  <sheetData>
    <row r="2" spans="1:10">
      <c r="A2" s="7" t="s">
        <v>122</v>
      </c>
      <c r="B2" s="7" t="s">
        <v>124</v>
      </c>
      <c r="C2" s="7" t="s">
        <v>123</v>
      </c>
      <c r="D2" s="278" t="s">
        <v>345</v>
      </c>
      <c r="E2" s="278"/>
    </row>
    <row r="3" spans="1:10">
      <c r="A3" s="9">
        <v>0</v>
      </c>
      <c r="B3" s="9">
        <v>0</v>
      </c>
      <c r="C3" s="9">
        <v>1</v>
      </c>
      <c r="D3" s="279">
        <v>8</v>
      </c>
      <c r="E3" s="279"/>
    </row>
    <row r="6" spans="1:10">
      <c r="A6" s="6" t="s">
        <v>328</v>
      </c>
      <c r="B6" s="8">
        <v>10</v>
      </c>
      <c r="C6" s="10">
        <v>10</v>
      </c>
      <c r="D6" s="11">
        <f>((100/B6)*C6)/100</f>
        <v>1</v>
      </c>
    </row>
    <row r="7" spans="1:10">
      <c r="A7" s="6" t="s">
        <v>329</v>
      </c>
      <c r="B7" s="8">
        <f>A3+B3+C3+D3</f>
        <v>9</v>
      </c>
      <c r="C7" s="10">
        <v>0</v>
      </c>
      <c r="D7" s="11">
        <f t="shared" ref="D7:D12" si="0">((100/B7)*C7)/100</f>
        <v>0</v>
      </c>
      <c r="F7" s="280" t="s">
        <v>346</v>
      </c>
      <c r="G7" s="280"/>
      <c r="H7" s="12" t="s">
        <v>347</v>
      </c>
      <c r="J7" s="20"/>
    </row>
    <row r="8" spans="1:10">
      <c r="A8" s="6" t="s">
        <v>337</v>
      </c>
      <c r="B8" s="8">
        <f>C36</f>
        <v>8</v>
      </c>
      <c r="C8" s="10">
        <v>0</v>
      </c>
      <c r="D8" s="11">
        <f t="shared" si="0"/>
        <v>0</v>
      </c>
      <c r="F8" s="277" t="s">
        <v>348</v>
      </c>
      <c r="G8" s="277"/>
      <c r="H8" s="8" t="s">
        <v>349</v>
      </c>
    </row>
    <row r="9" spans="1:10">
      <c r="A9" s="6" t="s">
        <v>341</v>
      </c>
      <c r="B9" s="8">
        <f>C36</f>
        <v>8</v>
      </c>
      <c r="C9" s="10">
        <v>0</v>
      </c>
      <c r="D9" s="11">
        <f t="shared" si="0"/>
        <v>0</v>
      </c>
      <c r="F9" s="277" t="s">
        <v>350</v>
      </c>
      <c r="G9" s="277"/>
      <c r="H9" s="8" t="s">
        <v>351</v>
      </c>
    </row>
    <row r="10" spans="1:10">
      <c r="A10" s="6" t="s">
        <v>297</v>
      </c>
      <c r="B10" s="8">
        <f>C36</f>
        <v>8</v>
      </c>
      <c r="C10" s="10">
        <v>0</v>
      </c>
      <c r="D10" s="11">
        <f t="shared" si="0"/>
        <v>0</v>
      </c>
      <c r="F10" s="277" t="s">
        <v>352</v>
      </c>
      <c r="G10" s="277"/>
      <c r="H10" s="8" t="s">
        <v>353</v>
      </c>
    </row>
    <row r="11" spans="1:10">
      <c r="A11" s="13" t="s">
        <v>335</v>
      </c>
      <c r="B11" s="8">
        <f>C36</f>
        <v>8</v>
      </c>
      <c r="C11" s="10">
        <v>0</v>
      </c>
      <c r="D11" s="11">
        <f t="shared" si="0"/>
        <v>0</v>
      </c>
      <c r="F11" s="277" t="s">
        <v>354</v>
      </c>
      <c r="G11" s="277"/>
      <c r="H11" s="8" t="s">
        <v>355</v>
      </c>
    </row>
    <row r="12" spans="1:10">
      <c r="A12" s="6" t="s">
        <v>299</v>
      </c>
      <c r="B12" s="8">
        <f>C36</f>
        <v>8</v>
      </c>
      <c r="C12" s="10">
        <v>0</v>
      </c>
      <c r="D12" s="11">
        <f t="shared" si="0"/>
        <v>0</v>
      </c>
      <c r="F12" s="277" t="s">
        <v>356</v>
      </c>
      <c r="G12" s="277"/>
      <c r="H12" s="8" t="s">
        <v>357</v>
      </c>
    </row>
    <row r="13" spans="1:10">
      <c r="F13" s="277" t="s">
        <v>358</v>
      </c>
      <c r="G13" s="277"/>
      <c r="H13" s="8" t="s">
        <v>359</v>
      </c>
    </row>
    <row r="14" spans="1:10">
      <c r="A14" s="7" t="s">
        <v>344</v>
      </c>
      <c r="B14" s="14">
        <f>(B39+B40+B41+B42+B43+B44+B45)/100</f>
        <v>0.1</v>
      </c>
      <c r="C14" s="14">
        <f>(C39+C40+C41+C42+C43+C44+C45)/100</f>
        <v>0.3</v>
      </c>
      <c r="F14" s="277" t="s">
        <v>360</v>
      </c>
      <c r="G14" s="277"/>
      <c r="H14" s="8" t="s">
        <v>351</v>
      </c>
    </row>
    <row r="15" spans="1:10">
      <c r="F15" s="277" t="s">
        <v>361</v>
      </c>
      <c r="G15" s="277"/>
      <c r="H15" s="8" t="s">
        <v>362</v>
      </c>
    </row>
    <row r="16" spans="1:10">
      <c r="A16" s="6" t="s">
        <v>135</v>
      </c>
      <c r="B16" s="15">
        <v>0.01</v>
      </c>
      <c r="C16" s="15">
        <v>0.02</v>
      </c>
      <c r="F16" s="277" t="s">
        <v>363</v>
      </c>
      <c r="G16" s="277"/>
      <c r="H16" s="8" t="s">
        <v>364</v>
      </c>
    </row>
    <row r="17" spans="1:3">
      <c r="A17" s="6" t="s">
        <v>137</v>
      </c>
      <c r="B17" s="15">
        <v>0.01</v>
      </c>
      <c r="C17" s="15">
        <v>0.03</v>
      </c>
    </row>
    <row r="18" spans="1:3">
      <c r="A18" s="6" t="s">
        <v>139</v>
      </c>
      <c r="B18" s="15">
        <v>0.03</v>
      </c>
      <c r="C18" s="15">
        <v>0.08</v>
      </c>
    </row>
    <row r="19" spans="1:3">
      <c r="A19" s="6" t="s">
        <v>142</v>
      </c>
      <c r="B19" s="15">
        <v>0.05</v>
      </c>
      <c r="C19" s="15">
        <v>0.15</v>
      </c>
    </row>
    <row r="20" spans="1:3">
      <c r="A20" s="6" t="s">
        <v>153</v>
      </c>
      <c r="B20" s="15">
        <v>7.0000000000000007E-2</v>
      </c>
      <c r="C20" s="15">
        <v>0.2</v>
      </c>
    </row>
    <row r="21" spans="1:3">
      <c r="A21" s="6" t="s">
        <v>155</v>
      </c>
      <c r="B21" s="15">
        <v>0.1</v>
      </c>
      <c r="C21" s="15">
        <v>0.3</v>
      </c>
    </row>
    <row r="36" spans="1:13">
      <c r="A36" s="6" t="s">
        <v>324</v>
      </c>
      <c r="B36" s="16" t="s">
        <v>365</v>
      </c>
      <c r="C36" s="16">
        <f>D3</f>
        <v>8</v>
      </c>
      <c r="D36" s="17"/>
    </row>
    <row r="38" spans="1:13">
      <c r="A38" s="7"/>
      <c r="B38" s="7" t="s">
        <v>336</v>
      </c>
      <c r="C38" s="7" t="s">
        <v>342</v>
      </c>
      <c r="G38" s="7" t="s">
        <v>328</v>
      </c>
      <c r="H38" s="7" t="s">
        <v>333</v>
      </c>
      <c r="I38" s="7" t="s">
        <v>334</v>
      </c>
      <c r="J38" s="7" t="s">
        <v>296</v>
      </c>
      <c r="K38" s="7" t="s">
        <v>297</v>
      </c>
      <c r="L38" s="7" t="s">
        <v>335</v>
      </c>
      <c r="M38" s="7" t="s">
        <v>299</v>
      </c>
    </row>
    <row r="39" spans="1:13">
      <c r="A39" s="7" t="s">
        <v>136</v>
      </c>
      <c r="B39" s="7">
        <f>G39</f>
        <v>10</v>
      </c>
      <c r="C39" s="7">
        <f>G40</f>
        <v>30</v>
      </c>
      <c r="E39" s="278" t="s">
        <v>336</v>
      </c>
      <c r="F39" s="278"/>
      <c r="G39" s="18">
        <f>C6</f>
        <v>10</v>
      </c>
      <c r="H39" s="18">
        <f>40/B7*C7</f>
        <v>0</v>
      </c>
      <c r="I39" s="18">
        <f>15/B8*C8</f>
        <v>0</v>
      </c>
      <c r="J39" s="18">
        <f>10/B9*C9</f>
        <v>0</v>
      </c>
      <c r="K39" s="18">
        <f>10/B10*C10</f>
        <v>0</v>
      </c>
      <c r="L39" s="18">
        <f>5/B11*C11</f>
        <v>0</v>
      </c>
      <c r="M39" s="18">
        <f>5/B12*C12</f>
        <v>0</v>
      </c>
    </row>
    <row r="40" spans="1:13">
      <c r="A40" s="7" t="s">
        <v>294</v>
      </c>
      <c r="B40" s="7">
        <f>H39</f>
        <v>0</v>
      </c>
      <c r="C40" s="7">
        <f>H40</f>
        <v>0</v>
      </c>
      <c r="E40" s="278" t="s">
        <v>340</v>
      </c>
      <c r="F40" s="278"/>
      <c r="G40" s="7">
        <f>G39+20</f>
        <v>30</v>
      </c>
      <c r="H40" s="7">
        <f>30/B7*C7</f>
        <v>0</v>
      </c>
      <c r="I40" s="7">
        <f>15/B8*C8</f>
        <v>0</v>
      </c>
      <c r="J40" s="7">
        <f>10/B9*C9</f>
        <v>0</v>
      </c>
      <c r="K40" s="7">
        <f>5/B10*C10</f>
        <v>0</v>
      </c>
      <c r="L40" s="7">
        <f>5/B11*C11</f>
        <v>0</v>
      </c>
      <c r="M40" s="7">
        <f>5/B12*C12</f>
        <v>0</v>
      </c>
    </row>
    <row r="41" spans="1:13">
      <c r="A41" s="7" t="s">
        <v>334</v>
      </c>
      <c r="B41" s="7">
        <f>I39</f>
        <v>0</v>
      </c>
      <c r="C41" s="7">
        <f>I40</f>
        <v>0</v>
      </c>
    </row>
    <row r="42" spans="1:13">
      <c r="A42" s="7" t="s">
        <v>296</v>
      </c>
      <c r="B42" s="7">
        <f>J39</f>
        <v>0</v>
      </c>
      <c r="C42" s="7">
        <f>J40</f>
        <v>0</v>
      </c>
    </row>
    <row r="43" spans="1:13">
      <c r="A43" s="7" t="s">
        <v>297</v>
      </c>
      <c r="B43" s="7">
        <f>K39</f>
        <v>0</v>
      </c>
      <c r="C43" s="7">
        <f>K40</f>
        <v>0</v>
      </c>
    </row>
    <row r="44" spans="1:13">
      <c r="A44" s="19" t="s">
        <v>335</v>
      </c>
      <c r="B44" s="7">
        <f>L39</f>
        <v>0</v>
      </c>
      <c r="C44" s="7">
        <f>L40</f>
        <v>0</v>
      </c>
    </row>
    <row r="45" spans="1:13">
      <c r="A45" s="7" t="s">
        <v>299</v>
      </c>
      <c r="B45" s="7">
        <f>M39</f>
        <v>0</v>
      </c>
      <c r="C45" s="7">
        <f>M40</f>
        <v>0</v>
      </c>
    </row>
  </sheetData>
  <mergeCells count="14">
    <mergeCell ref="D2:E2"/>
    <mergeCell ref="D3:E3"/>
    <mergeCell ref="F7:G7"/>
    <mergeCell ref="F8:G8"/>
    <mergeCell ref="F9:G9"/>
    <mergeCell ref="F15:G15"/>
    <mergeCell ref="F16:G16"/>
    <mergeCell ref="E39:F39"/>
    <mergeCell ref="E40:F40"/>
    <mergeCell ref="F10:G10"/>
    <mergeCell ref="F11:G11"/>
    <mergeCell ref="F12:G12"/>
    <mergeCell ref="F13:G13"/>
    <mergeCell ref="F14:G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ColWidth="9" defaultRowHeight="15"/>
  <sheetData>
    <row r="3" spans="2:13">
      <c r="C3" s="1" t="s">
        <v>366</v>
      </c>
      <c r="D3" s="281"/>
      <c r="E3" s="281"/>
    </row>
    <row r="4" spans="2:13">
      <c r="E4" s="2"/>
      <c r="F4" s="2"/>
      <c r="G4" s="2"/>
      <c r="H4" s="2"/>
      <c r="I4" s="2"/>
      <c r="J4" s="2"/>
    </row>
    <row r="5" spans="2:13">
      <c r="B5" s="1" t="s">
        <v>367</v>
      </c>
      <c r="C5" s="3" t="s">
        <v>368</v>
      </c>
      <c r="D5" s="282" t="s">
        <v>369</v>
      </c>
      <c r="E5" s="282"/>
      <c r="F5" s="282"/>
      <c r="G5" s="4"/>
      <c r="H5" s="282" t="s">
        <v>370</v>
      </c>
      <c r="I5" s="282"/>
      <c r="J5" s="282"/>
      <c r="K5" s="282" t="s">
        <v>371</v>
      </c>
      <c r="L5" s="282"/>
      <c r="M5" s="282"/>
    </row>
    <row r="6" spans="2:13">
      <c r="B6" s="1">
        <v>1</v>
      </c>
      <c r="C6" s="3"/>
      <c r="D6" s="3" t="s">
        <v>372</v>
      </c>
      <c r="E6" s="3" t="s">
        <v>373</v>
      </c>
      <c r="F6" s="3" t="s">
        <v>180</v>
      </c>
      <c r="G6" s="3"/>
      <c r="H6" s="3" t="s">
        <v>372</v>
      </c>
      <c r="I6" s="3" t="s">
        <v>373</v>
      </c>
      <c r="J6" s="3" t="s">
        <v>180</v>
      </c>
      <c r="K6" s="3" t="s">
        <v>372</v>
      </c>
      <c r="L6" s="3" t="s">
        <v>373</v>
      </c>
      <c r="M6" s="3" t="s">
        <v>180</v>
      </c>
    </row>
    <row r="7" spans="2:13">
      <c r="C7" s="5" t="s">
        <v>374</v>
      </c>
      <c r="D7" s="5"/>
      <c r="E7" s="5"/>
      <c r="F7" s="5">
        <f>D7*E7</f>
        <v>0</v>
      </c>
      <c r="G7" s="5" t="s">
        <v>375</v>
      </c>
      <c r="H7" s="5"/>
      <c r="I7" s="5"/>
      <c r="J7" s="5">
        <f>H7*I7</f>
        <v>0</v>
      </c>
      <c r="K7" s="5"/>
      <c r="L7" s="5"/>
      <c r="M7" s="5">
        <f>K7*L7</f>
        <v>0</v>
      </c>
    </row>
    <row r="8" spans="2:13">
      <c r="C8" s="5"/>
      <c r="D8" s="5"/>
      <c r="E8" s="5"/>
      <c r="F8" s="5">
        <f t="shared" ref="F8:F34" si="0">D8*E8</f>
        <v>0</v>
      </c>
      <c r="G8" s="5" t="s">
        <v>376</v>
      </c>
      <c r="H8" s="5"/>
      <c r="I8" s="5"/>
      <c r="J8" s="5">
        <f t="shared" ref="J8:J34" si="1">H8*I8</f>
        <v>0</v>
      </c>
      <c r="K8" s="5"/>
      <c r="L8" s="5"/>
      <c r="M8" s="5">
        <f t="shared" ref="M8:M34" si="2">K8*L8</f>
        <v>0</v>
      </c>
    </row>
    <row r="9" spans="2:13">
      <c r="C9" s="5"/>
      <c r="D9" s="5"/>
      <c r="E9" s="5"/>
      <c r="F9" s="5">
        <f t="shared" si="0"/>
        <v>0</v>
      </c>
      <c r="G9" s="5"/>
      <c r="H9" s="5"/>
      <c r="I9" s="5"/>
      <c r="J9" s="5">
        <f t="shared" si="1"/>
        <v>0</v>
      </c>
      <c r="K9" s="5"/>
      <c r="L9" s="5"/>
      <c r="M9" s="5">
        <f t="shared" si="2"/>
        <v>0</v>
      </c>
    </row>
    <row r="10" spans="2:13">
      <c r="C10" s="5" t="s">
        <v>377</v>
      </c>
      <c r="D10" s="5"/>
      <c r="E10" s="5"/>
      <c r="F10" s="5">
        <f t="shared" si="0"/>
        <v>0</v>
      </c>
      <c r="G10" s="5" t="s">
        <v>375</v>
      </c>
      <c r="H10" s="5"/>
      <c r="I10" s="5"/>
      <c r="J10" s="5">
        <f t="shared" si="1"/>
        <v>0</v>
      </c>
      <c r="K10" s="5"/>
      <c r="L10" s="5"/>
      <c r="M10" s="5">
        <f t="shared" si="2"/>
        <v>0</v>
      </c>
    </row>
    <row r="11" spans="2:13">
      <c r="C11" s="5"/>
      <c r="D11" s="5"/>
      <c r="E11" s="5"/>
      <c r="F11" s="5">
        <f t="shared" si="0"/>
        <v>0</v>
      </c>
      <c r="G11" s="5" t="s">
        <v>376</v>
      </c>
      <c r="H11" s="5"/>
      <c r="I11" s="5"/>
      <c r="J11" s="5">
        <f t="shared" si="1"/>
        <v>0</v>
      </c>
      <c r="K11" s="5"/>
      <c r="L11" s="5"/>
      <c r="M11" s="5">
        <f t="shared" si="2"/>
        <v>0</v>
      </c>
    </row>
    <row r="12" spans="2:13">
      <c r="C12" s="5"/>
      <c r="D12" s="5"/>
      <c r="E12" s="5"/>
      <c r="F12" s="5">
        <f t="shared" si="0"/>
        <v>0</v>
      </c>
      <c r="G12" s="5"/>
      <c r="H12" s="5"/>
      <c r="I12" s="5"/>
      <c r="J12" s="5">
        <f t="shared" si="1"/>
        <v>0</v>
      </c>
      <c r="K12" s="5"/>
      <c r="L12" s="5"/>
      <c r="M12" s="5">
        <f t="shared" si="2"/>
        <v>0</v>
      </c>
    </row>
    <row r="13" spans="2:13">
      <c r="C13" s="5"/>
      <c r="D13" s="5"/>
      <c r="E13" s="5"/>
      <c r="F13" s="5">
        <f t="shared" si="0"/>
        <v>0</v>
      </c>
      <c r="G13" s="5"/>
      <c r="H13" s="5"/>
      <c r="I13" s="5"/>
      <c r="J13" s="5">
        <f t="shared" si="1"/>
        <v>0</v>
      </c>
      <c r="K13" s="5"/>
      <c r="L13" s="5"/>
      <c r="M13" s="5">
        <f t="shared" si="2"/>
        <v>0</v>
      </c>
    </row>
    <row r="14" spans="2:13">
      <c r="C14" s="5" t="s">
        <v>378</v>
      </c>
      <c r="D14" s="5"/>
      <c r="E14" s="5"/>
      <c r="F14" s="5">
        <f t="shared" si="0"/>
        <v>0</v>
      </c>
      <c r="G14" s="5" t="s">
        <v>375</v>
      </c>
      <c r="H14" s="5"/>
      <c r="I14" s="5"/>
      <c r="J14" s="5">
        <f t="shared" si="1"/>
        <v>0</v>
      </c>
      <c r="K14" s="5"/>
      <c r="L14" s="5"/>
      <c r="M14" s="5">
        <f t="shared" si="2"/>
        <v>0</v>
      </c>
    </row>
    <row r="15" spans="2:13">
      <c r="C15" s="5"/>
      <c r="D15" s="5"/>
      <c r="E15" s="5"/>
      <c r="F15" s="5">
        <f t="shared" si="0"/>
        <v>0</v>
      </c>
      <c r="G15" s="5" t="s">
        <v>376</v>
      </c>
      <c r="H15" s="5"/>
      <c r="I15" s="5"/>
      <c r="J15" s="5">
        <f t="shared" si="1"/>
        <v>0</v>
      </c>
      <c r="K15" s="5"/>
      <c r="L15" s="5"/>
      <c r="M15" s="5">
        <f t="shared" si="2"/>
        <v>0</v>
      </c>
    </row>
    <row r="16" spans="2:13">
      <c r="C16" s="5"/>
      <c r="D16" s="5"/>
      <c r="E16" s="5"/>
      <c r="F16" s="5">
        <f t="shared" si="0"/>
        <v>0</v>
      </c>
      <c r="G16" s="5"/>
      <c r="H16" s="5"/>
      <c r="I16" s="5"/>
      <c r="J16" s="5">
        <f t="shared" si="1"/>
        <v>0</v>
      </c>
      <c r="K16" s="5"/>
      <c r="L16" s="5"/>
      <c r="M16" s="5">
        <f t="shared" si="2"/>
        <v>0</v>
      </c>
    </row>
    <row r="17" spans="3:13">
      <c r="C17" s="5"/>
      <c r="D17" s="5"/>
      <c r="E17" s="5"/>
      <c r="F17" s="5">
        <f t="shared" si="0"/>
        <v>0</v>
      </c>
      <c r="G17" s="5"/>
      <c r="H17" s="5"/>
      <c r="I17" s="5"/>
      <c r="J17" s="5">
        <f t="shared" si="1"/>
        <v>0</v>
      </c>
      <c r="K17" s="5"/>
      <c r="L17" s="5"/>
      <c r="M17" s="5">
        <f t="shared" si="2"/>
        <v>0</v>
      </c>
    </row>
    <row r="18" spans="3:13">
      <c r="C18" s="5" t="s">
        <v>379</v>
      </c>
      <c r="D18" s="5"/>
      <c r="E18" s="5"/>
      <c r="F18" s="5">
        <f t="shared" si="0"/>
        <v>0</v>
      </c>
      <c r="G18" s="5" t="s">
        <v>375</v>
      </c>
      <c r="H18" s="5"/>
      <c r="I18" s="5"/>
      <c r="J18" s="5">
        <f t="shared" si="1"/>
        <v>0</v>
      </c>
      <c r="K18" s="5"/>
      <c r="L18" s="5"/>
      <c r="M18" s="5">
        <f t="shared" si="2"/>
        <v>0</v>
      </c>
    </row>
    <row r="19" spans="3:13">
      <c r="C19" s="5"/>
      <c r="D19" s="5"/>
      <c r="E19" s="5"/>
      <c r="F19" s="5">
        <f t="shared" si="0"/>
        <v>0</v>
      </c>
      <c r="G19" s="5" t="s">
        <v>376</v>
      </c>
      <c r="H19" s="5"/>
      <c r="I19" s="5"/>
      <c r="J19" s="5">
        <f t="shared" si="1"/>
        <v>0</v>
      </c>
      <c r="K19" s="5"/>
      <c r="L19" s="5"/>
      <c r="M19" s="5">
        <f t="shared" si="2"/>
        <v>0</v>
      </c>
    </row>
    <row r="20" spans="3:13">
      <c r="C20" s="5"/>
      <c r="D20" s="5"/>
      <c r="E20" s="5"/>
      <c r="F20" s="5">
        <f t="shared" si="0"/>
        <v>0</v>
      </c>
      <c r="G20" s="5"/>
      <c r="H20" s="5"/>
      <c r="I20" s="5"/>
      <c r="J20" s="5">
        <f t="shared" si="1"/>
        <v>0</v>
      </c>
      <c r="K20" s="5"/>
      <c r="L20" s="5"/>
      <c r="M20" s="5">
        <f t="shared" si="2"/>
        <v>0</v>
      </c>
    </row>
    <row r="21" spans="3:13">
      <c r="C21" s="5" t="s">
        <v>379</v>
      </c>
      <c r="D21" s="5"/>
      <c r="E21" s="5"/>
      <c r="F21" s="5">
        <f t="shared" si="0"/>
        <v>0</v>
      </c>
      <c r="G21" s="5" t="s">
        <v>375</v>
      </c>
      <c r="H21" s="5"/>
      <c r="I21" s="5"/>
      <c r="J21" s="5">
        <f t="shared" si="1"/>
        <v>0</v>
      </c>
      <c r="K21" s="5"/>
      <c r="L21" s="5"/>
      <c r="M21" s="5">
        <f t="shared" si="2"/>
        <v>0</v>
      </c>
    </row>
    <row r="22" spans="3:13">
      <c r="C22" s="5"/>
      <c r="D22" s="5"/>
      <c r="E22" s="5"/>
      <c r="F22" s="5">
        <f t="shared" si="0"/>
        <v>0</v>
      </c>
      <c r="G22" s="5" t="s">
        <v>376</v>
      </c>
      <c r="H22" s="5"/>
      <c r="I22" s="5"/>
      <c r="J22" s="5">
        <f t="shared" si="1"/>
        <v>0</v>
      </c>
      <c r="K22" s="5"/>
      <c r="L22" s="5"/>
      <c r="M22" s="5">
        <f t="shared" si="2"/>
        <v>0</v>
      </c>
    </row>
    <row r="23" spans="3:13">
      <c r="C23" s="5"/>
      <c r="D23" s="5"/>
      <c r="E23" s="5"/>
      <c r="F23" s="5">
        <f t="shared" si="0"/>
        <v>0</v>
      </c>
      <c r="G23" s="5"/>
      <c r="H23" s="5"/>
      <c r="I23" s="5"/>
      <c r="J23" s="5">
        <f t="shared" si="1"/>
        <v>0</v>
      </c>
      <c r="K23" s="5"/>
      <c r="L23" s="5"/>
      <c r="M23" s="5">
        <f t="shared" si="2"/>
        <v>0</v>
      </c>
    </row>
    <row r="24" spans="3:13">
      <c r="C24" s="5" t="s">
        <v>380</v>
      </c>
      <c r="D24" s="5"/>
      <c r="E24" s="5"/>
      <c r="F24" s="5">
        <f t="shared" si="0"/>
        <v>0</v>
      </c>
      <c r="G24" s="5" t="s">
        <v>381</v>
      </c>
      <c r="H24" s="5"/>
      <c r="I24" s="5"/>
      <c r="J24" s="5">
        <f t="shared" si="1"/>
        <v>0</v>
      </c>
      <c r="K24" s="5"/>
      <c r="L24" s="5"/>
      <c r="M24" s="5">
        <f t="shared" si="2"/>
        <v>0</v>
      </c>
    </row>
    <row r="25" spans="3:13">
      <c r="C25" s="5" t="s">
        <v>382</v>
      </c>
      <c r="D25" s="5"/>
      <c r="E25" s="5"/>
      <c r="F25" s="5">
        <f t="shared" si="0"/>
        <v>0</v>
      </c>
      <c r="G25" s="5" t="s">
        <v>381</v>
      </c>
      <c r="H25" s="5"/>
      <c r="I25" s="5"/>
      <c r="J25" s="5">
        <f t="shared" si="1"/>
        <v>0</v>
      </c>
      <c r="K25" s="5"/>
      <c r="L25" s="5"/>
      <c r="M25" s="5">
        <f t="shared" si="2"/>
        <v>0</v>
      </c>
    </row>
    <row r="26" spans="3:13">
      <c r="C26" s="5" t="s">
        <v>383</v>
      </c>
      <c r="D26" s="5"/>
      <c r="E26" s="5"/>
      <c r="F26" s="5">
        <f t="shared" si="0"/>
        <v>0</v>
      </c>
      <c r="G26" s="5" t="s">
        <v>381</v>
      </c>
      <c r="H26" s="5"/>
      <c r="I26" s="5"/>
      <c r="J26" s="5">
        <f t="shared" si="1"/>
        <v>0</v>
      </c>
      <c r="K26" s="5"/>
      <c r="L26" s="5"/>
      <c r="M26" s="5">
        <f t="shared" si="2"/>
        <v>0</v>
      </c>
    </row>
    <row r="27" spans="3:13">
      <c r="C27" s="5"/>
      <c r="D27" s="5"/>
      <c r="E27" s="5"/>
      <c r="F27" s="5">
        <f t="shared" si="0"/>
        <v>0</v>
      </c>
      <c r="G27" s="5"/>
      <c r="H27" s="5"/>
      <c r="I27" s="5"/>
      <c r="J27" s="5">
        <f t="shared" si="1"/>
        <v>0</v>
      </c>
      <c r="K27" s="5"/>
      <c r="L27" s="5"/>
      <c r="M27" s="5">
        <f t="shared" si="2"/>
        <v>0</v>
      </c>
    </row>
    <row r="28" spans="3:13">
      <c r="C28" s="5" t="s">
        <v>384</v>
      </c>
      <c r="D28" s="5"/>
      <c r="E28" s="5"/>
      <c r="F28" s="5">
        <f t="shared" si="0"/>
        <v>0</v>
      </c>
      <c r="G28" s="5"/>
      <c r="H28" s="5"/>
      <c r="I28" s="5"/>
      <c r="J28" s="5">
        <f t="shared" si="1"/>
        <v>0</v>
      </c>
      <c r="K28" s="5"/>
      <c r="L28" s="5"/>
      <c r="M28" s="5">
        <f t="shared" si="2"/>
        <v>0</v>
      </c>
    </row>
    <row r="29" spans="3:13">
      <c r="C29" s="5" t="s">
        <v>385</v>
      </c>
      <c r="D29" s="5"/>
      <c r="E29" s="5"/>
      <c r="F29" s="5">
        <f t="shared" si="0"/>
        <v>0</v>
      </c>
      <c r="G29" s="5"/>
      <c r="H29" s="5"/>
      <c r="I29" s="5"/>
      <c r="J29" s="5">
        <f t="shared" si="1"/>
        <v>0</v>
      </c>
      <c r="K29" s="5"/>
      <c r="L29" s="5"/>
      <c r="M29" s="5">
        <f t="shared" si="2"/>
        <v>0</v>
      </c>
    </row>
    <row r="30" spans="3:13">
      <c r="C30" s="5" t="s">
        <v>386</v>
      </c>
      <c r="D30" s="5"/>
      <c r="E30" s="5"/>
      <c r="F30" s="5">
        <f t="shared" si="0"/>
        <v>0</v>
      </c>
      <c r="G30" s="5"/>
      <c r="H30" s="5"/>
      <c r="I30" s="5"/>
      <c r="J30" s="5">
        <f t="shared" si="1"/>
        <v>0</v>
      </c>
      <c r="K30" s="5"/>
      <c r="L30" s="5"/>
      <c r="M30" s="5">
        <f t="shared" si="2"/>
        <v>0</v>
      </c>
    </row>
    <row r="31" spans="3:13">
      <c r="C31" s="5" t="s">
        <v>387</v>
      </c>
      <c r="D31" s="5"/>
      <c r="E31" s="5"/>
      <c r="F31" s="5">
        <f t="shared" si="0"/>
        <v>0</v>
      </c>
      <c r="G31" s="5"/>
      <c r="H31" s="5"/>
      <c r="I31" s="5"/>
      <c r="J31" s="5">
        <f t="shared" si="1"/>
        <v>0</v>
      </c>
      <c r="K31" s="5"/>
      <c r="L31" s="5"/>
      <c r="M31" s="5">
        <f t="shared" si="2"/>
        <v>0</v>
      </c>
    </row>
    <row r="32" spans="3:13">
      <c r="C32" s="5"/>
      <c r="D32" s="5"/>
      <c r="E32" s="5"/>
      <c r="F32" s="5">
        <f t="shared" si="0"/>
        <v>0</v>
      </c>
      <c r="G32" s="5"/>
      <c r="H32" s="5"/>
      <c r="I32" s="5"/>
      <c r="J32" s="5">
        <f t="shared" si="1"/>
        <v>0</v>
      </c>
      <c r="K32" s="5"/>
      <c r="L32" s="5"/>
      <c r="M32" s="5">
        <f t="shared" si="2"/>
        <v>0</v>
      </c>
    </row>
    <row r="33" spans="3:13">
      <c r="C33" s="5"/>
      <c r="D33" s="5"/>
      <c r="E33" s="5"/>
      <c r="F33" s="5">
        <f t="shared" si="0"/>
        <v>0</v>
      </c>
      <c r="G33" s="5"/>
      <c r="H33" s="5"/>
      <c r="I33" s="5"/>
      <c r="J33" s="5">
        <f t="shared" si="1"/>
        <v>0</v>
      </c>
      <c r="K33" s="5"/>
      <c r="L33" s="5"/>
      <c r="M33" s="5">
        <f t="shared" si="2"/>
        <v>0</v>
      </c>
    </row>
    <row r="34" spans="3:13">
      <c r="C34" s="5"/>
      <c r="D34" s="5"/>
      <c r="E34" s="5"/>
      <c r="F34" s="5">
        <f t="shared" si="0"/>
        <v>0</v>
      </c>
      <c r="G34" s="5"/>
      <c r="H34" s="5"/>
      <c r="I34" s="5"/>
      <c r="J34" s="5">
        <f t="shared" si="1"/>
        <v>0</v>
      </c>
      <c r="K34" s="5"/>
      <c r="L34" s="5"/>
      <c r="M34" s="5">
        <f t="shared" si="2"/>
        <v>0</v>
      </c>
    </row>
    <row r="35" spans="3:13">
      <c r="C35" s="5" t="s">
        <v>183</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ColWidth="9" defaultRowHeight="15"/>
  <sheetData>
    <row r="3" spans="3:14">
      <c r="D3" s="1" t="s">
        <v>366</v>
      </c>
      <c r="E3" s="281"/>
      <c r="F3" s="281"/>
    </row>
    <row r="4" spans="3:14">
      <c r="F4" s="2"/>
      <c r="G4" s="2"/>
      <c r="H4" s="2"/>
      <c r="I4" s="2"/>
      <c r="J4" s="2"/>
      <c r="K4" s="2"/>
    </row>
    <row r="5" spans="3:14">
      <c r="C5" s="1" t="s">
        <v>367</v>
      </c>
      <c r="D5" s="3" t="s">
        <v>368</v>
      </c>
      <c r="E5" s="282" t="s">
        <v>369</v>
      </c>
      <c r="F5" s="282"/>
      <c r="G5" s="282"/>
      <c r="H5" s="4"/>
      <c r="I5" s="282" t="s">
        <v>370</v>
      </c>
      <c r="J5" s="282"/>
      <c r="K5" s="282"/>
      <c r="L5" s="282" t="s">
        <v>371</v>
      </c>
      <c r="M5" s="282"/>
      <c r="N5" s="282"/>
    </row>
    <row r="6" spans="3:14">
      <c r="C6" s="1">
        <v>1</v>
      </c>
      <c r="D6" s="3"/>
      <c r="E6" s="3" t="s">
        <v>372</v>
      </c>
      <c r="F6" s="3" t="s">
        <v>373</v>
      </c>
      <c r="G6" s="3" t="s">
        <v>180</v>
      </c>
      <c r="H6" s="3"/>
      <c r="I6" s="3" t="s">
        <v>372</v>
      </c>
      <c r="J6" s="3" t="s">
        <v>373</v>
      </c>
      <c r="K6" s="3" t="s">
        <v>180</v>
      </c>
      <c r="L6" s="3" t="s">
        <v>372</v>
      </c>
      <c r="M6" s="3" t="s">
        <v>373</v>
      </c>
      <c r="N6" s="3" t="s">
        <v>180</v>
      </c>
    </row>
    <row r="7" spans="3:14">
      <c r="D7" s="5" t="s">
        <v>374</v>
      </c>
      <c r="E7" s="5"/>
      <c r="F7" s="5"/>
      <c r="G7" s="5">
        <f>E7*F7</f>
        <v>0</v>
      </c>
      <c r="H7" s="5" t="s">
        <v>375</v>
      </c>
      <c r="I7" s="5"/>
      <c r="J7" s="5"/>
      <c r="K7" s="5">
        <f>I7*J7</f>
        <v>0</v>
      </c>
      <c r="L7" s="5"/>
      <c r="M7" s="5"/>
      <c r="N7" s="5">
        <f>L7*M7</f>
        <v>0</v>
      </c>
    </row>
    <row r="8" spans="3:14">
      <c r="D8" s="5"/>
      <c r="E8" s="5"/>
      <c r="F8" s="5"/>
      <c r="G8" s="5">
        <f t="shared" ref="G8:G34" si="0">E8*F8</f>
        <v>0</v>
      </c>
      <c r="H8" s="5" t="s">
        <v>376</v>
      </c>
      <c r="I8" s="5"/>
      <c r="J8" s="5"/>
      <c r="K8" s="5">
        <f t="shared" ref="K8:K34" si="1">I8*J8</f>
        <v>0</v>
      </c>
      <c r="L8" s="5"/>
      <c r="M8" s="5"/>
      <c r="N8" s="5">
        <f t="shared" ref="N8:N34" si="2">L8*M8</f>
        <v>0</v>
      </c>
    </row>
    <row r="9" spans="3:14">
      <c r="D9" s="5"/>
      <c r="E9" s="5"/>
      <c r="F9" s="5"/>
      <c r="G9" s="5">
        <f t="shared" si="0"/>
        <v>0</v>
      </c>
      <c r="H9" s="5"/>
      <c r="I9" s="5"/>
      <c r="J9" s="5"/>
      <c r="K9" s="5">
        <f t="shared" si="1"/>
        <v>0</v>
      </c>
      <c r="L9" s="5"/>
      <c r="M9" s="5"/>
      <c r="N9" s="5">
        <f t="shared" si="2"/>
        <v>0</v>
      </c>
    </row>
    <row r="10" spans="3:14">
      <c r="D10" s="5" t="s">
        <v>377</v>
      </c>
      <c r="E10" s="5"/>
      <c r="F10" s="5"/>
      <c r="G10" s="5">
        <f t="shared" si="0"/>
        <v>0</v>
      </c>
      <c r="H10" s="5" t="s">
        <v>375</v>
      </c>
      <c r="I10" s="5"/>
      <c r="J10" s="5"/>
      <c r="K10" s="5">
        <f t="shared" si="1"/>
        <v>0</v>
      </c>
      <c r="L10" s="5"/>
      <c r="M10" s="5"/>
      <c r="N10" s="5">
        <f t="shared" si="2"/>
        <v>0</v>
      </c>
    </row>
    <row r="11" spans="3:14">
      <c r="D11" s="5"/>
      <c r="E11" s="5"/>
      <c r="F11" s="5"/>
      <c r="G11" s="5">
        <f t="shared" si="0"/>
        <v>0</v>
      </c>
      <c r="H11" s="5" t="s">
        <v>376</v>
      </c>
      <c r="I11" s="5"/>
      <c r="J11" s="5"/>
      <c r="K11" s="5">
        <f t="shared" si="1"/>
        <v>0</v>
      </c>
      <c r="L11" s="5"/>
      <c r="M11" s="5"/>
      <c r="N11" s="5">
        <f t="shared" si="2"/>
        <v>0</v>
      </c>
    </row>
    <row r="12" spans="3:14">
      <c r="D12" s="5"/>
      <c r="E12" s="5"/>
      <c r="F12" s="5"/>
      <c r="G12" s="5">
        <f t="shared" si="0"/>
        <v>0</v>
      </c>
      <c r="H12" s="5"/>
      <c r="I12" s="5"/>
      <c r="J12" s="5"/>
      <c r="K12" s="5">
        <f t="shared" si="1"/>
        <v>0</v>
      </c>
      <c r="L12" s="5"/>
      <c r="M12" s="5"/>
      <c r="N12" s="5">
        <f t="shared" si="2"/>
        <v>0</v>
      </c>
    </row>
    <row r="13" spans="3:14">
      <c r="D13" s="5"/>
      <c r="E13" s="5"/>
      <c r="F13" s="5"/>
      <c r="G13" s="5">
        <f t="shared" si="0"/>
        <v>0</v>
      </c>
      <c r="H13" s="5"/>
      <c r="I13" s="5"/>
      <c r="J13" s="5"/>
      <c r="K13" s="5">
        <f t="shared" si="1"/>
        <v>0</v>
      </c>
      <c r="L13" s="5"/>
      <c r="M13" s="5"/>
      <c r="N13" s="5">
        <f t="shared" si="2"/>
        <v>0</v>
      </c>
    </row>
    <row r="14" spans="3:14">
      <c r="D14" s="5" t="s">
        <v>378</v>
      </c>
      <c r="E14" s="5"/>
      <c r="F14" s="5"/>
      <c r="G14" s="5">
        <f t="shared" si="0"/>
        <v>0</v>
      </c>
      <c r="H14" s="5" t="s">
        <v>375</v>
      </c>
      <c r="I14" s="5"/>
      <c r="J14" s="5"/>
      <c r="K14" s="5">
        <f t="shared" si="1"/>
        <v>0</v>
      </c>
      <c r="L14" s="5"/>
      <c r="M14" s="5"/>
      <c r="N14" s="5">
        <f t="shared" si="2"/>
        <v>0</v>
      </c>
    </row>
    <row r="15" spans="3:14">
      <c r="D15" s="5"/>
      <c r="E15" s="5"/>
      <c r="F15" s="5"/>
      <c r="G15" s="5">
        <f t="shared" si="0"/>
        <v>0</v>
      </c>
      <c r="H15" s="5" t="s">
        <v>376</v>
      </c>
      <c r="I15" s="5"/>
      <c r="J15" s="5"/>
      <c r="K15" s="5">
        <f t="shared" si="1"/>
        <v>0</v>
      </c>
      <c r="L15" s="5"/>
      <c r="M15" s="5"/>
      <c r="N15" s="5">
        <f t="shared" si="2"/>
        <v>0</v>
      </c>
    </row>
    <row r="16" spans="3:14">
      <c r="D16" s="5"/>
      <c r="E16" s="5"/>
      <c r="F16" s="5"/>
      <c r="G16" s="5">
        <f t="shared" si="0"/>
        <v>0</v>
      </c>
      <c r="H16" s="5"/>
      <c r="I16" s="5"/>
      <c r="J16" s="5"/>
      <c r="K16" s="5">
        <f t="shared" si="1"/>
        <v>0</v>
      </c>
      <c r="L16" s="5"/>
      <c r="M16" s="5"/>
      <c r="N16" s="5">
        <f t="shared" si="2"/>
        <v>0</v>
      </c>
    </row>
    <row r="17" spans="4:14">
      <c r="D17" s="5"/>
      <c r="E17" s="5"/>
      <c r="F17" s="5"/>
      <c r="G17" s="5">
        <f t="shared" si="0"/>
        <v>0</v>
      </c>
      <c r="H17" s="5"/>
      <c r="I17" s="5"/>
      <c r="J17" s="5"/>
      <c r="K17" s="5">
        <f t="shared" si="1"/>
        <v>0</v>
      </c>
      <c r="L17" s="5"/>
      <c r="M17" s="5"/>
      <c r="N17" s="5">
        <f t="shared" si="2"/>
        <v>0</v>
      </c>
    </row>
    <row r="18" spans="4:14">
      <c r="D18" s="5" t="s">
        <v>379</v>
      </c>
      <c r="E18" s="5"/>
      <c r="F18" s="5"/>
      <c r="G18" s="5">
        <f t="shared" si="0"/>
        <v>0</v>
      </c>
      <c r="H18" s="5" t="s">
        <v>375</v>
      </c>
      <c r="I18" s="5"/>
      <c r="J18" s="5"/>
      <c r="K18" s="5">
        <f t="shared" si="1"/>
        <v>0</v>
      </c>
      <c r="L18" s="5"/>
      <c r="M18" s="5"/>
      <c r="N18" s="5">
        <f t="shared" si="2"/>
        <v>0</v>
      </c>
    </row>
    <row r="19" spans="4:14">
      <c r="D19" s="5"/>
      <c r="E19" s="5"/>
      <c r="F19" s="5"/>
      <c r="G19" s="5">
        <f t="shared" si="0"/>
        <v>0</v>
      </c>
      <c r="H19" s="5" t="s">
        <v>376</v>
      </c>
      <c r="I19" s="5"/>
      <c r="J19" s="5"/>
      <c r="K19" s="5">
        <f t="shared" si="1"/>
        <v>0</v>
      </c>
      <c r="L19" s="5"/>
      <c r="M19" s="5"/>
      <c r="N19" s="5">
        <f t="shared" si="2"/>
        <v>0</v>
      </c>
    </row>
    <row r="20" spans="4:14">
      <c r="D20" s="5"/>
      <c r="E20" s="5"/>
      <c r="F20" s="5"/>
      <c r="G20" s="5">
        <f t="shared" si="0"/>
        <v>0</v>
      </c>
      <c r="H20" s="5"/>
      <c r="I20" s="5"/>
      <c r="J20" s="5"/>
      <c r="K20" s="5">
        <f t="shared" si="1"/>
        <v>0</v>
      </c>
      <c r="L20" s="5"/>
      <c r="M20" s="5"/>
      <c r="N20" s="5">
        <f t="shared" si="2"/>
        <v>0</v>
      </c>
    </row>
    <row r="21" spans="4:14">
      <c r="D21" s="5" t="s">
        <v>379</v>
      </c>
      <c r="E21" s="5"/>
      <c r="F21" s="5"/>
      <c r="G21" s="5">
        <f t="shared" si="0"/>
        <v>0</v>
      </c>
      <c r="H21" s="5" t="s">
        <v>375</v>
      </c>
      <c r="I21" s="5"/>
      <c r="J21" s="5"/>
      <c r="K21" s="5">
        <f t="shared" si="1"/>
        <v>0</v>
      </c>
      <c r="L21" s="5"/>
      <c r="M21" s="5"/>
      <c r="N21" s="5">
        <f t="shared" si="2"/>
        <v>0</v>
      </c>
    </row>
    <row r="22" spans="4:14">
      <c r="D22" s="5"/>
      <c r="E22" s="5"/>
      <c r="F22" s="5"/>
      <c r="G22" s="5">
        <f t="shared" si="0"/>
        <v>0</v>
      </c>
      <c r="H22" s="5" t="s">
        <v>376</v>
      </c>
      <c r="I22" s="5"/>
      <c r="J22" s="5"/>
      <c r="K22" s="5">
        <f t="shared" si="1"/>
        <v>0</v>
      </c>
      <c r="L22" s="5"/>
      <c r="M22" s="5"/>
      <c r="N22" s="5">
        <f t="shared" si="2"/>
        <v>0</v>
      </c>
    </row>
    <row r="23" spans="4:14">
      <c r="D23" s="5"/>
      <c r="E23" s="5"/>
      <c r="F23" s="5"/>
      <c r="G23" s="5">
        <f t="shared" si="0"/>
        <v>0</v>
      </c>
      <c r="H23" s="5"/>
      <c r="I23" s="5"/>
      <c r="J23" s="5"/>
      <c r="K23" s="5">
        <f t="shared" si="1"/>
        <v>0</v>
      </c>
      <c r="L23" s="5"/>
      <c r="M23" s="5"/>
      <c r="N23" s="5">
        <f t="shared" si="2"/>
        <v>0</v>
      </c>
    </row>
    <row r="24" spans="4:14">
      <c r="D24" s="5" t="s">
        <v>380</v>
      </c>
      <c r="E24" s="5"/>
      <c r="F24" s="5"/>
      <c r="G24" s="5">
        <f t="shared" si="0"/>
        <v>0</v>
      </c>
      <c r="H24" s="5" t="s">
        <v>381</v>
      </c>
      <c r="I24" s="5"/>
      <c r="J24" s="5"/>
      <c r="K24" s="5">
        <f t="shared" si="1"/>
        <v>0</v>
      </c>
      <c r="L24" s="5"/>
      <c r="M24" s="5"/>
      <c r="N24" s="5">
        <f t="shared" si="2"/>
        <v>0</v>
      </c>
    </row>
    <row r="25" spans="4:14">
      <c r="D25" s="5" t="s">
        <v>382</v>
      </c>
      <c r="E25" s="5"/>
      <c r="F25" s="5"/>
      <c r="G25" s="5">
        <f t="shared" si="0"/>
        <v>0</v>
      </c>
      <c r="H25" s="5" t="s">
        <v>381</v>
      </c>
      <c r="I25" s="5"/>
      <c r="J25" s="5"/>
      <c r="K25" s="5">
        <f t="shared" si="1"/>
        <v>0</v>
      </c>
      <c r="L25" s="5"/>
      <c r="M25" s="5"/>
      <c r="N25" s="5">
        <f t="shared" si="2"/>
        <v>0</v>
      </c>
    </row>
    <row r="26" spans="4:14">
      <c r="D26" s="5" t="s">
        <v>383</v>
      </c>
      <c r="E26" s="5"/>
      <c r="F26" s="5"/>
      <c r="G26" s="5">
        <f t="shared" si="0"/>
        <v>0</v>
      </c>
      <c r="H26" s="5" t="s">
        <v>381</v>
      </c>
      <c r="I26" s="5"/>
      <c r="J26" s="5"/>
      <c r="K26" s="5">
        <f t="shared" si="1"/>
        <v>0</v>
      </c>
      <c r="L26" s="5"/>
      <c r="M26" s="5"/>
      <c r="N26" s="5">
        <f t="shared" si="2"/>
        <v>0</v>
      </c>
    </row>
    <row r="27" spans="4:14">
      <c r="D27" s="5"/>
      <c r="E27" s="5"/>
      <c r="F27" s="5"/>
      <c r="G27" s="5">
        <f t="shared" si="0"/>
        <v>0</v>
      </c>
      <c r="H27" s="5"/>
      <c r="I27" s="5"/>
      <c r="J27" s="5"/>
      <c r="K27" s="5">
        <f t="shared" si="1"/>
        <v>0</v>
      </c>
      <c r="L27" s="5"/>
      <c r="M27" s="5"/>
      <c r="N27" s="5">
        <f t="shared" si="2"/>
        <v>0</v>
      </c>
    </row>
    <row r="28" spans="4:14">
      <c r="D28" s="5" t="s">
        <v>384</v>
      </c>
      <c r="E28" s="5"/>
      <c r="F28" s="5"/>
      <c r="G28" s="5">
        <f t="shared" si="0"/>
        <v>0</v>
      </c>
      <c r="H28" s="5"/>
      <c r="I28" s="5"/>
      <c r="J28" s="5"/>
      <c r="K28" s="5">
        <f t="shared" si="1"/>
        <v>0</v>
      </c>
      <c r="L28" s="5"/>
      <c r="M28" s="5"/>
      <c r="N28" s="5">
        <f t="shared" si="2"/>
        <v>0</v>
      </c>
    </row>
    <row r="29" spans="4:14">
      <c r="D29" s="5" t="s">
        <v>385</v>
      </c>
      <c r="E29" s="5"/>
      <c r="F29" s="5"/>
      <c r="G29" s="5">
        <f t="shared" si="0"/>
        <v>0</v>
      </c>
      <c r="H29" s="5"/>
      <c r="I29" s="5"/>
      <c r="J29" s="5"/>
      <c r="K29" s="5">
        <f t="shared" si="1"/>
        <v>0</v>
      </c>
      <c r="L29" s="5"/>
      <c r="M29" s="5"/>
      <c r="N29" s="5">
        <f t="shared" si="2"/>
        <v>0</v>
      </c>
    </row>
    <row r="30" spans="4:14">
      <c r="D30" s="5" t="s">
        <v>386</v>
      </c>
      <c r="E30" s="5"/>
      <c r="F30" s="5"/>
      <c r="G30" s="5">
        <f t="shared" si="0"/>
        <v>0</v>
      </c>
      <c r="H30" s="5"/>
      <c r="I30" s="5"/>
      <c r="J30" s="5"/>
      <c r="K30" s="5">
        <f t="shared" si="1"/>
        <v>0</v>
      </c>
      <c r="L30" s="5"/>
      <c r="M30" s="5"/>
      <c r="N30" s="5">
        <f t="shared" si="2"/>
        <v>0</v>
      </c>
    </row>
    <row r="31" spans="4:14">
      <c r="D31" s="5" t="s">
        <v>387</v>
      </c>
      <c r="E31" s="5"/>
      <c r="F31" s="5"/>
      <c r="G31" s="5">
        <f t="shared" si="0"/>
        <v>0</v>
      </c>
      <c r="H31" s="5"/>
      <c r="I31" s="5"/>
      <c r="J31" s="5"/>
      <c r="K31" s="5">
        <f t="shared" si="1"/>
        <v>0</v>
      </c>
      <c r="L31" s="5"/>
      <c r="M31" s="5"/>
      <c r="N31" s="5">
        <f t="shared" si="2"/>
        <v>0</v>
      </c>
    </row>
    <row r="32" spans="4:14">
      <c r="D32" s="5"/>
      <c r="E32" s="5"/>
      <c r="F32" s="5"/>
      <c r="G32" s="5">
        <f t="shared" si="0"/>
        <v>0</v>
      </c>
      <c r="H32" s="5"/>
      <c r="I32" s="5"/>
      <c r="J32" s="5"/>
      <c r="K32" s="5">
        <f t="shared" si="1"/>
        <v>0</v>
      </c>
      <c r="L32" s="5"/>
      <c r="M32" s="5"/>
      <c r="N32" s="5">
        <f t="shared" si="2"/>
        <v>0</v>
      </c>
    </row>
    <row r="33" spans="4:14">
      <c r="D33" s="5"/>
      <c r="E33" s="5"/>
      <c r="F33" s="5"/>
      <c r="G33" s="5">
        <f t="shared" si="0"/>
        <v>0</v>
      </c>
      <c r="H33" s="5"/>
      <c r="I33" s="5"/>
      <c r="J33" s="5"/>
      <c r="K33" s="5">
        <f t="shared" si="1"/>
        <v>0</v>
      </c>
      <c r="L33" s="5"/>
      <c r="M33" s="5"/>
      <c r="N33" s="5">
        <f t="shared" si="2"/>
        <v>0</v>
      </c>
    </row>
    <row r="34" spans="4:14">
      <c r="D34" s="5"/>
      <c r="E34" s="5"/>
      <c r="F34" s="5"/>
      <c r="G34" s="5">
        <f t="shared" si="0"/>
        <v>0</v>
      </c>
      <c r="H34" s="5"/>
      <c r="I34" s="5"/>
      <c r="J34" s="5"/>
      <c r="K34" s="5">
        <f t="shared" si="1"/>
        <v>0</v>
      </c>
      <c r="L34" s="5"/>
      <c r="M34" s="5"/>
      <c r="N34" s="5">
        <f t="shared" si="2"/>
        <v>0</v>
      </c>
    </row>
    <row r="35" spans="4:14">
      <c r="D35" s="5" t="s">
        <v>183</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 (2)</vt:lpstr>
      <vt:lpstr>Sheet1</vt:lpstr>
      <vt:lpstr>Construction %</vt:lpstr>
      <vt:lpstr>Construction % (2)</vt:lpstr>
      <vt:lpstr>Wing A</vt:lpstr>
      <vt:lpstr>Wing B</vt:lpstr>
      <vt:lpstr>Wing C</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VSJC-06</cp:lastModifiedBy>
  <cp:lastPrinted>2025-07-09T07:26:44Z</cp:lastPrinted>
  <dcterms:created xsi:type="dcterms:W3CDTF">2013-11-23T05:32:00Z</dcterms:created>
  <dcterms:modified xsi:type="dcterms:W3CDTF">2025-07-09T07:27:32Z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5BA23F07046A45EB9F62501DBB3D60F0_12</vt:lpwstr>
  </property>
</Properties>
</file>