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C114" i="1" l="1"/>
  <c r="C115" i="1" s="1"/>
  <c r="I85" i="1" l="1"/>
  <c r="E41" i="1" l="1"/>
  <c r="E40" i="1" s="1"/>
  <c r="D361" i="1"/>
  <c r="D360" i="1"/>
  <c r="D359" i="1"/>
  <c r="D358" i="1"/>
  <c r="D357" i="1"/>
  <c r="D356" i="1"/>
  <c r="D355" i="1"/>
  <c r="D354" i="1"/>
  <c r="D353" i="1"/>
  <c r="D350" i="1"/>
  <c r="D349" i="1"/>
  <c r="D348" i="1"/>
  <c r="D347" i="1"/>
  <c r="D346" i="1"/>
  <c r="D345" i="1"/>
  <c r="D344" i="1"/>
  <c r="D343" i="1"/>
  <c r="D342" i="1"/>
  <c r="D340" i="1"/>
  <c r="D339" i="1"/>
  <c r="D338" i="1"/>
  <c r="D337" i="1"/>
  <c r="D336" i="1"/>
  <c r="D335" i="1"/>
  <c r="D334" i="1"/>
  <c r="D333" i="1"/>
  <c r="D332" i="1"/>
  <c r="D331" i="1"/>
  <c r="K331" i="1"/>
  <c r="I337" i="1"/>
  <c r="J332" i="1"/>
  <c r="I332" i="1"/>
  <c r="I331" i="1"/>
  <c r="C176" i="1" l="1"/>
  <c r="E176" i="1"/>
  <c r="I341" i="1"/>
  <c r="I330" i="1"/>
  <c r="F361" i="1"/>
  <c r="F350" i="1"/>
  <c r="F349" i="1"/>
  <c r="F348" i="1"/>
  <c r="F347" i="1"/>
  <c r="F346" i="1"/>
  <c r="F345" i="1"/>
  <c r="F344" i="1"/>
  <c r="F343" i="1"/>
  <c r="A343" i="1"/>
  <c r="A344" i="1" s="1"/>
  <c r="A345" i="1" s="1"/>
  <c r="A346" i="1" s="1"/>
  <c r="A347" i="1" s="1"/>
  <c r="A348" i="1" s="1"/>
  <c r="A349" i="1" s="1"/>
  <c r="A350" i="1" s="1"/>
  <c r="A351" i="1" s="1"/>
  <c r="G342" i="1"/>
  <c r="F342" i="1"/>
  <c r="F360" i="1"/>
  <c r="F359" i="1"/>
  <c r="F358" i="1"/>
  <c r="F357" i="1"/>
  <c r="F356" i="1"/>
  <c r="F355" i="1"/>
  <c r="F354" i="1"/>
  <c r="A354" i="1"/>
  <c r="A355" i="1" s="1"/>
  <c r="A356" i="1" s="1"/>
  <c r="A357" i="1" s="1"/>
  <c r="A358" i="1" s="1"/>
  <c r="A359" i="1" s="1"/>
  <c r="A360" i="1" s="1"/>
  <c r="A361" i="1" s="1"/>
  <c r="G353" i="1"/>
  <c r="F353" i="1"/>
  <c r="I334" i="1"/>
  <c r="J340" i="1"/>
  <c r="I340" i="1"/>
  <c r="J331" i="1"/>
  <c r="F340" i="1"/>
  <c r="F339" i="1"/>
  <c r="F338" i="1"/>
  <c r="F337" i="1"/>
  <c r="F336" i="1"/>
  <c r="F335" i="1"/>
  <c r="F334" i="1"/>
  <c r="F333" i="1"/>
  <c r="F332" i="1"/>
  <c r="F331" i="1"/>
  <c r="A332" i="1"/>
  <c r="A333" i="1" s="1"/>
  <c r="A334" i="1" s="1"/>
  <c r="A335" i="1" s="1"/>
  <c r="A336" i="1" s="1"/>
  <c r="A337" i="1" s="1"/>
  <c r="A338" i="1" s="1"/>
  <c r="A339" i="1" s="1"/>
  <c r="A340" i="1" s="1"/>
  <c r="G331" i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D238" i="1"/>
  <c r="F238" i="1" s="1"/>
  <c r="D236" i="1"/>
  <c r="F236" i="1" s="1"/>
  <c r="D235" i="1"/>
  <c r="F235" i="1" s="1"/>
  <c r="D234" i="1"/>
  <c r="F234" i="1" s="1"/>
  <c r="D233" i="1"/>
  <c r="F233" i="1" s="1"/>
  <c r="D232" i="1"/>
  <c r="F232" i="1" s="1"/>
  <c r="F239" i="1"/>
  <c r="A239" i="1"/>
  <c r="A240" i="1" s="1"/>
  <c r="A241" i="1" s="1"/>
  <c r="A242" i="1" s="1"/>
  <c r="A243" i="1" s="1"/>
  <c r="A244" i="1" s="1"/>
  <c r="A245" i="1" s="1"/>
  <c r="A246" i="1" s="1"/>
  <c r="A247" i="1" s="1"/>
  <c r="G238" i="1"/>
  <c r="A233" i="1"/>
  <c r="A234" i="1" s="1"/>
  <c r="A235" i="1" s="1"/>
  <c r="A236" i="1" s="1"/>
  <c r="G232" i="1"/>
  <c r="C107" i="1"/>
  <c r="J118" i="1"/>
  <c r="J117" i="1"/>
  <c r="J116" i="1"/>
  <c r="J115" i="1"/>
  <c r="G168" i="1" l="1"/>
  <c r="G171" i="1"/>
  <c r="E168" i="1"/>
  <c r="E171" i="1"/>
  <c r="C168" i="1"/>
  <c r="G176" i="1"/>
  <c r="C171" i="1"/>
  <c r="I39" i="1"/>
  <c r="I42" i="1"/>
  <c r="G57" i="1"/>
  <c r="G58" i="1" s="1"/>
  <c r="C57" i="1"/>
  <c r="G53" i="1"/>
  <c r="J171" i="1" l="1"/>
  <c r="C123" i="1"/>
  <c r="D466" i="1"/>
  <c r="F466" i="1" s="1"/>
  <c r="D465" i="1"/>
  <c r="F465" i="1" s="1"/>
  <c r="D464" i="1"/>
  <c r="F464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I455" i="1"/>
  <c r="G455" i="1"/>
  <c r="D455" i="1"/>
  <c r="F455" i="1" s="1"/>
  <c r="D373" i="1"/>
  <c r="F373" i="1" s="1"/>
  <c r="D371" i="1"/>
  <c r="F371" i="1" s="1"/>
  <c r="D505" i="1"/>
  <c r="F505" i="1" s="1"/>
  <c r="I494" i="1"/>
  <c r="G494" i="1"/>
  <c r="D492" i="1"/>
  <c r="F492" i="1" s="1"/>
  <c r="D491" i="1"/>
  <c r="F491" i="1" s="1"/>
  <c r="D490" i="1"/>
  <c r="F490" i="1" s="1"/>
  <c r="D489" i="1"/>
  <c r="F489" i="1" s="1"/>
  <c r="D488" i="1"/>
  <c r="F488" i="1" s="1"/>
  <c r="D487" i="1"/>
  <c r="F487" i="1" s="1"/>
  <c r="D486" i="1"/>
  <c r="F486" i="1" s="1"/>
  <c r="D485" i="1"/>
  <c r="F485" i="1" s="1"/>
  <c r="D484" i="1"/>
  <c r="F484" i="1" s="1"/>
  <c r="D483" i="1"/>
  <c r="F483" i="1" s="1"/>
  <c r="D482" i="1"/>
  <c r="F482" i="1" s="1"/>
  <c r="I481" i="1"/>
  <c r="G481" i="1"/>
  <c r="D481" i="1"/>
  <c r="F481" i="1" s="1"/>
  <c r="D479" i="1"/>
  <c r="F479" i="1" s="1"/>
  <c r="D478" i="1"/>
  <c r="F478" i="1" s="1"/>
  <c r="D477" i="1"/>
  <c r="F477" i="1" s="1"/>
  <c r="D475" i="1"/>
  <c r="F475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I468" i="1"/>
  <c r="G468" i="1"/>
  <c r="D468" i="1"/>
  <c r="F468" i="1" s="1"/>
  <c r="D453" i="1"/>
  <c r="F453" i="1" s="1"/>
  <c r="D452" i="1"/>
  <c r="F452" i="1" s="1"/>
  <c r="D451" i="1"/>
  <c r="F451" i="1" s="1"/>
  <c r="D449" i="1"/>
  <c r="F449" i="1" s="1"/>
  <c r="D448" i="1"/>
  <c r="F448" i="1" s="1"/>
  <c r="D447" i="1"/>
  <c r="F447" i="1" s="1"/>
  <c r="D446" i="1"/>
  <c r="F446" i="1" s="1"/>
  <c r="D445" i="1"/>
  <c r="F445" i="1" s="1"/>
  <c r="D444" i="1"/>
  <c r="F444" i="1" s="1"/>
  <c r="D443" i="1"/>
  <c r="F443" i="1" s="1"/>
  <c r="I442" i="1"/>
  <c r="G442" i="1"/>
  <c r="D442" i="1"/>
  <c r="F442" i="1" s="1"/>
  <c r="D440" i="1"/>
  <c r="F440" i="1" s="1"/>
  <c r="D439" i="1"/>
  <c r="F439" i="1" s="1"/>
  <c r="D438" i="1"/>
  <c r="F438" i="1" s="1"/>
  <c r="D437" i="1"/>
  <c r="F437" i="1" s="1"/>
  <c r="D436" i="1"/>
  <c r="F436" i="1" s="1"/>
  <c r="D435" i="1"/>
  <c r="F435" i="1" s="1"/>
  <c r="D434" i="1"/>
  <c r="F434" i="1" s="1"/>
  <c r="D433" i="1"/>
  <c r="F433" i="1" s="1"/>
  <c r="D432" i="1"/>
  <c r="F432" i="1" s="1"/>
  <c r="D431" i="1"/>
  <c r="F431" i="1" s="1"/>
  <c r="D430" i="1"/>
  <c r="F430" i="1" s="1"/>
  <c r="I429" i="1"/>
  <c r="G429" i="1"/>
  <c r="D429" i="1"/>
  <c r="F429" i="1" s="1"/>
  <c r="D427" i="1"/>
  <c r="F427" i="1" s="1"/>
  <c r="D426" i="1"/>
  <c r="F426" i="1" s="1"/>
  <c r="D425" i="1"/>
  <c r="F425" i="1" s="1"/>
  <c r="D424" i="1"/>
  <c r="F424" i="1" s="1"/>
  <c r="I423" i="1"/>
  <c r="D423" i="1"/>
  <c r="F423" i="1" s="1"/>
  <c r="G427" i="1"/>
  <c r="D422" i="1"/>
  <c r="F422" i="1" s="1"/>
  <c r="F421" i="1"/>
  <c r="F419" i="1"/>
  <c r="F420" i="1"/>
  <c r="F418" i="1"/>
  <c r="I417" i="1"/>
  <c r="G416" i="1"/>
  <c r="D281" i="1"/>
  <c r="F281" i="1" s="1"/>
  <c r="D280" i="1"/>
  <c r="F280" i="1" s="1"/>
  <c r="G183" i="1" s="1"/>
  <c r="G184" i="1" s="1"/>
  <c r="D279" i="1"/>
  <c r="F279" i="1" s="1"/>
  <c r="D278" i="1"/>
  <c r="F278" i="1" s="1"/>
  <c r="D414" i="1"/>
  <c r="F414" i="1" s="1"/>
  <c r="D413" i="1"/>
  <c r="F413" i="1" s="1"/>
  <c r="D412" i="1"/>
  <c r="F412" i="1" s="1"/>
  <c r="D411" i="1"/>
  <c r="F411" i="1" s="1"/>
  <c r="D410" i="1"/>
  <c r="F410" i="1" s="1"/>
  <c r="D409" i="1"/>
  <c r="F409" i="1" s="1"/>
  <c r="I410" i="1"/>
  <c r="G409" i="1"/>
  <c r="G276" i="1"/>
  <c r="D406" i="1"/>
  <c r="F406" i="1" s="1"/>
  <c r="D405" i="1"/>
  <c r="F405" i="1" s="1"/>
  <c r="D404" i="1"/>
  <c r="F404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395" i="1"/>
  <c r="F395" i="1" s="1"/>
  <c r="I395" i="1"/>
  <c r="G395" i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F384" i="1" s="1"/>
  <c r="D383" i="1"/>
  <c r="F383" i="1" s="1"/>
  <c r="I382" i="1"/>
  <c r="G382" i="1"/>
  <c r="D382" i="1"/>
  <c r="F382" i="1" s="1"/>
  <c r="D367" i="1"/>
  <c r="F367" i="1" s="1"/>
  <c r="D374" i="1"/>
  <c r="F374" i="1" s="1"/>
  <c r="D370" i="1"/>
  <c r="F370" i="1" s="1"/>
  <c r="D369" i="1"/>
  <c r="F369" i="1" s="1"/>
  <c r="I369" i="1"/>
  <c r="G369" i="1"/>
  <c r="G367" i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G251" i="1"/>
  <c r="C121" i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G317" i="1"/>
  <c r="D317" i="1"/>
  <c r="F317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5" i="1"/>
  <c r="F305" i="1" s="1"/>
  <c r="D304" i="1"/>
  <c r="F304" i="1" s="1"/>
  <c r="D303" i="1"/>
  <c r="F303" i="1" s="1"/>
  <c r="D302" i="1"/>
  <c r="F302" i="1" s="1"/>
  <c r="I302" i="1" s="1"/>
  <c r="D301" i="1"/>
  <c r="F301" i="1" s="1"/>
  <c r="D300" i="1"/>
  <c r="F300" i="1" s="1"/>
  <c r="D299" i="1"/>
  <c r="F299" i="1" s="1"/>
  <c r="I299" i="1" s="1"/>
  <c r="D298" i="1"/>
  <c r="F298" i="1" s="1"/>
  <c r="D297" i="1"/>
  <c r="F297" i="1" s="1"/>
  <c r="D295" i="1"/>
  <c r="F295" i="1" s="1"/>
  <c r="D294" i="1"/>
  <c r="F294" i="1" s="1"/>
  <c r="D293" i="1"/>
  <c r="F293" i="1" s="1"/>
  <c r="D291" i="1"/>
  <c r="F291" i="1" s="1"/>
  <c r="D290" i="1"/>
  <c r="F290" i="1" s="1"/>
  <c r="D289" i="1"/>
  <c r="G185" i="1" l="1"/>
  <c r="G197" i="1"/>
  <c r="C197" i="1"/>
  <c r="E197" i="1"/>
  <c r="G182" i="1"/>
  <c r="E186" i="1"/>
  <c r="G186" i="1"/>
  <c r="G191" i="1"/>
  <c r="C191" i="1"/>
  <c r="C182" i="1"/>
  <c r="E192" i="1"/>
  <c r="E185" i="1"/>
  <c r="E183" i="1"/>
  <c r="E184" i="1" s="1"/>
  <c r="C186" i="1"/>
  <c r="E182" i="1"/>
  <c r="E191" i="1"/>
  <c r="C192" i="1"/>
  <c r="E194" i="1"/>
  <c r="G194" i="1"/>
  <c r="C183" i="1"/>
  <c r="C185" i="1"/>
  <c r="G195" i="1"/>
  <c r="G192" i="1"/>
  <c r="C195" i="1"/>
  <c r="C194" i="1"/>
  <c r="E195" i="1"/>
  <c r="E175" i="1"/>
  <c r="E177" i="1" s="1"/>
  <c r="C175" i="1"/>
  <c r="C177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A220" i="1"/>
  <c r="A221" i="1" s="1"/>
  <c r="A222" i="1" s="1"/>
  <c r="A223" i="1" s="1"/>
  <c r="A224" i="1" s="1"/>
  <c r="A225" i="1" s="1"/>
  <c r="A226" i="1" s="1"/>
  <c r="A227" i="1" s="1"/>
  <c r="A228" i="1" s="1"/>
  <c r="G219" i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C187" i="1" l="1"/>
  <c r="E170" i="1"/>
  <c r="E172" i="1" s="1"/>
  <c r="E167" i="1"/>
  <c r="E169" i="1" s="1"/>
  <c r="G187" i="1"/>
  <c r="G188" i="1" s="1"/>
  <c r="C184" i="1"/>
  <c r="E187" i="1"/>
  <c r="E188" i="1" s="1"/>
  <c r="C193" i="1"/>
  <c r="G196" i="1"/>
  <c r="E193" i="1"/>
  <c r="C196" i="1"/>
  <c r="G193" i="1"/>
  <c r="E196" i="1"/>
  <c r="C167" i="1"/>
  <c r="C169" i="1" s="1"/>
  <c r="F219" i="1"/>
  <c r="C170" i="1"/>
  <c r="C172" i="1" s="1"/>
  <c r="C188" i="1" l="1"/>
  <c r="C198" i="1"/>
  <c r="C199" i="1" s="1"/>
  <c r="E178" i="1"/>
  <c r="G198" i="1"/>
  <c r="G199" i="1" s="1"/>
  <c r="C178" i="1"/>
  <c r="E198" i="1"/>
  <c r="E199" i="1" s="1"/>
  <c r="J170" i="1"/>
  <c r="G170" i="1"/>
  <c r="G172" i="1" s="1"/>
  <c r="B508" i="1"/>
  <c r="C13" i="1" l="1"/>
  <c r="E27" i="1" l="1"/>
  <c r="F289" i="1" l="1"/>
  <c r="G175" i="1" s="1"/>
  <c r="G177" i="1" s="1"/>
  <c r="F208" i="1" l="1"/>
  <c r="G167" i="1" l="1"/>
  <c r="G169" i="1" s="1"/>
  <c r="G178" i="1" s="1"/>
  <c r="B50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34" i="1"/>
  <c r="G307" i="1"/>
  <c r="G297" i="1"/>
  <c r="G293" i="1"/>
  <c r="G289" i="1"/>
  <c r="A290" i="1"/>
  <c r="A291" i="1" s="1"/>
  <c r="A209" i="1"/>
  <c r="A210" i="1" s="1"/>
  <c r="A211" i="1" s="1"/>
  <c r="A212" i="1" s="1"/>
  <c r="A213" i="1" s="1"/>
  <c r="A214" i="1" s="1"/>
  <c r="A215" i="1" s="1"/>
  <c r="A216" i="1" s="1"/>
  <c r="A217" i="1" s="1"/>
  <c r="G208" i="1"/>
  <c r="F163" i="1"/>
  <c r="J147" i="1"/>
  <c r="J146" i="1"/>
  <c r="J145" i="1"/>
  <c r="J144" i="1"/>
  <c r="C136" i="1"/>
  <c r="J133" i="1"/>
  <c r="J132" i="1"/>
  <c r="J131" i="1"/>
  <c r="J130" i="1"/>
  <c r="J104" i="1"/>
  <c r="J103" i="1"/>
  <c r="J102" i="1"/>
  <c r="J101" i="1"/>
  <c r="C91" i="1"/>
  <c r="D77" i="1"/>
  <c r="E24" i="1"/>
  <c r="E22" i="1"/>
  <c r="E7" i="1"/>
  <c r="E3" i="1"/>
  <c r="D85" i="1" s="1"/>
  <c r="H122" i="1"/>
  <c r="H137" i="1"/>
  <c r="H92" i="1"/>
  <c r="D99" i="1" l="1"/>
  <c r="J97" i="1"/>
  <c r="D106" i="1"/>
  <c r="D104" i="1"/>
  <c r="D102" i="1"/>
  <c r="D100" i="1"/>
  <c r="J98" i="1"/>
  <c r="C97" i="1" s="1"/>
  <c r="D97" i="1" s="1"/>
  <c r="J96" i="1"/>
  <c r="J99" i="1"/>
  <c r="J100" i="1" s="1"/>
  <c r="J105" i="1" s="1"/>
  <c r="J106" i="1" s="1"/>
  <c r="C98" i="1" s="1"/>
  <c r="D105" i="1"/>
  <c r="D101" i="1"/>
  <c r="D103" i="1"/>
  <c r="C142" i="1"/>
  <c r="D142" i="1" s="1"/>
  <c r="J140" i="1"/>
  <c r="D149" i="1"/>
  <c r="D147" i="1"/>
  <c r="D145" i="1"/>
  <c r="D143" i="1"/>
  <c r="J141" i="1"/>
  <c r="C140" i="1" s="1"/>
  <c r="D140" i="1" s="1"/>
  <c r="J139" i="1"/>
  <c r="J142" i="1"/>
  <c r="J143" i="1" s="1"/>
  <c r="J148" i="1" s="1"/>
  <c r="J149" i="1" s="1"/>
  <c r="C141" i="1" s="1"/>
  <c r="D148" i="1"/>
  <c r="D146" i="1"/>
  <c r="D144" i="1"/>
  <c r="J128" i="1"/>
  <c r="J129" i="1" s="1"/>
  <c r="J134" i="1" s="1"/>
  <c r="J135" i="1" s="1"/>
  <c r="C127" i="1" s="1"/>
  <c r="D134" i="1"/>
  <c r="D132" i="1"/>
  <c r="D130" i="1"/>
  <c r="C128" i="1"/>
  <c r="D128" i="1" s="1"/>
  <c r="J126" i="1"/>
  <c r="D135" i="1"/>
  <c r="J127" i="1"/>
  <c r="C126" i="1" s="1"/>
  <c r="D126" i="1" s="1"/>
  <c r="D129" i="1"/>
  <c r="D131" i="1"/>
  <c r="D133" i="1"/>
  <c r="J125" i="1"/>
  <c r="E126" i="1" l="1"/>
  <c r="I121" i="1" s="1"/>
  <c r="D127" i="1"/>
  <c r="E140" i="1"/>
  <c r="I136" i="1" s="1"/>
  <c r="D141" i="1"/>
  <c r="E97" i="1"/>
  <c r="D98" i="1"/>
  <c r="G140" i="1"/>
  <c r="G126" i="1"/>
  <c r="G97" i="1"/>
  <c r="H108" i="1"/>
  <c r="I91" i="1" l="1"/>
  <c r="D120" i="1"/>
  <c r="D116" i="1"/>
  <c r="J113" i="1"/>
  <c r="J114" i="1" s="1"/>
  <c r="D113" i="1"/>
  <c r="J112" i="1"/>
  <c r="C111" i="1" s="1"/>
  <c r="D115" i="1"/>
  <c r="J111" i="1"/>
  <c r="D117" i="1"/>
  <c r="D114" i="1"/>
  <c r="J110" i="1"/>
  <c r="D119" i="1"/>
  <c r="D118" i="1"/>
  <c r="C138" i="1"/>
  <c r="J119" i="1" l="1"/>
  <c r="D111" i="1"/>
  <c r="J120" i="1" l="1"/>
  <c r="E111" i="1" l="1"/>
  <c r="I107" i="1" s="1"/>
  <c r="C109" i="1" s="1"/>
  <c r="D112" i="1"/>
  <c r="G111" i="1"/>
  <c r="D89" i="1" s="1"/>
  <c r="D90" i="1" l="1"/>
  <c r="F90" i="1"/>
</calcChain>
</file>

<file path=xl/sharedStrings.xml><?xml version="1.0" encoding="utf-8"?>
<sst xmlns="http://schemas.openxmlformats.org/spreadsheetml/2006/main" count="900" uniqueCount="300">
  <si>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</si>
  <si>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</si>
  <si>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</si>
  <si>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</si>
  <si>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</si>
  <si>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</si>
  <si>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</si>
  <si>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</si>
  <si>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</si>
  <si>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</si>
  <si>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</si>
  <si>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</si>
  <si>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</si>
  <si>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</si>
  <si>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</si>
  <si>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</si>
  <si>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</si>
  <si>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</si>
  <si>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</si>
  <si>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</si>
  <si>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</si>
  <si>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</si>
  <si>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</si>
  <si>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</si>
  <si>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</si>
  <si>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</si>
  <si>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</si>
  <si>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</si>
  <si>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</si>
  <si>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</si>
  <si>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</si>
  <si>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</si>
  <si>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</si>
  <si>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</si>
  <si>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</si>
  <si>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</si>
  <si>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</si>
  <si>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</si>
  <si>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</si>
  <si>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</si>
  <si>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</si>
  <si>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</si>
  <si>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</si>
  <si>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</si>
  <si>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</si>
  <si>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>Expected Completion</t>
  </si>
  <si>
    <t>Building wise Construction details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</si>
  <si>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</si>
  <si>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</si>
  <si>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</si>
  <si>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</si>
  <si>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</si>
  <si>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</si>
  <si>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</si>
  <si>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</si>
  <si>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</si>
  <si>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</si>
  <si>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</si>
  <si>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</si>
  <si>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</si>
  <si>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</si>
  <si>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</si>
  <si>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</si>
  <si>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</si>
  <si>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</si>
  <si>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</si>
  <si>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</si>
  <si>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</si>
  <si>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</si>
  <si>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</si>
  <si>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</si>
  <si>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</si>
  <si>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</si>
  <si>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</si>
  <si>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</si>
  <si>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</si>
  <si>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</si>
  <si>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</si>
  <si>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</si>
  <si>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</si>
  <si>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</si>
  <si>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</si>
  <si>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</si>
  <si>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</si>
  <si>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</si>
  <si>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</si>
  <si>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</si>
  <si>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</si>
  <si>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</si>
  <si>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</si>
  <si>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</si>
  <si>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</si>
  <si>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</si>
  <si>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</si>
  <si>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</si>
  <si>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</si>
  <si>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</si>
  <si>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</si>
  <si>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</si>
  <si>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</si>
  <si>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</si>
  <si>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</si>
  <si>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</si>
  <si>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</si>
  <si>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</si>
  <si>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</si>
  <si>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</si>
  <si>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</si>
  <si>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</si>
  <si>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</si>
  <si>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</si>
  <si>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</si>
  <si>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</si>
  <si>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</si>
  <si>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</si>
  <si>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</si>
  <si>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</si>
  <si>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</si>
  <si>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</si>
  <si>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</si>
  <si>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</si>
  <si>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</si>
  <si>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</si>
  <si>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</si>
  <si>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</si>
  <si>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</si>
  <si>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</si>
  <si>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</si>
  <si>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</si>
  <si>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</si>
  <si>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</si>
  <si>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</si>
  <si>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</si>
  <si>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</si>
  <si>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</si>
  <si>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</si>
  <si>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</si>
  <si>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</si>
  <si>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</si>
  <si>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</si>
  <si>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</si>
  <si>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</si>
  <si>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</si>
  <si>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</si>
  <si>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</si>
  <si>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</si>
  <si>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</si>
  <si>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</si>
  <si>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</si>
  <si>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</si>
  <si>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</si>
  <si>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</si>
  <si>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</si>
  <si>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</si>
  <si>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</si>
  <si>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</si>
  <si>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</si>
  <si>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Sanpada</t>
  </si>
  <si>
    <t>Larkins 315</t>
  </si>
  <si>
    <t>A Wing</t>
  </si>
  <si>
    <t>Plot No</t>
  </si>
  <si>
    <t>315, TPS -1</t>
  </si>
  <si>
    <t>Thane</t>
  </si>
  <si>
    <t>Slum Rehabilitation Authority</t>
  </si>
  <si>
    <t>SRA/ENG/3274/THANE/STGL/AP</t>
  </si>
  <si>
    <t>Namdeo Wadi Road</t>
  </si>
  <si>
    <t>Renuka Mata Mandir</t>
  </si>
  <si>
    <t>On Site, we meet Ms. Neha (9320034446).</t>
  </si>
  <si>
    <t>Ground Floor for Commercial &amp; Parking</t>
  </si>
  <si>
    <t>Shop</t>
  </si>
  <si>
    <t>1st &amp; 2nd Floor for Residential</t>
  </si>
  <si>
    <t>1BHK</t>
  </si>
  <si>
    <t>3rd Floor</t>
  </si>
  <si>
    <t>2BHK</t>
  </si>
  <si>
    <t>7th, 13th, 18th, 23th (Part Refuge Area)</t>
  </si>
  <si>
    <t>Refuge Area</t>
  </si>
  <si>
    <t>17th Floor</t>
  </si>
  <si>
    <t>Basement for Parking</t>
  </si>
  <si>
    <t>28th Floor (Service Floor)</t>
  </si>
  <si>
    <t>29th Floor (Aminity Area Floor)</t>
  </si>
  <si>
    <t>Office</t>
  </si>
  <si>
    <t>1st &amp; 2nd Floor</t>
  </si>
  <si>
    <t>Commercial Area Details for Shops</t>
  </si>
  <si>
    <t>4th to 6th, 8th to 12th, 14th to 16th, 19th to 22nd, 24th to 27th Floor</t>
  </si>
  <si>
    <t>M/s. Pushpak Developers</t>
  </si>
  <si>
    <t>Recommended rate of the Flat Per Sq. Ft. (on Saleable area)</t>
  </si>
  <si>
    <t>Recommended rate of the Shop Per Sq. Ft. (on Saleable area)</t>
  </si>
  <si>
    <t>SRA/ENG/3273/THANE/STGL/AP</t>
  </si>
  <si>
    <t>Sale Building</t>
  </si>
  <si>
    <t>Rehab Building</t>
  </si>
  <si>
    <t>Sale</t>
  </si>
  <si>
    <t>Rehab</t>
  </si>
  <si>
    <t>Ground Floor for Residential</t>
  </si>
  <si>
    <t>Ground Floor for Commercial (Part Aminity Area)</t>
  </si>
  <si>
    <t>Welfare Center</t>
  </si>
  <si>
    <t>Balwadi</t>
  </si>
  <si>
    <t>Library</t>
  </si>
  <si>
    <t>Gymnasium</t>
  </si>
  <si>
    <t>Society Office</t>
  </si>
  <si>
    <t>2nd to 7th, 9th to 12th, 14th to 17th, 19th to 22nd &amp; 24th Floor</t>
  </si>
  <si>
    <t>1st Floor (Part Aminity Area)</t>
  </si>
  <si>
    <t>8th, 13th 18th &amp; 23rd Floor (Part Refuge Area)</t>
  </si>
  <si>
    <t>B Wing</t>
  </si>
  <si>
    <t>Socialist Office</t>
  </si>
  <si>
    <t>Upper Ground Floor for Residential</t>
  </si>
  <si>
    <t>Upper Ground Floor for Commercial</t>
  </si>
  <si>
    <t>2nd to 6th, 8th to 11th, 13th to 16th &amp; 18th Floor</t>
  </si>
  <si>
    <t>7th, 12th, 17th Floor (Part Refuge Area)</t>
  </si>
  <si>
    <t>23rd Floor</t>
  </si>
  <si>
    <t>22nd Floor (Part Refuge Area)</t>
  </si>
  <si>
    <t>PAP</t>
  </si>
  <si>
    <t>Community Hall</t>
  </si>
  <si>
    <t>24th Floor (Ammenity Area)</t>
  </si>
  <si>
    <t>Wing A</t>
  </si>
  <si>
    <t>Total</t>
  </si>
  <si>
    <t>Wing B</t>
  </si>
  <si>
    <t>19th, 20th &amp; 21st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</si>
  <si>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</si>
  <si>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</si>
  <si>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</si>
  <si>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Sale Building (Wing A)</t>
  </si>
  <si>
    <t>Rehab Building (Wing A &amp; B)</t>
  </si>
  <si>
    <t>Approved no of units (Rehab Building)</t>
  </si>
  <si>
    <t>Approved no of units (Sale Building)</t>
  </si>
  <si>
    <t>Rehab Shop - 21, Sale Shop - 5, Rehab Flats - 455, Sale flats - 56, PAP flats - 40</t>
  </si>
  <si>
    <t>We have updated Approved floor plans &amp; OC of Rehab Building (Wing A &amp; B) on (19/07/2022)</t>
  </si>
  <si>
    <t>Vitrified tiles flooring, Kitchen Platform, Decorative, Gymnasium, Library</t>
  </si>
  <si>
    <t>Location Link</t>
  </si>
  <si>
    <t>Floor Rise Rate Per Sq.ft from 2nd Floor</t>
  </si>
  <si>
    <t>Ajay Songare</t>
  </si>
  <si>
    <t>Latitude, Longitude</t>
  </si>
  <si>
    <t>12.20 M. Wide D. P. Road</t>
  </si>
  <si>
    <t>6.00 M. Wide Road</t>
  </si>
  <si>
    <t>Other Plot</t>
  </si>
  <si>
    <t>Dharmaveer Marg</t>
  </si>
  <si>
    <t>Internal Road/Suniti Appartment</t>
  </si>
  <si>
    <t>Internal Road/Building</t>
  </si>
  <si>
    <t>19.197083,72.964178</t>
  </si>
  <si>
    <t>https://maps.app.goo.gl/cbM3GZHFn1WMatLo9</t>
  </si>
  <si>
    <t>SIA/MH/MIS/243356/2021</t>
  </si>
  <si>
    <t>Environment Clearance No: 
Valid Upto:</t>
  </si>
  <si>
    <t>Approved Plans, CC, EC &amp; OC</t>
  </si>
  <si>
    <t>Sale Building (Wing B)</t>
  </si>
  <si>
    <t>Valid Up to: Sale Building Wing B = This C.C. is Re-endorsed upto Plinth Level of Sale Building Wing - B as per approved amended plans dtd.03/05/2023.</t>
  </si>
  <si>
    <t>Valid Up to: Sale Building Wing A = This Further C.C. is Re-endorsed from Ground to 29th (Pt) floors including OHWT &amp; LMR of Sale Building Wing - A as per approved amended plans dtd.03/05/2023.</t>
  </si>
  <si>
    <t>Sale Building (Wing C)</t>
  </si>
  <si>
    <t>Valid Up to: Sale Building Wing C = This Further C.C. is Re-endorsed from Gr.(pt) Stilt(pt) + 1st to 28th upper floors including OHWT &amp; LMR of Sale Building Wing - C as per approved amended plans dtd.03/05/2023</t>
  </si>
  <si>
    <t>O. Certificate No.: For Rehab Building 
Wing A &amp; B
Valid Up to:</t>
  </si>
  <si>
    <t>1st to 3rd Floor</t>
  </si>
  <si>
    <t>4th Floor (Service Floor)</t>
  </si>
  <si>
    <t>5th, 6th, 8th to 10th, 12th to 14th, 17th to 20th, 22nd to 25th, 
27th, 30th, 32nd &amp; 33rd Floor For Residential</t>
  </si>
  <si>
    <t>3BHK</t>
  </si>
  <si>
    <t>7th, 11th, 16th, 21st, 26th &amp; 31st Floor (Part Refuge Area &amp; Sale Area)</t>
  </si>
  <si>
    <t>15th Floor (Part Refuge Area &amp; Sale Area)</t>
  </si>
  <si>
    <t>3.5BHK</t>
  </si>
  <si>
    <t>28th Floor (Recreational Floor)</t>
  </si>
  <si>
    <t>29th Floor For Fitness Centre, Seating Area, Kids Play Area &amp; Cafe</t>
  </si>
  <si>
    <t>Shops</t>
  </si>
  <si>
    <t>Offices</t>
  </si>
  <si>
    <t>Total Shops</t>
  </si>
  <si>
    <t>Total Offices</t>
  </si>
  <si>
    <t>Total Flats</t>
  </si>
  <si>
    <t>Commercial Area Details :</t>
  </si>
  <si>
    <t>Grand Total in Sale Building</t>
  </si>
  <si>
    <t>Flats - 484, Shops - 15, Office - 50</t>
  </si>
  <si>
    <t>Layout :</t>
  </si>
  <si>
    <t>2.90KM from Thane Railway Station</t>
  </si>
  <si>
    <t>Thane West</t>
  </si>
  <si>
    <t>We have updated Part OC of Sale Building (Wing A) on (27/12/2023).</t>
  </si>
  <si>
    <t>We considered Gross carpet area = Net carpet + Balcony Area.</t>
  </si>
  <si>
    <t xml:space="preserve">Plot No. 315, TPS No. 1
Plot Area = 11390.68 Sqm 
Total Builtup Area = 127313.84 Sqm
</t>
  </si>
  <si>
    <t>4 Wings</t>
  </si>
  <si>
    <t>Documents Provided</t>
  </si>
  <si>
    <t>Amenity Area</t>
  </si>
  <si>
    <t>Sale Building (Wing A &amp; B)
Rehab Building (Wing A &amp; B)</t>
  </si>
  <si>
    <t>Sale Building (Wing B) = B + Gr/st + 1st to 3rd Floor + 4th Floor (Service Floor) + 5th to 27th Floor +  28th Floor (Recreational Floor) + 29th Floor (Recreational Floor) + 30th to 33rd Floor</t>
  </si>
  <si>
    <t>Sale Building (Wing A) = B + Gr/st + 1st to 27th Floor +  28th Floor (Service Floor) + 29th Floor (Amenity Area Floor)</t>
  </si>
  <si>
    <t>Sale Building (Wing A) = B + Gr/st + 1st to 27th Floor +  28th Floor (Service Floor) + 29th Floor (Amenity Area Floor)
Sale Building (Wing B) = B + Gr/st + 1st to 3rd Floor + 4th Floor (Service Floor) + 5th to 27th Floor +  28th Floor (Recreational Floor) + 29th Floor (Recreational Floor) + 30th to 33rd Floor
Rehab Building Wing A &amp; B =  Gr + 1st to 24th Floor</t>
  </si>
  <si>
    <t>Rehab Building (Wing A &amp; B) =  Gr + 1st to 24th Floor</t>
  </si>
  <si>
    <t>Ground Floor for Commercial, Meter Room, Socirty Office, Entrance Lobby &amp; Parking</t>
  </si>
  <si>
    <t>Part O. Certificate No.: For Sale Building Wing A
Valid Up to:</t>
  </si>
  <si>
    <t>Gr + 1st to 24th Floor</t>
  </si>
  <si>
    <t>We have updated Approved layout plan, floor plans &amp; CC of Sale Building (Wing B) on (27/12/2023).</t>
  </si>
  <si>
    <t>Grand Total</t>
  </si>
  <si>
    <t>Gr + 1st(pt) &amp; 2nd(pt) Floor</t>
  </si>
  <si>
    <t xml:space="preserve">Wing A 
</t>
  </si>
  <si>
    <t>SRA/ENG/3274/THANE/STGL</t>
  </si>
  <si>
    <t>SRA/ENG/3273/THANE/AP</t>
  </si>
  <si>
    <t>Larkins 315 Fio A (Sale Wing A)=  P51700027115
Larkins 315 Rio B (Sale Wing B) = P51700052258
Rehab Building (Wing A &amp; B) = Not Register on
Rera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</si>
  <si>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E mail : vsjcapf@gmail.com. Web site : www.vsjadon.com</t>
  </si>
  <si>
    <t>As per RERA - Larkins 315 Fio A (30/12/2026)
                       Larkins 315 Rio B (31/12/2028)</t>
  </si>
  <si>
    <t>Part OCC of Grounct floor. and Remaining part OCC of 1st &amp; 2nd Floor and Full OCC of 3rd to 28th + 29th(pt) floors including CHWT &amp; LMR Of Sale Building Wing A.</t>
  </si>
  <si>
    <t>Part O. Certificate No.:
Sale Building Wing A
Valid Up to:</t>
  </si>
  <si>
    <t>We have updated OC of Sale Building (Wing A) on 16/11/2024.</t>
  </si>
  <si>
    <t>This C.C. is Further extended from Basement Gr. (Pt) Stilt (Pt) + 1st to 4th floors of Sale Building wing-B as per approved amended plans dtd.03/05/2023.</t>
  </si>
  <si>
    <t>This Further C.C. is Re-endorsed upto 4th floor of Sale Building Wing-B as per approved amended plans dtd.29/10/2024</t>
  </si>
  <si>
    <t>We have updated revised approved CC for Sale (Wing B) on 26/12/2024.</t>
  </si>
  <si>
    <t>This Further C.C. is extended from 5 to 15th floors of Sale Building Wing-B as per approved amended plans did.29/10/2024.</t>
  </si>
  <si>
    <t>Sale Building (Wing A) = All work Completed. OC Received.
Sale Building (Wing B) = Construction work is in process at the time of Visit.  (Internal photo not allowed)
Rehab Building (Wing A &amp; B) = All work Completed. OC Received.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</si>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</sst>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.5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4"/>
    <xf numFmtId="0" fontId="1" fillId="0" borderId="0" xfId="5"/>
    <xf numFmtId="0" fontId="5" fillId="0" borderId="1" xfId="5" applyFont="1" applyBorder="1" applyAlignment="1">
      <alignment horizontal="center" vertical="top" wrapText="1"/>
    </xf>
    <xf numFmtId="0" fontId="1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0" xfId="1" applyFont="1"/>
    <xf numFmtId="0" fontId="6" fillId="0" borderId="1" xfId="1" applyFont="1" applyBorder="1" applyAlignment="1" applyProtection="1">
      <alignment horizontal="center" wrapText="1"/>
      <protection locked="0"/>
    </xf>
    <xf numFmtId="9" fontId="6" fillId="0" borderId="1" xfId="1" applyNumberFormat="1" applyFont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wrapText="1"/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9" fontId="6" fillId="0" borderId="6" xfId="1" applyNumberFormat="1" applyFont="1" applyBorder="1" applyAlignment="1" applyProtection="1">
      <alignment horizontal="center" vertical="center" wrapText="1"/>
      <protection hidden="1"/>
    </xf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14" fillId="0" borderId="0" xfId="1" applyFont="1"/>
    <xf numFmtId="0" fontId="6" fillId="0" borderId="10" xfId="1" applyFont="1" applyBorder="1" applyProtection="1">
      <protection hidden="1"/>
    </xf>
    <xf numFmtId="0" fontId="6" fillId="0" borderId="11" xfId="1" applyFont="1" applyBorder="1" applyProtection="1">
      <protection hidden="1"/>
    </xf>
    <xf numFmtId="0" fontId="6" fillId="0" borderId="12" xfId="1" applyFont="1" applyBorder="1" applyProtection="1">
      <protection hidden="1"/>
    </xf>
    <xf numFmtId="0" fontId="8" fillId="0" borderId="0" xfId="0" applyFont="1" applyProtection="1">
      <protection hidden="1"/>
    </xf>
    <xf numFmtId="0" fontId="6" fillId="0" borderId="12" xfId="1" applyFont="1" applyBorder="1"/>
    <xf numFmtId="0" fontId="8" fillId="0" borderId="12" xfId="0" applyFont="1" applyBorder="1" applyProtection="1">
      <protection hidden="1"/>
    </xf>
    <xf numFmtId="1" fontId="15" fillId="0" borderId="12" xfId="0" applyNumberFormat="1" applyFont="1" applyBorder="1"/>
    <xf numFmtId="1" fontId="15" fillId="0" borderId="12" xfId="0" applyNumberFormat="1" applyFont="1" applyBorder="1" applyAlignment="1">
      <alignment horizontal="right"/>
    </xf>
    <xf numFmtId="0" fontId="8" fillId="0" borderId="13" xfId="0" applyFont="1" applyBorder="1" applyProtection="1">
      <protection hidden="1"/>
    </xf>
    <xf numFmtId="1" fontId="15" fillId="0" borderId="14" xfId="0" applyNumberFormat="1" applyFont="1" applyBorder="1"/>
    <xf numFmtId="0" fontId="8" fillId="0" borderId="0" xfId="1" applyFont="1"/>
    <xf numFmtId="0" fontId="6" fillId="0" borderId="0" xfId="2" applyFont="1"/>
    <xf numFmtId="0" fontId="6" fillId="0" borderId="0" xfId="0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1" fontId="6" fillId="0" borderId="0" xfId="0" applyNumberFormat="1" applyFont="1" applyAlignment="1">
      <alignment horizontal="center" vertical="center"/>
    </xf>
    <xf numFmtId="2" fontId="6" fillId="0" borderId="0" xfId="1" applyNumberFormat="1" applyFont="1"/>
    <xf numFmtId="169" fontId="6" fillId="0" borderId="0" xfId="1" applyNumberFormat="1" applyFont="1" applyAlignment="1" applyProtection="1">
      <alignment horizontal="center" vertical="center" wrapText="1"/>
      <protection locked="0"/>
    </xf>
    <xf numFmtId="0" fontId="6" fillId="4" borderId="0" xfId="2" applyFont="1" applyFill="1"/>
    <xf numFmtId="1" fontId="7" fillId="0" borderId="0" xfId="1" applyNumberFormat="1" applyFont="1" applyAlignment="1">
      <alignment horizontal="center" vertical="center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9" fontId="6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center" wrapText="1"/>
      <protection locked="0"/>
    </xf>
    <xf numFmtId="9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18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23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 applyProtection="1">
      <alignment horizontal="center" vertical="top" wrapText="1"/>
      <protection locked="0"/>
    </xf>
    <xf numFmtId="1" fontId="7" fillId="0" borderId="2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7" borderId="1" xfId="1" applyFont="1" applyFill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9" fontId="6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7" fillId="0" borderId="8" xfId="10" applyFill="1" applyBorder="1" applyAlignment="1" applyProtection="1">
      <alignment horizontal="left"/>
      <protection locked="0"/>
    </xf>
    <xf numFmtId="0" fontId="6" fillId="0" borderId="23" xfId="1" applyFont="1" applyBorder="1" applyAlignment="1" applyProtection="1">
      <alignment horizontal="left"/>
      <protection locked="0"/>
    </xf>
    <xf numFmtId="0" fontId="6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67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2" xfId="1" applyNumberFormat="1" applyFont="1" applyBorder="1" applyAlignment="1" applyProtection="1">
      <alignment horizontal="center" vertical="top" wrapText="1"/>
      <protection locked="0"/>
    </xf>
    <xf numFmtId="1" fontId="16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35" xfId="0" applyNumberFormat="1" applyFont="1" applyBorder="1" applyAlignment="1" applyProtection="1">
      <alignment horizontal="center" vertical="center"/>
      <protection locked="0"/>
    </xf>
    <xf numFmtId="1" fontId="7" fillId="0" borderId="36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7" fillId="6" borderId="1" xfId="1" applyFont="1" applyFill="1" applyBorder="1" applyAlignment="1" applyProtection="1">
      <alignment horizontal="center" vertical="top"/>
      <protection locked="0"/>
    </xf>
    <xf numFmtId="0" fontId="7" fillId="0" borderId="29" xfId="1" applyFont="1" applyBorder="1" applyAlignment="1" applyProtection="1">
      <alignment horizontal="left" vertical="top" wrapText="1"/>
      <protection locked="0"/>
    </xf>
    <xf numFmtId="0" fontId="7" fillId="0" borderId="33" xfId="1" applyFont="1" applyBorder="1" applyAlignment="1" applyProtection="1">
      <alignment horizontal="left" vertical="top" wrapText="1"/>
      <protection locked="0"/>
    </xf>
    <xf numFmtId="9" fontId="6" fillId="0" borderId="6" xfId="1" applyNumberFormat="1" applyFont="1" applyBorder="1" applyAlignment="1" applyProtection="1">
      <alignment horizontal="center" vertical="center" wrapText="1"/>
      <protection hidden="1"/>
    </xf>
    <xf numFmtId="9" fontId="6" fillId="0" borderId="4" xfId="1" applyNumberFormat="1" applyFont="1" applyBorder="1" applyAlignment="1" applyProtection="1">
      <alignment horizontal="center" vertical="center" wrapText="1"/>
      <protection hidden="1"/>
    </xf>
    <xf numFmtId="9" fontId="6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37" xfId="1" applyFont="1" applyBorder="1" applyAlignment="1" applyProtection="1">
      <alignment horizontal="left" vertical="top" wrapText="1"/>
      <protection locked="0"/>
    </xf>
    <xf numFmtId="0" fontId="7" fillId="0" borderId="38" xfId="1" applyFont="1" applyBorder="1" applyAlignment="1" applyProtection="1">
      <alignment horizontal="left" vertical="top" wrapText="1"/>
      <protection locked="0"/>
    </xf>
    <xf numFmtId="0" fontId="7" fillId="0" borderId="39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27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28" xfId="1" applyFont="1" applyBorder="1" applyAlignment="1" applyProtection="1">
      <alignment horizontal="left" vertical="top" wrapText="1"/>
      <protection locked="0"/>
    </xf>
    <xf numFmtId="0" fontId="6" fillId="0" borderId="29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" fontId="7" fillId="0" borderId="34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9" fontId="6" fillId="0" borderId="2" xfId="1" applyNumberFormat="1" applyFont="1" applyBorder="1" applyAlignment="1" applyProtection="1">
      <alignment horizontal="center" vertical="center" wrapText="1"/>
      <protection hidden="1"/>
    </xf>
    <xf numFmtId="0" fontId="7" fillId="0" borderId="32" xfId="1" applyFont="1" applyBorder="1" applyAlignment="1" applyProtection="1">
      <alignment horizontal="left" vertical="top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8" xfId="1" applyNumberFormat="1" applyFont="1" applyBorder="1" applyAlignment="1" applyProtection="1">
      <alignment horizontal="left" vertical="top" wrapText="1"/>
      <protection locked="0"/>
    </xf>
    <xf numFmtId="167" fontId="6" fillId="0" borderId="9" xfId="1" applyNumberFormat="1" applyFont="1" applyBorder="1" applyAlignment="1" applyProtection="1">
      <alignment horizontal="left" vertical="top" wrapText="1"/>
      <protection locked="0"/>
    </xf>
    <xf numFmtId="0" fontId="7" fillId="5" borderId="1" xfId="1" applyFont="1" applyFill="1" applyBorder="1" applyAlignment="1" applyProtection="1">
      <alignment horizontal="center" vertical="top"/>
      <protection locked="0"/>
    </xf>
    <xf numFmtId="0" fontId="7" fillId="3" borderId="1" xfId="1" applyFont="1" applyFill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center" vertical="top" wrapText="1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top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 applyProtection="1">
      <alignment horizontal="left" vertical="top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horizontal="left"/>
    </xf>
    <xf numFmtId="0" fontId="7" fillId="0" borderId="40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4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/>
      <protection locked="0"/>
    </xf>
    <xf numFmtId="9" fontId="7" fillId="0" borderId="6" xfId="1" applyNumberFormat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553</xdr:row>
      <xdr:rowOff>92136</xdr:rowOff>
    </xdr:from>
    <xdr:to>
      <xdr:col>10</xdr:col>
      <xdr:colOff>292730</xdr:colOff>
      <xdr:row>556</xdr:row>
      <xdr:rowOff>15281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6886575" y="113420586"/>
          <a:ext cx="1854830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Rehab Building</a:t>
          </a:r>
        </a:p>
        <a:p>
          <a:r>
            <a:rPr lang="en-US" sz="1400" b="1">
              <a:solidFill>
                <a:srgbClr val="FF0000"/>
              </a:solidFill>
            </a:rPr>
            <a:t> (Wing A &amp; B</a:t>
          </a:r>
          <a:r>
            <a:rPr lang="en-US" sz="1400"/>
            <a:t>)</a:t>
          </a:r>
          <a:endParaRPr lang="x-none" sz="1400"/>
        </a:p>
      </xdr:txBody>
    </xdr:sp>
    <xdr:clientData/>
  </xdr:twoCellAnchor>
  <xdr:twoCellAnchor>
    <xdr:from>
      <xdr:col>9</xdr:col>
      <xdr:colOff>333375</xdr:colOff>
      <xdr:row>532</xdr:row>
      <xdr:rowOff>168734</xdr:rowOff>
    </xdr:from>
    <xdr:to>
      <xdr:col>11</xdr:col>
      <xdr:colOff>180975</xdr:colOff>
      <xdr:row>535</xdr:row>
      <xdr:rowOff>99317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8020050" y="86922434"/>
          <a:ext cx="1314450" cy="530658"/>
        </a:xfrm>
        <a:prstGeom prst="rect">
          <a:avLst/>
        </a:prstGeom>
        <a:noFill/>
        <a:ln>
          <a:noFill/>
        </a:ln>
      </xdr:spPr>
      <xdr:txBody>
        <a:bodyPr wrap="square" anchor="ctr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Sale Building </a:t>
          </a:r>
        </a:p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(Wing A)</a:t>
          </a:r>
        </a:p>
      </xdr:txBody>
    </xdr:sp>
    <xdr:clientData/>
  </xdr:twoCellAnchor>
  <xdr:twoCellAnchor>
    <xdr:from>
      <xdr:col>0</xdr:col>
      <xdr:colOff>390525</xdr:colOff>
      <xdr:row>578</xdr:row>
      <xdr:rowOff>28575</xdr:rowOff>
    </xdr:from>
    <xdr:to>
      <xdr:col>7</xdr:col>
      <xdr:colOff>821983</xdr:colOff>
      <xdr:row>598</xdr:row>
      <xdr:rowOff>185613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GrpSpPr/>
      </xdr:nvGrpSpPr>
      <xdr:grpSpPr>
        <a:xfrm>
          <a:off x="390525" y="116366925"/>
          <a:ext cx="6127408" cy="4157538"/>
          <a:chOff x="723900" y="290512"/>
          <a:chExt cx="6131433" cy="4157538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xmlns="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23900" y="290512"/>
            <a:ext cx="5760000" cy="415753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xmlns="" id="{00000000-0008-0000-0000-000033000000}"/>
              </a:ext>
            </a:extLst>
          </xdr:cNvPr>
          <xdr:cNvSpPr/>
        </xdr:nvSpPr>
        <xdr:spPr>
          <a:xfrm>
            <a:off x="4687067" y="678647"/>
            <a:ext cx="1163827" cy="2061309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2" name="TextBox 3">
            <a:extLst>
              <a:ext uri="{FF2B5EF4-FFF2-40B4-BE49-F238E27FC236}">
                <a16:creationId xmlns:a16="http://schemas.microsoft.com/office/drawing/2014/main" xmlns="" id="{00000000-0008-0000-0000-000034000000}"/>
              </a:ext>
            </a:extLst>
          </xdr:cNvPr>
          <xdr:cNvSpPr txBox="1"/>
        </xdr:nvSpPr>
        <xdr:spPr>
          <a:xfrm>
            <a:off x="5915603" y="1414783"/>
            <a:ext cx="939730" cy="63224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chemeClr val="tx1"/>
                </a:solidFill>
              </a:rPr>
              <a:t>Sale</a:t>
            </a:r>
          </a:p>
          <a:p>
            <a:pPr algn="ctr"/>
            <a:r>
              <a:rPr lang="en-US" b="1">
                <a:solidFill>
                  <a:schemeClr val="tx1"/>
                </a:solidFill>
              </a:rPr>
              <a:t>Wing B</a:t>
            </a:r>
            <a:endParaRPr lang="en-IN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1</xdr:col>
      <xdr:colOff>704850</xdr:colOff>
      <xdr:row>600</xdr:row>
      <xdr:rowOff>28575</xdr:rowOff>
    </xdr:from>
    <xdr:to>
      <xdr:col>6</xdr:col>
      <xdr:colOff>95250</xdr:colOff>
      <xdr:row>616</xdr:row>
      <xdr:rowOff>74704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203" y="119617751"/>
          <a:ext cx="3753223" cy="31538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686707</xdr:colOff>
      <xdr:row>620</xdr:row>
      <xdr:rowOff>38100</xdr:rowOff>
    </xdr:from>
    <xdr:to>
      <xdr:col>7</xdr:col>
      <xdr:colOff>99787</xdr:colOff>
      <xdr:row>638</xdr:row>
      <xdr:rowOff>8163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6707" y="127111125"/>
          <a:ext cx="5109030" cy="35705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628650</xdr:colOff>
      <xdr:row>638</xdr:row>
      <xdr:rowOff>170286</xdr:rowOff>
    </xdr:from>
    <xdr:to>
      <xdr:col>7</xdr:col>
      <xdr:colOff>157844</xdr:colOff>
      <xdr:row>657</xdr:row>
      <xdr:rowOff>85468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GrpSpPr/>
      </xdr:nvGrpSpPr>
      <xdr:grpSpPr>
        <a:xfrm>
          <a:off x="628650" y="128510136"/>
          <a:ext cx="5225144" cy="3715657"/>
          <a:chOff x="994500" y="3930631"/>
          <a:chExt cx="5225144" cy="3715657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xmlns="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94500" y="3930631"/>
            <a:ext cx="5225144" cy="37156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xmlns="" id="{00000000-0008-0000-0000-000039000000}"/>
              </a:ext>
            </a:extLst>
          </xdr:cNvPr>
          <xdr:cNvSpPr/>
        </xdr:nvSpPr>
        <xdr:spPr>
          <a:xfrm rot="791016">
            <a:off x="2984740" y="4494496"/>
            <a:ext cx="1587261" cy="258792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10</xdr:col>
      <xdr:colOff>695325</xdr:colOff>
      <xdr:row>352</xdr:row>
      <xdr:rowOff>19050</xdr:rowOff>
    </xdr:from>
    <xdr:to>
      <xdr:col>15</xdr:col>
      <xdr:colOff>323434</xdr:colOff>
      <xdr:row>370</xdr:row>
      <xdr:rowOff>123365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00" y="71037450"/>
          <a:ext cx="3323809" cy="3685714"/>
        </a:xfrm>
        <a:prstGeom prst="rect">
          <a:avLst/>
        </a:prstGeom>
      </xdr:spPr>
    </xdr:pic>
    <xdr:clientData/>
  </xdr:twoCellAnchor>
  <xdr:twoCellAnchor>
    <xdr:from>
      <xdr:col>0</xdr:col>
      <xdr:colOff>573538</xdr:colOff>
      <xdr:row>580</xdr:row>
      <xdr:rowOff>121227</xdr:rowOff>
    </xdr:from>
    <xdr:to>
      <xdr:col>4</xdr:col>
      <xdr:colOff>17318</xdr:colOff>
      <xdr:row>588</xdr:row>
      <xdr:rowOff>72329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73538" y="120898227"/>
          <a:ext cx="2786189" cy="1613647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0</xdr:col>
      <xdr:colOff>605118</xdr:colOff>
      <xdr:row>581</xdr:row>
      <xdr:rowOff>180313</xdr:rowOff>
    </xdr:from>
    <xdr:ext cx="1235851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05118" y="121165131"/>
          <a:ext cx="123585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Rehab</a:t>
          </a:r>
          <a:r>
            <a:rPr lang="en-IN" sz="1400" b="1" baseline="0">
              <a:solidFill>
                <a:srgbClr val="FF0000"/>
              </a:solidFill>
            </a:rPr>
            <a:t> </a:t>
          </a:r>
          <a:r>
            <a:rPr lang="en-IN" sz="1400" b="1">
              <a:solidFill>
                <a:srgbClr val="FF0000"/>
              </a:solidFill>
            </a:rPr>
            <a:t>Wing</a:t>
          </a:r>
          <a:r>
            <a:rPr lang="en-IN" sz="1400" b="1" baseline="0">
              <a:solidFill>
                <a:srgbClr val="FF0000"/>
              </a:solidFill>
            </a:rPr>
            <a:t> A</a:t>
          </a:r>
          <a:endParaRPr lang="en-IN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555812</xdr:colOff>
      <xdr:row>585</xdr:row>
      <xdr:rowOff>155456</xdr:rowOff>
    </xdr:from>
    <xdr:ext cx="1227708" cy="31149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2114448" y="121971547"/>
          <a:ext cx="122770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Rehab</a:t>
          </a:r>
          <a:r>
            <a:rPr lang="en-IN" sz="1400" b="1" baseline="0">
              <a:solidFill>
                <a:srgbClr val="FF0000"/>
              </a:solidFill>
            </a:rPr>
            <a:t> </a:t>
          </a:r>
          <a:r>
            <a:rPr lang="en-IN" sz="1400" b="1">
              <a:solidFill>
                <a:srgbClr val="FF0000"/>
              </a:solidFill>
            </a:rPr>
            <a:t>Wing</a:t>
          </a:r>
          <a:r>
            <a:rPr lang="en-IN" sz="1400" b="1" baseline="0">
              <a:solidFill>
                <a:srgbClr val="FF0000"/>
              </a:solidFill>
            </a:rPr>
            <a:t> B</a:t>
          </a:r>
          <a:endParaRPr lang="en-IN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9524</xdr:colOff>
      <xdr:row>577</xdr:row>
      <xdr:rowOff>80531</xdr:rowOff>
    </xdr:from>
    <xdr:to>
      <xdr:col>5</xdr:col>
      <xdr:colOff>138545</xdr:colOff>
      <xdr:row>580</xdr:row>
      <xdr:rowOff>113025</xdr:rowOff>
    </xdr:to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3351933" y="120234076"/>
          <a:ext cx="908339" cy="6559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tx1"/>
              </a:solidFill>
            </a:rPr>
            <a:t>Sale</a:t>
          </a:r>
        </a:p>
        <a:p>
          <a:pPr algn="ctr"/>
          <a:r>
            <a:rPr lang="en-US" b="1">
              <a:solidFill>
                <a:schemeClr val="tx1"/>
              </a:solidFill>
            </a:rPr>
            <a:t>Wing C</a:t>
          </a:r>
          <a:endParaRPr lang="en-IN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200025</xdr:colOff>
      <xdr:row>595</xdr:row>
      <xdr:rowOff>45893</xdr:rowOff>
    </xdr:from>
    <xdr:to>
      <xdr:col>6</xdr:col>
      <xdr:colOff>357894</xdr:colOff>
      <xdr:row>598</xdr:row>
      <xdr:rowOff>78388</xdr:rowOff>
    </xdr:to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4321752" y="123940166"/>
          <a:ext cx="937187" cy="6559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tx1"/>
              </a:solidFill>
            </a:rPr>
            <a:t>Sale</a:t>
          </a:r>
        </a:p>
        <a:p>
          <a:pPr algn="ctr"/>
          <a:r>
            <a:rPr lang="en-US" b="1">
              <a:solidFill>
                <a:schemeClr val="tx1"/>
              </a:solidFill>
            </a:rPr>
            <a:t>Wing A</a:t>
          </a:r>
          <a:endParaRPr lang="en-IN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207818</xdr:colOff>
      <xdr:row>590</xdr:row>
      <xdr:rowOff>103909</xdr:rowOff>
    </xdr:from>
    <xdr:to>
      <xdr:col>7</xdr:col>
      <xdr:colOff>69272</xdr:colOff>
      <xdr:row>594</xdr:row>
      <xdr:rowOff>155864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3550227" y="122959091"/>
          <a:ext cx="2199409" cy="88322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51956</xdr:colOff>
      <xdr:row>580</xdr:row>
      <xdr:rowOff>138545</xdr:rowOff>
    </xdr:from>
    <xdr:to>
      <xdr:col>5</xdr:col>
      <xdr:colOff>242456</xdr:colOff>
      <xdr:row>583</xdr:row>
      <xdr:rowOff>190500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3394365" y="120915545"/>
          <a:ext cx="969818" cy="67541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14</xdr:col>
      <xdr:colOff>183831</xdr:colOff>
      <xdr:row>540</xdr:row>
      <xdr:rowOff>78174</xdr:rowOff>
    </xdr:from>
    <xdr:to>
      <xdr:col>16</xdr:col>
      <xdr:colOff>99824</xdr:colOff>
      <xdr:row>543</xdr:row>
      <xdr:rowOff>151418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11654652" y="111302960"/>
          <a:ext cx="1344743" cy="68556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FF00"/>
              </a:solidFill>
            </a:rPr>
            <a:t>Sale Building </a:t>
          </a:r>
        </a:p>
        <a:p>
          <a:r>
            <a:rPr lang="en-IN" b="1">
              <a:solidFill>
                <a:srgbClr val="FFFF00"/>
              </a:solidFill>
            </a:rPr>
            <a:t>(Wing A)</a:t>
          </a:r>
        </a:p>
      </xdr:txBody>
    </xdr:sp>
    <xdr:clientData/>
  </xdr:twoCellAnchor>
  <xdr:twoCellAnchor>
    <xdr:from>
      <xdr:col>16</xdr:col>
      <xdr:colOff>502633</xdr:colOff>
      <xdr:row>535</xdr:row>
      <xdr:rowOff>50160</xdr:rowOff>
    </xdr:from>
    <xdr:to>
      <xdr:col>18</xdr:col>
      <xdr:colOff>601657</xdr:colOff>
      <xdr:row>538</xdr:row>
      <xdr:rowOff>123403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13402204" y="110268017"/>
          <a:ext cx="1323667" cy="6719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Sale Building </a:t>
          </a:r>
        </a:p>
        <a:p>
          <a:r>
            <a:rPr lang="en-IN" b="1">
              <a:solidFill>
                <a:srgbClr val="FF0000"/>
              </a:solidFill>
            </a:rPr>
            <a:t>(Wing A)</a:t>
          </a:r>
        </a:p>
      </xdr:txBody>
    </xdr:sp>
    <xdr:clientData/>
  </xdr:twoCellAnchor>
  <xdr:twoCellAnchor>
    <xdr:from>
      <xdr:col>8</xdr:col>
      <xdr:colOff>593725</xdr:colOff>
      <xdr:row>534</xdr:row>
      <xdr:rowOff>53975</xdr:rowOff>
    </xdr:from>
    <xdr:to>
      <xdr:col>16</xdr:col>
      <xdr:colOff>192542</xdr:colOff>
      <xdr:row>566</xdr:row>
      <xdr:rowOff>33839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7118350" y="107600750"/>
          <a:ext cx="5999617" cy="6371139"/>
          <a:chOff x="88900" y="110375700"/>
          <a:chExt cx="6279017" cy="6272714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75306" y="11448841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11037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5970" y="11448841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1010" y="11037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/>
        </xdr:nvSpPr>
        <xdr:spPr>
          <a:xfrm>
            <a:off x="88900" y="110420150"/>
            <a:ext cx="1384300" cy="521133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Sale Building </a:t>
            </a:r>
          </a:p>
          <a:p>
            <a:pPr algn="ctr"/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(Wing A)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/>
        </xdr:nvSpPr>
        <xdr:spPr>
          <a:xfrm>
            <a:off x="4823410" y="110561438"/>
            <a:ext cx="1384300" cy="530658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Sale Building </a:t>
            </a:r>
          </a:p>
          <a:p>
            <a:pPr algn="ctr"/>
            <a:r>
              <a:rPr lang="en-IN" sz="1400" b="1" cap="none" spc="0">
                <a:ln w="0"/>
                <a:solidFill>
                  <a:srgbClr val="C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(Wing B)</a:t>
            </a:r>
          </a:p>
        </xdr:txBody>
      </xdr:sp>
    </xdr:grpSp>
    <xdr:clientData/>
  </xdr:twoCellAnchor>
  <xdr:twoCellAnchor>
    <xdr:from>
      <xdr:col>0</xdr:col>
      <xdr:colOff>523875</xdr:colOff>
      <xdr:row>534</xdr:row>
      <xdr:rowOff>190500</xdr:rowOff>
    </xdr:from>
    <xdr:to>
      <xdr:col>7</xdr:col>
      <xdr:colOff>379039</xdr:colOff>
      <xdr:row>564</xdr:row>
      <xdr:rowOff>147841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xmlns="" id="{041982DE-7CBF-4136-B8E0-70F76B0E58E3}"/>
            </a:ext>
          </a:extLst>
        </xdr:cNvPr>
        <xdr:cNvGrpSpPr/>
      </xdr:nvGrpSpPr>
      <xdr:grpSpPr>
        <a:xfrm>
          <a:off x="523875" y="107737275"/>
          <a:ext cx="5551114" cy="5948566"/>
          <a:chOff x="575073" y="438150"/>
          <a:chExt cx="5551114" cy="5948566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xmlns="" id="{FFF34A55-CB42-47C8-952C-7020BAFFBE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5073" y="43815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4C5BA3C3-6F6C-421A-BC4C-11C59C52FA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3815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xmlns="" id="{808384C4-C6FF-4EF3-98F2-481771A4DB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0438" y="422671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xmlns="" id="{2C1D350F-3844-4957-BFF0-31DC72FA64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68437" y="422671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336550</xdr:colOff>
      <xdr:row>534</xdr:row>
      <xdr:rowOff>168275</xdr:rowOff>
    </xdr:from>
    <xdr:to>
      <xdr:col>2</xdr:col>
      <xdr:colOff>97152</xdr:colOff>
      <xdr:row>537</xdr:row>
      <xdr:rowOff>107035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xmlns="" id="{408EEF79-74FB-4024-AE0D-B01FBE4888CF}"/>
            </a:ext>
          </a:extLst>
        </xdr:cNvPr>
        <xdr:cNvSpPr/>
      </xdr:nvSpPr>
      <xdr:spPr>
        <a:xfrm>
          <a:off x="336550" y="109705775"/>
          <a:ext cx="1322702" cy="529310"/>
        </a:xfrm>
        <a:prstGeom prst="rect">
          <a:avLst/>
        </a:prstGeom>
        <a:noFill/>
        <a:ln>
          <a:noFill/>
        </a:ln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Sale Building </a:t>
          </a:r>
        </a:p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(Wing A)</a:t>
          </a:r>
        </a:p>
      </xdr:txBody>
    </xdr:sp>
    <xdr:clientData/>
  </xdr:twoCellAnchor>
  <xdr:twoCellAnchor>
    <xdr:from>
      <xdr:col>5</xdr:col>
      <xdr:colOff>136525</xdr:colOff>
      <xdr:row>535</xdr:row>
      <xdr:rowOff>92075</xdr:rowOff>
    </xdr:from>
    <xdr:to>
      <xdr:col>6</xdr:col>
      <xdr:colOff>678177</xdr:colOff>
      <xdr:row>538</xdr:row>
      <xdr:rowOff>30835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xmlns="" id="{86286052-B31D-4F83-A0D9-49AB01A5FF1D}"/>
            </a:ext>
          </a:extLst>
        </xdr:cNvPr>
        <xdr:cNvSpPr/>
      </xdr:nvSpPr>
      <xdr:spPr>
        <a:xfrm>
          <a:off x="4270375" y="109829600"/>
          <a:ext cx="1322702" cy="529310"/>
        </a:xfrm>
        <a:prstGeom prst="rect">
          <a:avLst/>
        </a:prstGeom>
        <a:noFill/>
        <a:ln>
          <a:noFill/>
        </a:ln>
      </xdr:spPr>
      <xdr:txBody>
        <a:bodyPr wrap="square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Sale Building </a:t>
          </a:r>
        </a:p>
        <a:p>
          <a:pPr algn="ctr"/>
          <a:r>
            <a:rPr lang="en-IN" sz="14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(Wing B)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bM3GZHFn1WMatLo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19"/>
  <sheetViews>
    <sheetView tabSelected="1" view="pageBreakPreview" topLeftCell="A110" zoomScaleNormal="100" zoomScaleSheetLayoutView="100" zoomScalePageLayoutView="85" workbookViewId="0">
      <selection activeCell="L93" sqref="L93"/>
    </sheetView>
  </sheetViews>
  <sheetFormatPr defaultColWidth="9.140625" defaultRowHeight="15.75" x14ac:dyDescent="0.25"/>
  <cols>
    <col min="1" max="1" width="11.42578125" style="56" customWidth="1"/>
    <col min="2" max="2" width="12" style="56" customWidth="1"/>
    <col min="3" max="3" width="12.7109375" style="56" customWidth="1"/>
    <col min="4" max="4" width="14.140625" style="56" customWidth="1"/>
    <col min="5" max="7" width="11.7109375" style="56" customWidth="1"/>
    <col min="8" max="8" width="12.42578125" style="56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47" t="s">
        <v>289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25">
      <c r="A3" s="132" t="s">
        <v>1</v>
      </c>
      <c r="B3" s="132"/>
      <c r="C3" s="132"/>
      <c r="D3" s="132"/>
      <c r="E3" s="146" t="str">
        <f ca="1">TEXT(TODAY(),"DD/MM/YYYY")</f>
        <v>16/07/2025</v>
      </c>
      <c r="F3" s="146"/>
      <c r="G3" s="146"/>
      <c r="H3" s="146"/>
    </row>
    <row r="4" spans="1:8" ht="15" customHeight="1" x14ac:dyDescent="0.25">
      <c r="A4" s="132" t="s">
        <v>2</v>
      </c>
      <c r="B4" s="132"/>
      <c r="C4" s="132"/>
      <c r="D4" s="132"/>
      <c r="E4" s="145" t="s">
        <v>157</v>
      </c>
      <c r="F4" s="145"/>
      <c r="G4" s="145"/>
      <c r="H4" s="145"/>
    </row>
    <row r="5" spans="1:8" x14ac:dyDescent="0.25">
      <c r="A5" s="132" t="s">
        <v>3</v>
      </c>
      <c r="B5" s="132"/>
      <c r="C5" s="132"/>
      <c r="D5" s="132"/>
      <c r="E5" s="146">
        <v>45847</v>
      </c>
      <c r="F5" s="146"/>
      <c r="G5" s="146"/>
      <c r="H5" s="146"/>
    </row>
    <row r="6" spans="1:8" ht="16.5" customHeight="1" x14ac:dyDescent="0.25">
      <c r="A6" s="132" t="s">
        <v>4</v>
      </c>
      <c r="B6" s="132"/>
      <c r="C6" s="132"/>
      <c r="D6" s="132"/>
      <c r="E6" s="144" t="s">
        <v>184</v>
      </c>
      <c r="F6" s="144"/>
      <c r="G6" s="144"/>
      <c r="H6" s="144"/>
    </row>
    <row r="7" spans="1:8" ht="15" customHeight="1" x14ac:dyDescent="0.25">
      <c r="A7" s="132" t="s">
        <v>5</v>
      </c>
      <c r="B7" s="132"/>
      <c r="C7" s="132"/>
      <c r="D7" s="132"/>
      <c r="E7" s="144" t="str">
        <f>E6</f>
        <v>M/s. Pushpak Developers</v>
      </c>
      <c r="F7" s="144"/>
      <c r="G7" s="144"/>
      <c r="H7" s="144"/>
    </row>
    <row r="8" spans="1:8" x14ac:dyDescent="0.25">
      <c r="A8" s="132" t="s">
        <v>6</v>
      </c>
      <c r="B8" s="132"/>
      <c r="C8" s="132"/>
      <c r="D8" s="132"/>
      <c r="E8" s="85" t="s">
        <v>158</v>
      </c>
      <c r="F8" s="85"/>
      <c r="G8" s="85"/>
      <c r="H8" s="85"/>
    </row>
    <row r="9" spans="1:8" x14ac:dyDescent="0.25">
      <c r="A9" s="132" t="s">
        <v>123</v>
      </c>
      <c r="B9" s="132"/>
      <c r="C9" s="132"/>
      <c r="D9" s="132"/>
      <c r="E9" s="132">
        <v>9320034446</v>
      </c>
      <c r="F9" s="132"/>
      <c r="G9" s="132"/>
      <c r="H9" s="132"/>
    </row>
    <row r="10" spans="1:8" ht="33" customHeight="1" x14ac:dyDescent="0.25">
      <c r="A10" s="132" t="s">
        <v>7</v>
      </c>
      <c r="B10" s="132"/>
      <c r="C10" s="132"/>
      <c r="D10" s="132"/>
      <c r="E10" s="144" t="s">
        <v>274</v>
      </c>
      <c r="F10" s="132"/>
      <c r="G10" s="132"/>
      <c r="H10" s="132"/>
    </row>
    <row r="11" spans="1:8" ht="17.25" customHeight="1" x14ac:dyDescent="0.25">
      <c r="A11" s="132" t="s">
        <v>272</v>
      </c>
      <c r="B11" s="132"/>
      <c r="C11" s="132"/>
      <c r="D11" s="132"/>
      <c r="E11" s="144" t="s">
        <v>241</v>
      </c>
      <c r="F11" s="144"/>
      <c r="G11" s="144"/>
      <c r="H11" s="144"/>
    </row>
    <row r="12" spans="1:8" ht="65.25" customHeight="1" x14ac:dyDescent="0.25">
      <c r="A12" s="132" t="s">
        <v>8</v>
      </c>
      <c r="B12" s="132"/>
      <c r="C12" s="132"/>
      <c r="D12" s="132"/>
      <c r="E12" s="144" t="s">
        <v>288</v>
      </c>
      <c r="F12" s="132"/>
      <c r="G12" s="132"/>
      <c r="H12" s="132"/>
    </row>
    <row r="13" spans="1:8" ht="33.75" customHeight="1" x14ac:dyDescent="0.25">
      <c r="A13" s="144" t="s">
        <v>9</v>
      </c>
      <c r="B13" s="144"/>
      <c r="C13" s="14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Larkins 315, Plot No.315, TPS -1, near Renuka Mata Mandir, Namdeo Wadi Road, Thane, Thane West, Thane, Thane - 400602.</v>
      </c>
      <c r="D13" s="144"/>
      <c r="E13" s="144"/>
      <c r="F13" s="144"/>
      <c r="G13" s="144"/>
      <c r="H13" s="144"/>
    </row>
    <row r="14" spans="1:8" x14ac:dyDescent="0.25">
      <c r="A14" s="144" t="s">
        <v>160</v>
      </c>
      <c r="B14" s="144"/>
      <c r="C14" s="144" t="s">
        <v>161</v>
      </c>
      <c r="D14" s="144"/>
      <c r="E14" s="144"/>
      <c r="F14" s="144"/>
      <c r="G14" s="144"/>
      <c r="H14" s="144"/>
    </row>
    <row r="15" spans="1:8" ht="15.75" customHeight="1" x14ac:dyDescent="0.25">
      <c r="A15" s="144" t="s">
        <v>10</v>
      </c>
      <c r="B15" s="144"/>
      <c r="C15" s="132" t="s">
        <v>165</v>
      </c>
      <c r="D15" s="132"/>
      <c r="E15" s="144" t="s">
        <v>74</v>
      </c>
      <c r="F15" s="144"/>
      <c r="G15" s="144" t="s">
        <v>162</v>
      </c>
      <c r="H15" s="144"/>
    </row>
    <row r="16" spans="1:8" x14ac:dyDescent="0.25">
      <c r="A16" s="132" t="s">
        <v>12</v>
      </c>
      <c r="B16" s="132"/>
      <c r="C16" s="144" t="s">
        <v>267</v>
      </c>
      <c r="D16" s="144"/>
      <c r="E16" s="144" t="s">
        <v>11</v>
      </c>
      <c r="F16" s="144"/>
      <c r="G16" s="143" t="s">
        <v>162</v>
      </c>
      <c r="H16" s="143"/>
    </row>
    <row r="17" spans="1:8" x14ac:dyDescent="0.25">
      <c r="A17" s="132" t="s">
        <v>75</v>
      </c>
      <c r="B17" s="132"/>
      <c r="C17" s="144" t="s">
        <v>162</v>
      </c>
      <c r="D17" s="144"/>
      <c r="E17" s="144" t="s">
        <v>13</v>
      </c>
      <c r="F17" s="144"/>
      <c r="G17" s="144">
        <v>400602</v>
      </c>
      <c r="H17" s="144"/>
    </row>
    <row r="18" spans="1:8" ht="32.25" customHeight="1" x14ac:dyDescent="0.25">
      <c r="A18" s="132" t="s">
        <v>124</v>
      </c>
      <c r="B18" s="132"/>
      <c r="C18" s="144" t="s">
        <v>166</v>
      </c>
      <c r="D18" s="144"/>
      <c r="E18" s="144" t="s">
        <v>14</v>
      </c>
      <c r="F18" s="144"/>
      <c r="G18" s="144" t="s">
        <v>266</v>
      </c>
      <c r="H18" s="144"/>
    </row>
    <row r="19" spans="1:8" ht="15" customHeight="1" x14ac:dyDescent="0.25">
      <c r="A19" s="144" t="s">
        <v>76</v>
      </c>
      <c r="B19" s="144"/>
      <c r="C19" s="144"/>
      <c r="D19" s="144"/>
      <c r="E19" s="132" t="s">
        <v>15</v>
      </c>
      <c r="F19" s="132"/>
      <c r="G19" s="132"/>
      <c r="H19" s="132"/>
    </row>
    <row r="20" spans="1:8" ht="18.75" customHeight="1" x14ac:dyDescent="0.25">
      <c r="A20" s="144"/>
      <c r="B20" s="144"/>
      <c r="C20" s="144"/>
      <c r="D20" s="144"/>
      <c r="E20" s="132"/>
      <c r="F20" s="132"/>
      <c r="G20" s="132"/>
      <c r="H20" s="132"/>
    </row>
    <row r="21" spans="1:8" ht="15" customHeight="1" x14ac:dyDescent="0.25">
      <c r="A21" s="144" t="s">
        <v>16</v>
      </c>
      <c r="B21" s="144"/>
      <c r="C21" s="144"/>
      <c r="D21" s="144"/>
      <c r="E21" s="144" t="s">
        <v>17</v>
      </c>
      <c r="F21" s="144"/>
      <c r="G21" s="144"/>
      <c r="H21" s="144"/>
    </row>
    <row r="22" spans="1:8" x14ac:dyDescent="0.25">
      <c r="A22" s="132" t="s">
        <v>18</v>
      </c>
      <c r="B22" s="132"/>
      <c r="C22" s="132"/>
      <c r="D22" s="132"/>
      <c r="E22" s="144" t="str">
        <f>IF(AND(G16="Mumbai"),"Upper Class","Middle Class")</f>
        <v>Middle Class</v>
      </c>
      <c r="F22" s="144"/>
      <c r="G22" s="144"/>
      <c r="H22" s="144"/>
    </row>
    <row r="23" spans="1:8" x14ac:dyDescent="0.25">
      <c r="A23" s="132" t="s">
        <v>19</v>
      </c>
      <c r="B23" s="132"/>
      <c r="C23" s="132"/>
      <c r="D23" s="132"/>
      <c r="E23" s="144" t="s">
        <v>20</v>
      </c>
      <c r="F23" s="144"/>
      <c r="G23" s="144"/>
      <c r="H23" s="144"/>
    </row>
    <row r="24" spans="1:8" ht="15.75" customHeight="1" x14ac:dyDescent="0.25">
      <c r="A24" s="132" t="s">
        <v>21</v>
      </c>
      <c r="B24" s="132"/>
      <c r="C24" s="132"/>
      <c r="D24" s="132"/>
      <c r="E24" s="144" t="str">
        <f>IF(AND(G16="Mumbai"),"Developed","Developing")</f>
        <v>Developing</v>
      </c>
      <c r="F24" s="144"/>
      <c r="G24" s="144"/>
      <c r="H24" s="144"/>
    </row>
    <row r="25" spans="1:8" x14ac:dyDescent="0.25">
      <c r="A25" s="132" t="s">
        <v>22</v>
      </c>
      <c r="B25" s="132"/>
      <c r="C25" s="132"/>
      <c r="D25" s="132"/>
      <c r="E25" s="144" t="s">
        <v>23</v>
      </c>
      <c r="F25" s="144"/>
      <c r="G25" s="144"/>
      <c r="H25" s="144"/>
    </row>
    <row r="26" spans="1:8" x14ac:dyDescent="0.25">
      <c r="A26" s="132" t="s">
        <v>81</v>
      </c>
      <c r="B26" s="132"/>
      <c r="C26" s="132"/>
      <c r="D26" s="132"/>
      <c r="E26" s="144" t="s">
        <v>82</v>
      </c>
      <c r="F26" s="144"/>
      <c r="G26" s="144"/>
      <c r="H26" s="144"/>
    </row>
    <row r="27" spans="1:8" ht="15" customHeight="1" x14ac:dyDescent="0.25">
      <c r="A27" s="144" t="s">
        <v>32</v>
      </c>
      <c r="B27" s="144"/>
      <c r="C27" s="144"/>
      <c r="D27" s="144"/>
      <c r="E27" s="145" t="str">
        <f>IF(ISNUMBER(SEARCH("Shop",D78)),"Residential + Commercial",IF(ISNUMBER(SEARCH("Office",D78)),"Residential + Commercial",IF(SEARCH("Flats",D78),"Residential","")))</f>
        <v>Residential + Commercial</v>
      </c>
      <c r="F27" s="145"/>
      <c r="G27" s="145"/>
      <c r="H27" s="145"/>
    </row>
    <row r="28" spans="1:8" x14ac:dyDescent="0.25">
      <c r="A28" s="144" t="s">
        <v>93</v>
      </c>
      <c r="B28" s="144"/>
      <c r="C28" s="144"/>
      <c r="D28" s="144"/>
      <c r="E28" s="144" t="s">
        <v>33</v>
      </c>
      <c r="F28" s="144"/>
      <c r="G28" s="144"/>
      <c r="H28" s="144"/>
    </row>
    <row r="29" spans="1:8" x14ac:dyDescent="0.25">
      <c r="A29" s="139" t="s">
        <v>94</v>
      </c>
      <c r="B29" s="139"/>
      <c r="C29" s="127" t="s">
        <v>28</v>
      </c>
      <c r="D29" s="127"/>
      <c r="E29" s="127"/>
      <c r="F29" s="127" t="s">
        <v>30</v>
      </c>
      <c r="G29" s="127"/>
      <c r="H29" s="127"/>
    </row>
    <row r="30" spans="1:8" x14ac:dyDescent="0.25">
      <c r="A30" s="138" t="s">
        <v>24</v>
      </c>
      <c r="B30" s="138" t="s">
        <v>29</v>
      </c>
      <c r="C30" s="137" t="s">
        <v>233</v>
      </c>
      <c r="D30" s="137"/>
      <c r="E30" s="137"/>
      <c r="F30" s="137" t="s">
        <v>235</v>
      </c>
      <c r="G30" s="137"/>
      <c r="H30" s="137"/>
    </row>
    <row r="31" spans="1:8" x14ac:dyDescent="0.25">
      <c r="A31" s="138" t="s">
        <v>25</v>
      </c>
      <c r="B31" s="138" t="s">
        <v>29</v>
      </c>
      <c r="C31" s="137" t="s">
        <v>232</v>
      </c>
      <c r="D31" s="137"/>
      <c r="E31" s="137"/>
      <c r="F31" s="137" t="s">
        <v>236</v>
      </c>
      <c r="G31" s="137"/>
      <c r="H31" s="137"/>
    </row>
    <row r="32" spans="1:8" x14ac:dyDescent="0.25">
      <c r="A32" s="138" t="s">
        <v>27</v>
      </c>
      <c r="B32" s="138" t="s">
        <v>29</v>
      </c>
      <c r="C32" s="137" t="s">
        <v>231</v>
      </c>
      <c r="D32" s="137"/>
      <c r="E32" s="137"/>
      <c r="F32" s="137" t="s">
        <v>165</v>
      </c>
      <c r="G32" s="137"/>
      <c r="H32" s="137"/>
    </row>
    <row r="33" spans="1:9" x14ac:dyDescent="0.25">
      <c r="A33" s="138" t="s">
        <v>26</v>
      </c>
      <c r="B33" s="138" t="s">
        <v>29</v>
      </c>
      <c r="C33" s="137" t="s">
        <v>231</v>
      </c>
      <c r="D33" s="137"/>
      <c r="E33" s="137"/>
      <c r="F33" s="137" t="s">
        <v>234</v>
      </c>
      <c r="G33" s="137"/>
      <c r="H33" s="137"/>
    </row>
    <row r="34" spans="1:9" x14ac:dyDescent="0.25">
      <c r="A34" s="132" t="s">
        <v>31</v>
      </c>
      <c r="B34" s="132"/>
      <c r="C34" s="132"/>
      <c r="D34" s="132"/>
      <c r="E34" s="132"/>
      <c r="F34" s="132"/>
      <c r="G34" s="132"/>
      <c r="H34" s="132"/>
    </row>
    <row r="35" spans="1:9" ht="15.75" customHeight="1" x14ac:dyDescent="0.25">
      <c r="A35" s="132" t="s">
        <v>230</v>
      </c>
      <c r="B35" s="132"/>
      <c r="C35" s="143" t="s">
        <v>237</v>
      </c>
      <c r="D35" s="143"/>
      <c r="E35" s="143"/>
      <c r="F35" s="143"/>
      <c r="G35" s="143"/>
      <c r="H35" s="143"/>
    </row>
    <row r="36" spans="1:9" ht="15.75" customHeight="1" x14ac:dyDescent="0.25">
      <c r="A36" s="132" t="s">
        <v>227</v>
      </c>
      <c r="B36" s="132"/>
      <c r="C36" s="140" t="s">
        <v>238</v>
      </c>
      <c r="D36" s="141"/>
      <c r="E36" s="141"/>
      <c r="F36" s="141"/>
      <c r="G36" s="141"/>
      <c r="H36" s="142"/>
    </row>
    <row r="37" spans="1:9" x14ac:dyDescent="0.25">
      <c r="A37" s="85" t="s">
        <v>34</v>
      </c>
      <c r="B37" s="85"/>
      <c r="C37" s="85"/>
      <c r="D37" s="85"/>
      <c r="E37" s="85"/>
      <c r="F37" s="85"/>
      <c r="G37" s="85"/>
      <c r="H37" s="85"/>
    </row>
    <row r="38" spans="1:9" x14ac:dyDescent="0.25">
      <c r="A38" s="132" t="s">
        <v>35</v>
      </c>
      <c r="B38" s="132"/>
      <c r="C38" s="132"/>
      <c r="D38" s="132"/>
      <c r="E38" s="136">
        <v>10291.43</v>
      </c>
      <c r="F38" s="136"/>
      <c r="G38" s="136"/>
      <c r="H38" s="136"/>
    </row>
    <row r="39" spans="1:9" x14ac:dyDescent="0.25">
      <c r="A39" s="132" t="s">
        <v>36</v>
      </c>
      <c r="B39" s="132"/>
      <c r="C39" s="132"/>
      <c r="D39" s="132"/>
      <c r="E39" s="150">
        <v>1.1000000000000001</v>
      </c>
      <c r="F39" s="150"/>
      <c r="G39" s="150"/>
      <c r="H39" s="150"/>
      <c r="I39" s="59">
        <f>11318.68/E38</f>
        <v>1.0998160605474652</v>
      </c>
    </row>
    <row r="40" spans="1:9" x14ac:dyDescent="0.25">
      <c r="A40" s="132" t="s">
        <v>37</v>
      </c>
      <c r="B40" s="132"/>
      <c r="C40" s="132"/>
      <c r="D40" s="132"/>
      <c r="E40" s="150">
        <f>E41-E39</f>
        <v>5.6504729663418978</v>
      </c>
      <c r="F40" s="150"/>
      <c r="G40" s="150"/>
      <c r="H40" s="150"/>
    </row>
    <row r="41" spans="1:9" x14ac:dyDescent="0.25">
      <c r="A41" s="132" t="s">
        <v>38</v>
      </c>
      <c r="B41" s="132"/>
      <c r="C41" s="132"/>
      <c r="D41" s="132"/>
      <c r="E41" s="150">
        <f>E42/E38</f>
        <v>6.7504729663418983</v>
      </c>
      <c r="F41" s="150"/>
      <c r="G41" s="150"/>
      <c r="H41" s="150"/>
    </row>
    <row r="42" spans="1:9" x14ac:dyDescent="0.25">
      <c r="A42" s="132" t="s">
        <v>92</v>
      </c>
      <c r="B42" s="132"/>
      <c r="C42" s="132"/>
      <c r="D42" s="132"/>
      <c r="E42" s="151">
        <v>69472.02</v>
      </c>
      <c r="F42" s="151"/>
      <c r="G42" s="151"/>
      <c r="H42" s="151"/>
      <c r="I42" s="22">
        <f>E42/E38</f>
        <v>6.7504729663418983</v>
      </c>
    </row>
    <row r="43" spans="1:9" x14ac:dyDescent="0.25">
      <c r="A43" s="132" t="s">
        <v>39</v>
      </c>
      <c r="B43" s="132"/>
      <c r="C43" s="132"/>
      <c r="D43" s="132"/>
      <c r="E43" s="132" t="s">
        <v>271</v>
      </c>
      <c r="F43" s="132"/>
      <c r="G43" s="132"/>
      <c r="H43" s="132"/>
    </row>
    <row r="44" spans="1:9" x14ac:dyDescent="0.25">
      <c r="A44" s="85" t="s">
        <v>40</v>
      </c>
      <c r="B44" s="85"/>
      <c r="C44" s="85"/>
      <c r="D44" s="85"/>
      <c r="E44" s="85"/>
      <c r="F44" s="85"/>
      <c r="G44" s="85"/>
      <c r="H44" s="85"/>
    </row>
    <row r="45" spans="1:9" ht="33.75" customHeight="1" x14ac:dyDescent="0.25">
      <c r="A45" s="109" t="s">
        <v>152</v>
      </c>
      <c r="B45" s="111"/>
      <c r="C45" s="152" t="s">
        <v>163</v>
      </c>
      <c r="D45" s="153"/>
      <c r="E45" s="153"/>
      <c r="F45" s="153"/>
      <c r="G45" s="153"/>
      <c r="H45" s="154"/>
    </row>
    <row r="46" spans="1:9" x14ac:dyDescent="0.25">
      <c r="A46" s="144" t="s">
        <v>41</v>
      </c>
      <c r="B46" s="144"/>
      <c r="C46" s="144" t="s">
        <v>164</v>
      </c>
      <c r="D46" s="144"/>
      <c r="E46" s="144"/>
      <c r="F46" s="16" t="s">
        <v>42</v>
      </c>
      <c r="G46" s="149">
        <v>45049</v>
      </c>
      <c r="H46" s="149"/>
    </row>
    <row r="47" spans="1:9" x14ac:dyDescent="0.25">
      <c r="A47" s="85" t="s">
        <v>220</v>
      </c>
      <c r="B47" s="85"/>
      <c r="C47" s="85"/>
      <c r="D47" s="85"/>
      <c r="E47" s="85"/>
      <c r="F47" s="85"/>
      <c r="G47" s="85"/>
      <c r="H47" s="85"/>
    </row>
    <row r="48" spans="1:9" x14ac:dyDescent="0.25">
      <c r="A48" s="132" t="s">
        <v>43</v>
      </c>
      <c r="B48" s="132"/>
      <c r="C48" s="144" t="s">
        <v>286</v>
      </c>
      <c r="D48" s="144"/>
      <c r="E48" s="144"/>
      <c r="F48" s="16" t="s">
        <v>42</v>
      </c>
      <c r="G48" s="149">
        <v>44336</v>
      </c>
      <c r="H48" s="149"/>
    </row>
    <row r="49" spans="1:8" x14ac:dyDescent="0.25">
      <c r="A49" s="144" t="s">
        <v>44</v>
      </c>
      <c r="B49" s="144"/>
      <c r="C49" s="144" t="s">
        <v>164</v>
      </c>
      <c r="D49" s="132"/>
      <c r="E49" s="132"/>
      <c r="F49" s="21" t="s">
        <v>42</v>
      </c>
      <c r="G49" s="190">
        <v>45049</v>
      </c>
      <c r="H49" s="191"/>
    </row>
    <row r="50" spans="1:8" ht="48.75" customHeight="1" x14ac:dyDescent="0.25">
      <c r="A50" s="144"/>
      <c r="B50" s="144"/>
      <c r="C50" s="109" t="s">
        <v>244</v>
      </c>
      <c r="D50" s="110"/>
      <c r="E50" s="110"/>
      <c r="F50" s="110"/>
      <c r="G50" s="110"/>
      <c r="H50" s="111"/>
    </row>
    <row r="51" spans="1:8" x14ac:dyDescent="0.25">
      <c r="A51" s="85" t="s">
        <v>242</v>
      </c>
      <c r="B51" s="85"/>
      <c r="C51" s="85"/>
      <c r="D51" s="85"/>
      <c r="E51" s="85"/>
      <c r="F51" s="85"/>
      <c r="G51" s="85"/>
      <c r="H51" s="85"/>
    </row>
    <row r="52" spans="1:8" x14ac:dyDescent="0.25">
      <c r="A52" s="132" t="s">
        <v>43</v>
      </c>
      <c r="B52" s="132"/>
      <c r="C52" s="144" t="s">
        <v>164</v>
      </c>
      <c r="D52" s="144"/>
      <c r="E52" s="144"/>
      <c r="F52" s="16" t="s">
        <v>42</v>
      </c>
      <c r="G52" s="149">
        <v>45049</v>
      </c>
      <c r="H52" s="149"/>
    </row>
    <row r="53" spans="1:8" x14ac:dyDescent="0.25">
      <c r="A53" s="144" t="s">
        <v>44</v>
      </c>
      <c r="B53" s="144"/>
      <c r="C53" s="144" t="s">
        <v>164</v>
      </c>
      <c r="D53" s="132"/>
      <c r="E53" s="132"/>
      <c r="F53" s="21" t="s">
        <v>42</v>
      </c>
      <c r="G53" s="149">
        <f>G52</f>
        <v>45049</v>
      </c>
      <c r="H53" s="149"/>
    </row>
    <row r="54" spans="1:8" ht="35.25" customHeight="1" x14ac:dyDescent="0.25">
      <c r="A54" s="144"/>
      <c r="B54" s="144"/>
      <c r="C54" s="109" t="s">
        <v>243</v>
      </c>
      <c r="D54" s="110"/>
      <c r="E54" s="110"/>
      <c r="F54" s="110"/>
      <c r="G54" s="110"/>
      <c r="H54" s="111"/>
    </row>
    <row r="55" spans="1:8" hidden="1" x14ac:dyDescent="0.25">
      <c r="A55" s="85" t="s">
        <v>245</v>
      </c>
      <c r="B55" s="85"/>
      <c r="C55" s="85"/>
      <c r="D55" s="85"/>
      <c r="E55" s="85"/>
      <c r="F55" s="85"/>
      <c r="G55" s="85"/>
      <c r="H55" s="85"/>
    </row>
    <row r="56" spans="1:8" hidden="1" x14ac:dyDescent="0.25">
      <c r="A56" s="144" t="s">
        <v>41</v>
      </c>
      <c r="B56" s="144"/>
      <c r="C56" s="144" t="s">
        <v>164</v>
      </c>
      <c r="D56" s="144"/>
      <c r="E56" s="144"/>
      <c r="F56" s="16" t="s">
        <v>42</v>
      </c>
      <c r="G56" s="149">
        <v>45049</v>
      </c>
      <c r="H56" s="149"/>
    </row>
    <row r="57" spans="1:8" hidden="1" x14ac:dyDescent="0.25">
      <c r="A57" s="132" t="s">
        <v>43</v>
      </c>
      <c r="B57" s="132"/>
      <c r="C57" s="144" t="str">
        <f>C56</f>
        <v>SRA/ENG/3274/THANE/STGL/AP</v>
      </c>
      <c r="D57" s="144"/>
      <c r="E57" s="144"/>
      <c r="F57" s="16" t="s">
        <v>42</v>
      </c>
      <c r="G57" s="149">
        <f>G56</f>
        <v>45049</v>
      </c>
      <c r="H57" s="149"/>
    </row>
    <row r="58" spans="1:8" ht="22.5" hidden="1" customHeight="1" x14ac:dyDescent="0.25">
      <c r="A58" s="144" t="s">
        <v>44</v>
      </c>
      <c r="B58" s="144"/>
      <c r="C58" s="144" t="s">
        <v>164</v>
      </c>
      <c r="D58" s="132"/>
      <c r="E58" s="132"/>
      <c r="F58" s="21" t="s">
        <v>42</v>
      </c>
      <c r="G58" s="149">
        <f>G57</f>
        <v>45049</v>
      </c>
      <c r="H58" s="149"/>
    </row>
    <row r="59" spans="1:8" ht="29.25" hidden="1" customHeight="1" x14ac:dyDescent="0.25">
      <c r="A59" s="144"/>
      <c r="B59" s="144"/>
      <c r="C59" s="109" t="s">
        <v>246</v>
      </c>
      <c r="D59" s="110"/>
      <c r="E59" s="110"/>
      <c r="F59" s="110"/>
      <c r="G59" s="110"/>
      <c r="H59" s="111"/>
    </row>
    <row r="60" spans="1:8" x14ac:dyDescent="0.25">
      <c r="A60" s="144" t="s">
        <v>44</v>
      </c>
      <c r="B60" s="144"/>
      <c r="C60" s="144" t="s">
        <v>164</v>
      </c>
      <c r="D60" s="132"/>
      <c r="E60" s="132"/>
      <c r="F60" s="63" t="s">
        <v>42</v>
      </c>
      <c r="G60" s="149">
        <v>45357</v>
      </c>
      <c r="H60" s="149"/>
    </row>
    <row r="61" spans="1:8" ht="35.25" customHeight="1" x14ac:dyDescent="0.25">
      <c r="A61" s="144"/>
      <c r="B61" s="144"/>
      <c r="C61" s="109" t="s">
        <v>294</v>
      </c>
      <c r="D61" s="110"/>
      <c r="E61" s="110"/>
      <c r="F61" s="110"/>
      <c r="G61" s="110"/>
      <c r="H61" s="111"/>
    </row>
    <row r="62" spans="1:8" x14ac:dyDescent="0.25">
      <c r="A62" s="144" t="s">
        <v>44</v>
      </c>
      <c r="B62" s="144"/>
      <c r="C62" s="144" t="s">
        <v>164</v>
      </c>
      <c r="D62" s="132"/>
      <c r="E62" s="132"/>
      <c r="F62" s="63" t="s">
        <v>42</v>
      </c>
      <c r="G62" s="149">
        <v>45594</v>
      </c>
      <c r="H62" s="149"/>
    </row>
    <row r="63" spans="1:8" ht="35.25" customHeight="1" x14ac:dyDescent="0.25">
      <c r="A63" s="144"/>
      <c r="B63" s="144"/>
      <c r="C63" s="109" t="s">
        <v>295</v>
      </c>
      <c r="D63" s="110"/>
      <c r="E63" s="110"/>
      <c r="F63" s="110"/>
      <c r="G63" s="110"/>
      <c r="H63" s="111"/>
    </row>
    <row r="64" spans="1:8" x14ac:dyDescent="0.25">
      <c r="A64" s="144" t="s">
        <v>44</v>
      </c>
      <c r="B64" s="144"/>
      <c r="C64" s="144" t="s">
        <v>164</v>
      </c>
      <c r="D64" s="132"/>
      <c r="E64" s="132"/>
      <c r="F64" s="63" t="s">
        <v>42</v>
      </c>
      <c r="G64" s="149">
        <v>45604</v>
      </c>
      <c r="H64" s="149"/>
    </row>
    <row r="65" spans="1:9" ht="32.25" customHeight="1" x14ac:dyDescent="0.25">
      <c r="A65" s="144"/>
      <c r="B65" s="144"/>
      <c r="C65" s="109" t="s">
        <v>297</v>
      </c>
      <c r="D65" s="110"/>
      <c r="E65" s="110"/>
      <c r="F65" s="110"/>
      <c r="G65" s="110"/>
      <c r="H65" s="111"/>
    </row>
    <row r="66" spans="1:9" x14ac:dyDescent="0.25">
      <c r="A66" s="85" t="s">
        <v>221</v>
      </c>
      <c r="B66" s="85"/>
      <c r="C66" s="85"/>
      <c r="D66" s="85"/>
      <c r="E66" s="85"/>
      <c r="F66" s="85"/>
      <c r="G66" s="85"/>
      <c r="H66" s="85"/>
    </row>
    <row r="67" spans="1:9" x14ac:dyDescent="0.25">
      <c r="A67" s="132" t="s">
        <v>43</v>
      </c>
      <c r="B67" s="132"/>
      <c r="C67" s="144" t="s">
        <v>287</v>
      </c>
      <c r="D67" s="144"/>
      <c r="E67" s="144"/>
      <c r="F67" s="16" t="s">
        <v>42</v>
      </c>
      <c r="G67" s="149">
        <v>44553</v>
      </c>
      <c r="H67" s="149"/>
    </row>
    <row r="68" spans="1:9" ht="21" customHeight="1" x14ac:dyDescent="0.25">
      <c r="A68" s="155" t="s">
        <v>240</v>
      </c>
      <c r="B68" s="156"/>
      <c r="C68" s="144" t="s">
        <v>239</v>
      </c>
      <c r="D68" s="132"/>
      <c r="E68" s="132"/>
      <c r="F68" s="16" t="s">
        <v>42</v>
      </c>
      <c r="G68" s="149">
        <v>44651</v>
      </c>
      <c r="H68" s="149"/>
    </row>
    <row r="69" spans="1:9" ht="52.5" customHeight="1" x14ac:dyDescent="0.25">
      <c r="A69" s="157"/>
      <c r="B69" s="158"/>
      <c r="C69" s="109" t="s">
        <v>270</v>
      </c>
      <c r="D69" s="110"/>
      <c r="E69" s="110"/>
      <c r="F69" s="110"/>
      <c r="G69" s="110"/>
      <c r="H69" s="111"/>
    </row>
    <row r="70" spans="1:9" ht="48" customHeight="1" x14ac:dyDescent="0.25">
      <c r="A70" s="90" t="s">
        <v>247</v>
      </c>
      <c r="B70" s="91"/>
      <c r="C70" s="84" t="s">
        <v>187</v>
      </c>
      <c r="D70" s="85"/>
      <c r="E70" s="85"/>
      <c r="F70" s="17" t="s">
        <v>42</v>
      </c>
      <c r="G70" s="86">
        <v>44553</v>
      </c>
      <c r="H70" s="86"/>
      <c r="I70" s="22" t="s">
        <v>29</v>
      </c>
    </row>
    <row r="71" spans="1:9" ht="15.75" customHeight="1" x14ac:dyDescent="0.25">
      <c r="A71" s="92"/>
      <c r="B71" s="93"/>
      <c r="C71" s="87" t="s">
        <v>281</v>
      </c>
      <c r="D71" s="88"/>
      <c r="E71" s="88"/>
      <c r="F71" s="88"/>
      <c r="G71" s="88"/>
      <c r="H71" s="89"/>
    </row>
    <row r="72" spans="1:9" x14ac:dyDescent="0.25">
      <c r="A72" s="90" t="s">
        <v>280</v>
      </c>
      <c r="B72" s="91"/>
      <c r="C72" s="84" t="s">
        <v>164</v>
      </c>
      <c r="D72" s="85"/>
      <c r="E72" s="85"/>
      <c r="F72" s="17" t="s">
        <v>42</v>
      </c>
      <c r="G72" s="86">
        <v>44921</v>
      </c>
      <c r="H72" s="86"/>
    </row>
    <row r="73" spans="1:9" ht="30.75" customHeight="1" x14ac:dyDescent="0.25">
      <c r="A73" s="92"/>
      <c r="B73" s="93"/>
      <c r="C73" s="87" t="s">
        <v>284</v>
      </c>
      <c r="D73" s="88"/>
      <c r="E73" s="88"/>
      <c r="F73" s="88"/>
      <c r="G73" s="88"/>
      <c r="H73" s="89"/>
    </row>
    <row r="74" spans="1:9" x14ac:dyDescent="0.25">
      <c r="A74" s="90" t="s">
        <v>292</v>
      </c>
      <c r="B74" s="91"/>
      <c r="C74" s="84" t="s">
        <v>164</v>
      </c>
      <c r="D74" s="85"/>
      <c r="E74" s="85"/>
      <c r="F74" s="17" t="s">
        <v>42</v>
      </c>
      <c r="G74" s="86">
        <v>45604</v>
      </c>
      <c r="H74" s="86"/>
    </row>
    <row r="75" spans="1:9" ht="51.75" customHeight="1" x14ac:dyDescent="0.25">
      <c r="A75" s="92"/>
      <c r="B75" s="93"/>
      <c r="C75" s="87" t="s">
        <v>291</v>
      </c>
      <c r="D75" s="88"/>
      <c r="E75" s="88"/>
      <c r="F75" s="88"/>
      <c r="G75" s="88"/>
      <c r="H75" s="89"/>
    </row>
    <row r="76" spans="1:9" x14ac:dyDescent="0.25">
      <c r="A76" s="148" t="s">
        <v>46</v>
      </c>
      <c r="B76" s="148"/>
      <c r="C76" s="148"/>
      <c r="D76" s="148"/>
      <c r="E76" s="148"/>
      <c r="F76" s="148"/>
      <c r="G76" s="148"/>
      <c r="H76" s="148"/>
    </row>
    <row r="77" spans="1:9" x14ac:dyDescent="0.25">
      <c r="A77" s="144" t="s">
        <v>91</v>
      </c>
      <c r="B77" s="144"/>
      <c r="C77" s="144"/>
      <c r="D77" s="132">
        <f>E42</f>
        <v>69472.02</v>
      </c>
      <c r="E77" s="132"/>
      <c r="F77" s="132"/>
      <c r="G77" s="132"/>
      <c r="H77" s="132"/>
    </row>
    <row r="78" spans="1:9" x14ac:dyDescent="0.25">
      <c r="A78" s="144" t="s">
        <v>223</v>
      </c>
      <c r="B78" s="132"/>
      <c r="C78" s="132"/>
      <c r="D78" s="132" t="s">
        <v>264</v>
      </c>
      <c r="E78" s="132"/>
      <c r="F78" s="132"/>
      <c r="G78" s="132"/>
      <c r="H78" s="132"/>
      <c r="I78" s="28"/>
    </row>
    <row r="79" spans="1:9" ht="33" customHeight="1" x14ac:dyDescent="0.25">
      <c r="A79" s="144" t="s">
        <v>222</v>
      </c>
      <c r="B79" s="132"/>
      <c r="C79" s="132"/>
      <c r="D79" s="144" t="s">
        <v>224</v>
      </c>
      <c r="E79" s="144"/>
      <c r="F79" s="144"/>
      <c r="G79" s="144"/>
      <c r="H79" s="144"/>
      <c r="I79" s="28"/>
    </row>
    <row r="80" spans="1:9" ht="98.25" customHeight="1" x14ac:dyDescent="0.25">
      <c r="A80" s="155" t="s">
        <v>47</v>
      </c>
      <c r="B80" s="179"/>
      <c r="C80" s="156"/>
      <c r="D80" s="144" t="s">
        <v>277</v>
      </c>
      <c r="E80" s="144"/>
      <c r="F80" s="144"/>
      <c r="G80" s="144"/>
      <c r="H80" s="144"/>
    </row>
    <row r="81" spans="1:14" ht="31.5" customHeight="1" x14ac:dyDescent="0.25">
      <c r="A81" s="155" t="s">
        <v>89</v>
      </c>
      <c r="B81" s="179"/>
      <c r="C81" s="156"/>
      <c r="D81" s="144" t="s">
        <v>276</v>
      </c>
      <c r="E81" s="144"/>
      <c r="F81" s="144"/>
      <c r="G81" s="144"/>
      <c r="H81" s="144"/>
    </row>
    <row r="82" spans="1:14" ht="49.5" customHeight="1" x14ac:dyDescent="0.25">
      <c r="A82" s="180"/>
      <c r="B82" s="181"/>
      <c r="C82" s="182"/>
      <c r="D82" s="144" t="s">
        <v>275</v>
      </c>
      <c r="E82" s="144"/>
      <c r="F82" s="144"/>
      <c r="G82" s="144"/>
      <c r="H82" s="144"/>
    </row>
    <row r="83" spans="1:14" ht="15.75" customHeight="1" x14ac:dyDescent="0.25">
      <c r="A83" s="157"/>
      <c r="B83" s="183"/>
      <c r="C83" s="158"/>
      <c r="D83" s="144" t="s">
        <v>278</v>
      </c>
      <c r="E83" s="144"/>
      <c r="F83" s="144"/>
      <c r="G83" s="144"/>
      <c r="H83" s="144"/>
    </row>
    <row r="84" spans="1:14" ht="31.5" customHeight="1" x14ac:dyDescent="0.25">
      <c r="A84" s="132" t="s">
        <v>45</v>
      </c>
      <c r="B84" s="132"/>
      <c r="C84" s="132"/>
      <c r="D84" s="144" t="s">
        <v>290</v>
      </c>
      <c r="E84" s="144"/>
      <c r="F84" s="144"/>
      <c r="G84" s="144"/>
      <c r="H84" s="144"/>
      <c r="J84" s="29"/>
      <c r="K84" s="28"/>
      <c r="N84" s="28"/>
    </row>
    <row r="85" spans="1:14" ht="15.75" customHeight="1" x14ac:dyDescent="0.25">
      <c r="A85" s="132" t="s">
        <v>87</v>
      </c>
      <c r="B85" s="132"/>
      <c r="C85" s="132"/>
      <c r="D85" s="79" t="str">
        <f>(IF(I70="NA","60 Years After Completion",IF(I70&lt;&gt;"NA",""&amp;60-ROUNDDOWN((E3-I70)/360,0)&amp;" Years"," ")))</f>
        <v>60 Years After Completion</v>
      </c>
      <c r="E85" s="79"/>
      <c r="F85" s="79"/>
      <c r="G85" s="79"/>
      <c r="H85" s="79"/>
      <c r="I85" s="78" t="str">
        <f>(IF(L70="NA","60 Years After Completion",IF(L70&lt;&gt;"NA",""&amp;60-ROUNDDOWN((J3-L70)/360,0)&amp;" Years"," ")))</f>
        <v>60 Years</v>
      </c>
      <c r="J85" s="79"/>
      <c r="K85" s="79"/>
      <c r="L85" s="79"/>
      <c r="M85" s="79"/>
      <c r="N85" s="28"/>
    </row>
    <row r="86" spans="1:14" ht="15.75" customHeight="1" x14ac:dyDescent="0.25">
      <c r="A86" s="132" t="s">
        <v>88</v>
      </c>
      <c r="B86" s="132"/>
      <c r="C86" s="132"/>
      <c r="D86" s="144" t="s">
        <v>23</v>
      </c>
      <c r="E86" s="144"/>
      <c r="F86" s="144"/>
      <c r="G86" s="144"/>
      <c r="H86" s="144"/>
      <c r="J86" s="30"/>
      <c r="K86" s="30"/>
    </row>
    <row r="87" spans="1:14" ht="31.5" customHeight="1" x14ac:dyDescent="0.25">
      <c r="A87" s="132" t="s">
        <v>217</v>
      </c>
      <c r="B87" s="132"/>
      <c r="C87" s="132"/>
      <c r="D87" s="144" t="s">
        <v>226</v>
      </c>
      <c r="E87" s="144"/>
      <c r="F87" s="144"/>
      <c r="G87" s="144"/>
      <c r="H87" s="144"/>
    </row>
    <row r="88" spans="1:14" x14ac:dyDescent="0.25">
      <c r="A88" s="144" t="s">
        <v>150</v>
      </c>
      <c r="B88" s="144"/>
      <c r="C88" s="144"/>
      <c r="D88" s="144" t="s">
        <v>29</v>
      </c>
      <c r="E88" s="144"/>
      <c r="F88" s="144"/>
      <c r="G88" s="144"/>
      <c r="H88" s="144"/>
      <c r="I88" s="31"/>
      <c r="J88" s="31"/>
      <c r="K88" s="31"/>
      <c r="L88" s="31"/>
      <c r="M88" s="31"/>
      <c r="N88" s="31"/>
    </row>
    <row r="89" spans="1:14" ht="15.75" customHeight="1" x14ac:dyDescent="0.25">
      <c r="A89" s="132" t="s">
        <v>86</v>
      </c>
      <c r="B89" s="132"/>
      <c r="C89" s="132"/>
      <c r="D89" s="144" t="str">
        <f ca="1">(IF(G111&gt;95%,"Nothing",IF(G111&gt;0%,"Cement, Aggregate, Steel, etc",IF(G111=0%,"Work not yet Started"))))</f>
        <v>Cement, Aggregate, Steel, etc</v>
      </c>
      <c r="E89" s="144"/>
      <c r="F89" s="144"/>
      <c r="G89" s="144"/>
      <c r="H89" s="144"/>
      <c r="J89" s="30"/>
    </row>
    <row r="90" spans="1:14" ht="33.75" customHeight="1" thickBot="1" x14ac:dyDescent="0.3">
      <c r="A90" s="144" t="s">
        <v>120</v>
      </c>
      <c r="B90" s="144"/>
      <c r="C90" s="144"/>
      <c r="D90" s="144" t="str">
        <f ca="1">(IF(D89="Nothing","Yes",IF(D89="Cement, Aggregate, Steel, etc","Under Construction",IF(D89="Work not yet Started","Work not yet Started"))))</f>
        <v>Under Construction</v>
      </c>
      <c r="E90" s="144"/>
      <c r="F90" s="144" t="str">
        <f ca="1">(IF(D89="Nothing","Yes",IF(D89="Cement, Aggregate, Steel, etc","Under Construction",IF(D89="Work not yet Started","Work not yet Started"))))</f>
        <v>Under Construction</v>
      </c>
      <c r="G90" s="144"/>
      <c r="H90" s="144"/>
    </row>
    <row r="91" spans="1:14" ht="33.75" customHeight="1" x14ac:dyDescent="0.25">
      <c r="A91" s="84" t="s">
        <v>142</v>
      </c>
      <c r="B91" s="84"/>
      <c r="C91" s="84" t="str">
        <f>D81</f>
        <v>Sale Building (Wing A) = B + Gr/st + 1st to 27th Floor +  28th Floor (Service Floor) + 29th Floor (Amenity Area Floor)</v>
      </c>
      <c r="D91" s="84"/>
      <c r="E91" s="84"/>
      <c r="F91" s="84"/>
      <c r="G91" s="84"/>
      <c r="H91" s="84"/>
      <c r="I91" s="32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completed","0")))))))))))&amp;(IF(C99=(D92+F92+H92),", RCC Slab Completed",IF(C99&gt;0,", RCC upto "&amp;C99&amp;" Slab Completed",""))&amp;(IF(C100=H92,", Brickwork Completed",IF(C100&gt;0,", Brickwork upto "&amp;C100&amp;" Floor Completed",""))&amp;(IF(C101=H92,", Internal Plaster Completed",IF(C101&gt;0,", Internal Plaster upto "&amp;C101&amp;" Floor Completed",""))&amp;(IF(C102=H92,", External Plaster Completed",IF(C102&gt;0,", External Plaster upto "&amp;C102&amp;" Floor Completed",""))&amp;(IF(C103=H92,", Flooring Completed",IF(C103&gt;0,", Flooring upto "&amp;C103&amp;" Floor Completed",""))&amp;(IF(C104=H92,", Painting Completed",IF(C104&gt;0,", Painting upto "&amp;C104&amp;" Floor Completed",""))&amp;(IF(C105&gt;0,", Finishing upto "&amp;C105&amp;" Floor Completed","")&amp;(IF(C99&gt;0.5,".",""))))))))))))))</f>
        <v>All work completed. Please provide OC.</v>
      </c>
      <c r="J91" s="33"/>
    </row>
    <row r="92" spans="1:14" x14ac:dyDescent="0.25">
      <c r="A92" s="69" t="s">
        <v>144</v>
      </c>
      <c r="B92" s="69">
        <v>1</v>
      </c>
      <c r="C92" s="69" t="s">
        <v>73</v>
      </c>
      <c r="D92" s="69">
        <v>1</v>
      </c>
      <c r="E92" s="69" t="s">
        <v>72</v>
      </c>
      <c r="F92" s="69">
        <v>0</v>
      </c>
      <c r="G92" s="69" t="s">
        <v>80</v>
      </c>
      <c r="H92" s="69">
        <f ca="1">--TRIM(RIGHT(SUBSTITUTE(LEFT(C91,_xlfn.AGGREGATE(16,6,FIND({0,1,2,3,4,5,6,7,8,9},C91,ROW(INDIRECT("1:"&amp;LEN(C91)))),1))," ",REPT(" ",LEN(C91))),LEN(C91)))</f>
        <v>29</v>
      </c>
      <c r="I92" s="30"/>
      <c r="J92" s="34"/>
    </row>
    <row r="93" spans="1:14" x14ac:dyDescent="0.25">
      <c r="A93" s="213" t="s">
        <v>90</v>
      </c>
      <c r="B93" s="214"/>
      <c r="C93" s="215" t="str">
        <f>I93</f>
        <v>All work Completed. OC Received.</v>
      </c>
      <c r="D93" s="215"/>
      <c r="E93" s="215"/>
      <c r="F93" s="215"/>
      <c r="G93" s="215"/>
      <c r="H93" s="216"/>
      <c r="I93" s="30" t="s">
        <v>107</v>
      </c>
      <c r="J93" s="34"/>
    </row>
    <row r="94" spans="1:14" ht="16.5" thickBot="1" x14ac:dyDescent="0.3">
      <c r="A94" s="217" t="s">
        <v>85</v>
      </c>
      <c r="B94" s="218"/>
      <c r="C94" s="219">
        <v>1</v>
      </c>
      <c r="D94" s="218"/>
      <c r="E94" s="220" t="s">
        <v>84</v>
      </c>
      <c r="F94" s="220"/>
      <c r="G94" s="219">
        <v>1</v>
      </c>
      <c r="H94" s="221"/>
      <c r="I94" s="30"/>
      <c r="J94" s="34"/>
    </row>
    <row r="95" spans="1:14" hidden="1" x14ac:dyDescent="0.25">
      <c r="A95" s="172" t="s">
        <v>90</v>
      </c>
      <c r="B95" s="85"/>
      <c r="C95" s="84" t="s">
        <v>107</v>
      </c>
      <c r="D95" s="84"/>
      <c r="E95" s="84"/>
      <c r="F95" s="84"/>
      <c r="G95" s="84"/>
      <c r="H95" s="173"/>
      <c r="I95" s="30" t="s">
        <v>107</v>
      </c>
      <c r="J95" s="34"/>
    </row>
    <row r="96" spans="1:14" ht="15.75" hidden="1" customHeight="1" x14ac:dyDescent="0.25">
      <c r="A96" s="129" t="s">
        <v>48</v>
      </c>
      <c r="B96" s="130"/>
      <c r="C96" s="15" t="s">
        <v>141</v>
      </c>
      <c r="D96" s="15" t="s">
        <v>83</v>
      </c>
      <c r="E96" s="130" t="s">
        <v>85</v>
      </c>
      <c r="F96" s="130"/>
      <c r="G96" s="130" t="s">
        <v>84</v>
      </c>
      <c r="H96" s="174"/>
      <c r="I96" s="35" t="s">
        <v>143</v>
      </c>
      <c r="J96" s="36">
        <f ca="1">H92*25%</f>
        <v>7.25</v>
      </c>
    </row>
    <row r="97" spans="1:10" hidden="1" x14ac:dyDescent="0.25">
      <c r="A97" s="129" t="s">
        <v>130</v>
      </c>
      <c r="B97" s="130"/>
      <c r="C97" s="23">
        <f ca="1">J98</f>
        <v>29</v>
      </c>
      <c r="D97" s="24">
        <f ca="1">((100/H92)*C97)/100</f>
        <v>1</v>
      </c>
      <c r="E97" s="131">
        <f ca="1">(((C98/H92*10)+(40/(D92+F92+H92)*C99)+(7.5/(H92)*C100)+(7.5/(H92)*C101)+(10/H92*C102)+(10/H92*C103)+(5/H92*C104)+(5/H92*C105)+(5/H92*C106))/100)</f>
        <v>1</v>
      </c>
      <c r="F97" s="131"/>
      <c r="G97" s="131">
        <f ca="1">((((C97/H92)*20)+((C98/H92)*25)+(30/(H92+F92+D92)*C99)+(5/H92*C100)+(5/H92*C101)+(5/H92*C102)+(5/H92*C103)+(0/H92*C104)+(0/H92*C105)+(5/H92*C106))/100)</f>
        <v>1</v>
      </c>
      <c r="H97" s="170"/>
      <c r="I97" s="35" t="s">
        <v>102</v>
      </c>
      <c r="J97" s="37">
        <f ca="1">H92*50%</f>
        <v>14.5</v>
      </c>
    </row>
    <row r="98" spans="1:10" hidden="1" x14ac:dyDescent="0.25">
      <c r="A98" s="129" t="s">
        <v>49</v>
      </c>
      <c r="B98" s="130"/>
      <c r="C98" s="25">
        <f ca="1">J106</f>
        <v>29</v>
      </c>
      <c r="D98" s="24">
        <f ca="1">((100/H92)*C98)/100</f>
        <v>1</v>
      </c>
      <c r="E98" s="131"/>
      <c r="F98" s="131"/>
      <c r="G98" s="131"/>
      <c r="H98" s="170"/>
      <c r="I98" s="35" t="s">
        <v>103</v>
      </c>
      <c r="J98" s="37">
        <f ca="1">H92</f>
        <v>29</v>
      </c>
    </row>
    <row r="99" spans="1:10" ht="15.75" hidden="1" customHeight="1" x14ac:dyDescent="0.25">
      <c r="A99" s="129" t="s">
        <v>131</v>
      </c>
      <c r="B99" s="130"/>
      <c r="C99" s="25">
        <v>30</v>
      </c>
      <c r="D99" s="24">
        <f ca="1">((100/(D92+F92+H92))*C99)/100</f>
        <v>1</v>
      </c>
      <c r="E99" s="131"/>
      <c r="F99" s="131"/>
      <c r="G99" s="131"/>
      <c r="H99" s="170"/>
      <c r="I99" s="35" t="s">
        <v>104</v>
      </c>
      <c r="J99" s="38">
        <f ca="1">(IF(B92&gt;1,(H92/(B92+2)),H92/4))</f>
        <v>7.25</v>
      </c>
    </row>
    <row r="100" spans="1:10" ht="15.75" hidden="1" customHeight="1" x14ac:dyDescent="0.25">
      <c r="A100" s="129" t="s">
        <v>138</v>
      </c>
      <c r="B100" s="130" t="s">
        <v>132</v>
      </c>
      <c r="C100" s="25">
        <v>29</v>
      </c>
      <c r="D100" s="24">
        <f ca="1">((100/H92)*C100)/100</f>
        <v>1</v>
      </c>
      <c r="E100" s="131"/>
      <c r="F100" s="131"/>
      <c r="G100" s="131"/>
      <c r="H100" s="170"/>
      <c r="I100" s="35" t="s">
        <v>105</v>
      </c>
      <c r="J100" s="38">
        <f ca="1">(IF(B92&gt;1,(H92/(B92+2)+J99),H92/4+J99))</f>
        <v>14.5</v>
      </c>
    </row>
    <row r="101" spans="1:10" ht="15.75" hidden="1" customHeight="1" x14ac:dyDescent="0.25">
      <c r="A101" s="129" t="s">
        <v>139</v>
      </c>
      <c r="B101" s="130" t="s">
        <v>132</v>
      </c>
      <c r="C101" s="25">
        <v>29</v>
      </c>
      <c r="D101" s="24">
        <f ca="1">((100/H92)*C101)/100</f>
        <v>1</v>
      </c>
      <c r="E101" s="131"/>
      <c r="F101" s="131"/>
      <c r="G101" s="131"/>
      <c r="H101" s="170"/>
      <c r="I101" s="35" t="s">
        <v>148</v>
      </c>
      <c r="J101" s="38">
        <f>(IF(B92&gt;1,(H92/(B92+2)+J100),0))</f>
        <v>0</v>
      </c>
    </row>
    <row r="102" spans="1:10" ht="15" hidden="1" customHeight="1" x14ac:dyDescent="0.25">
      <c r="A102" s="129" t="s">
        <v>137</v>
      </c>
      <c r="B102" s="130" t="s">
        <v>134</v>
      </c>
      <c r="C102" s="25">
        <v>29</v>
      </c>
      <c r="D102" s="24">
        <f ca="1">((100/(H92))*C102)/100</f>
        <v>1</v>
      </c>
      <c r="E102" s="131"/>
      <c r="F102" s="131"/>
      <c r="G102" s="131"/>
      <c r="H102" s="170"/>
      <c r="I102" s="35" t="s">
        <v>145</v>
      </c>
      <c r="J102" s="38">
        <f>(IF(B92&gt;2,(H92/(B92+2)+J101),0))</f>
        <v>0</v>
      </c>
    </row>
    <row r="103" spans="1:10" ht="15.75" hidden="1" customHeight="1" x14ac:dyDescent="0.25">
      <c r="A103" s="129" t="s">
        <v>133</v>
      </c>
      <c r="B103" s="130" t="s">
        <v>133</v>
      </c>
      <c r="C103" s="23">
        <v>29</v>
      </c>
      <c r="D103" s="24">
        <f ca="1">((100/H92)*C103)/100</f>
        <v>1</v>
      </c>
      <c r="E103" s="131"/>
      <c r="F103" s="131"/>
      <c r="G103" s="131"/>
      <c r="H103" s="170"/>
      <c r="I103" s="35" t="s">
        <v>146</v>
      </c>
      <c r="J103" s="39">
        <f>(IF(B92&gt;3,(H92/(B92+2)+J102),0))</f>
        <v>0</v>
      </c>
    </row>
    <row r="104" spans="1:10" ht="15.75" hidden="1" customHeight="1" x14ac:dyDescent="0.25">
      <c r="A104" s="129" t="s">
        <v>140</v>
      </c>
      <c r="B104" s="130"/>
      <c r="C104" s="23">
        <v>29</v>
      </c>
      <c r="D104" s="24">
        <f ca="1">((100/H92)*C104)/100</f>
        <v>1</v>
      </c>
      <c r="E104" s="131"/>
      <c r="F104" s="131"/>
      <c r="G104" s="131"/>
      <c r="H104" s="170"/>
      <c r="I104" s="35" t="s">
        <v>147</v>
      </c>
      <c r="J104" s="38">
        <f>(IF(B92&gt;4,(H92/(B92+2)+J103),0))</f>
        <v>0</v>
      </c>
    </row>
    <row r="105" spans="1:10" ht="15.75" hidden="1" customHeight="1" x14ac:dyDescent="0.25">
      <c r="A105" s="129" t="s">
        <v>135</v>
      </c>
      <c r="B105" s="130" t="s">
        <v>135</v>
      </c>
      <c r="C105" s="23">
        <v>29</v>
      </c>
      <c r="D105" s="24">
        <f ca="1">((100/(H92))*C105)/100</f>
        <v>1</v>
      </c>
      <c r="E105" s="131"/>
      <c r="F105" s="131"/>
      <c r="G105" s="131"/>
      <c r="H105" s="170"/>
      <c r="I105" s="35" t="s">
        <v>149</v>
      </c>
      <c r="J105" s="38">
        <f ca="1">(IF(B92=1,(H92/(B92+3)+J100),IF(B92=0,(H92/4+J100),IF(B92&gt;1,0))))</f>
        <v>21.75</v>
      </c>
    </row>
    <row r="106" spans="1:10" ht="16.5" hidden="1" thickBot="1" x14ac:dyDescent="0.3">
      <c r="A106" s="134" t="s">
        <v>136</v>
      </c>
      <c r="B106" s="135"/>
      <c r="C106" s="26">
        <v>29</v>
      </c>
      <c r="D106" s="27">
        <f ca="1">((100/(H92))*C106)/100</f>
        <v>1</v>
      </c>
      <c r="E106" s="169"/>
      <c r="F106" s="169"/>
      <c r="G106" s="169"/>
      <c r="H106" s="171"/>
      <c r="I106" s="40" t="s">
        <v>106</v>
      </c>
      <c r="J106" s="41">
        <f ca="1">(IF(B92&gt;1.5,(H92/(B92+2)+J100+MAX(0,J101-J100)+MAX(0,J102-J101)+MAX(0,J103-J102)+MAX(0,J104-J103)+MAX(0,J105-J104)),IF(B92=1,(H92/(B92+3)+J105),IF(B92=0,H92/4+J105))))</f>
        <v>29</v>
      </c>
    </row>
    <row r="107" spans="1:10" ht="50.25" customHeight="1" x14ac:dyDescent="0.25">
      <c r="A107" s="201" t="s">
        <v>142</v>
      </c>
      <c r="B107" s="202"/>
      <c r="C107" s="203" t="str">
        <f>D82</f>
        <v>Sale Building (Wing B) = B + Gr/st + 1st to 3rd Floor + 4th Floor (Service Floor) + 5th to 27th Floor +  28th Floor (Recreational Floor) + 29th Floor (Recreational Floor) + 30th to 33rd Floor</v>
      </c>
      <c r="D107" s="204"/>
      <c r="E107" s="204"/>
      <c r="F107" s="204"/>
      <c r="G107" s="204"/>
      <c r="H107" s="205"/>
      <c r="I107" s="32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completed, RCC upto 15 Slab Completed, Brickwork upto 11 Floor Completed, Internal Plaster upto 8.25 Floor Completed, External Plaster upto 3 Floor Completed, Flooring upto 3 Floor Completed, Painting upto 3 Floor Completed.</v>
      </c>
      <c r="J107" s="33"/>
    </row>
    <row r="108" spans="1:10" x14ac:dyDescent="0.25">
      <c r="A108" s="13" t="s">
        <v>144</v>
      </c>
      <c r="B108" s="18">
        <v>1</v>
      </c>
      <c r="C108" s="18" t="s">
        <v>73</v>
      </c>
      <c r="D108" s="18">
        <v>1</v>
      </c>
      <c r="E108" s="18" t="s">
        <v>72</v>
      </c>
      <c r="F108" s="18">
        <v>0</v>
      </c>
      <c r="G108" s="18" t="s">
        <v>80</v>
      </c>
      <c r="H108" s="14">
        <f ca="1">--TRIM(RIGHT(SUBSTITUTE(LEFT(C107,_xlfn.AGGREGATE(16,6,FIND({0,1,2,3,4,5,6,7,8,9},C107,ROW(INDIRECT("1:"&amp;LEN(C107)))),1))," ",REPT(" ",LEN(C107))),LEN(C107)))</f>
        <v>33</v>
      </c>
      <c r="I108" s="30"/>
      <c r="J108" s="34"/>
    </row>
    <row r="109" spans="1:10" ht="63" customHeight="1" x14ac:dyDescent="0.25">
      <c r="A109" s="172" t="s">
        <v>90</v>
      </c>
      <c r="B109" s="85"/>
      <c r="C109" s="84" t="str">
        <f ca="1">I107</f>
        <v>Excavation work Completed. Plinth work completed, RCC upto 15 Slab Completed, Brickwork upto 11 Floor Completed, Internal Plaster upto 8.25 Floor Completed, External Plaster upto 3 Floor Completed, Flooring upto 3 Floor Completed, Painting upto 3 Floor Completed.</v>
      </c>
      <c r="D109" s="84"/>
      <c r="E109" s="84"/>
      <c r="F109" s="84"/>
      <c r="G109" s="84"/>
      <c r="H109" s="173"/>
      <c r="I109" s="30" t="s">
        <v>107</v>
      </c>
      <c r="J109" s="34"/>
    </row>
    <row r="110" spans="1:10" ht="15.75" customHeight="1" x14ac:dyDescent="0.25">
      <c r="A110" s="129" t="s">
        <v>48</v>
      </c>
      <c r="B110" s="130"/>
      <c r="C110" s="15" t="s">
        <v>141</v>
      </c>
      <c r="D110" s="15" t="s">
        <v>83</v>
      </c>
      <c r="E110" s="130" t="s">
        <v>85</v>
      </c>
      <c r="F110" s="130"/>
      <c r="G110" s="130" t="s">
        <v>84</v>
      </c>
      <c r="H110" s="174"/>
      <c r="I110" s="35" t="s">
        <v>143</v>
      </c>
      <c r="J110" s="36">
        <f ca="1">H108*25%</f>
        <v>8.25</v>
      </c>
    </row>
    <row r="111" spans="1:10" x14ac:dyDescent="0.25">
      <c r="A111" s="130" t="s">
        <v>130</v>
      </c>
      <c r="B111" s="130"/>
      <c r="C111" s="25">
        <f ca="1">J112</f>
        <v>33</v>
      </c>
      <c r="D111" s="68">
        <f ca="1">((100/H108)*C111)/100</f>
        <v>1</v>
      </c>
      <c r="E111" s="131">
        <f ca="1">(((C112/H108*10)+(40/(D108+F108+H108)*C113)+(7.5/(H108)*C114)+(7.5/(H108)*C115)+(10/H108*C116)+(10/H108*C117)+(5/H108*C118)+(5/H108*C119)+(5/H108*C120))/100)</f>
        <v>0.3429478609625668</v>
      </c>
      <c r="F111" s="131"/>
      <c r="G111" s="131">
        <f ca="1">((((C111/H108)*20)+((C112/H108)*25)+(30/(H108+F108+D108)*C113)+(5/H108*C114)+(5/H108*C115)+(5/H108*C116)+(5/H108*C117)+(0/H108*C118)+(0/H108*C119)+(5/H108*C120))/100)</f>
        <v>0.62061051693404634</v>
      </c>
      <c r="H111" s="131"/>
      <c r="I111" s="35" t="s">
        <v>102</v>
      </c>
      <c r="J111" s="37">
        <f ca="1">H108*50%</f>
        <v>16.5</v>
      </c>
    </row>
    <row r="112" spans="1:10" x14ac:dyDescent="0.25">
      <c r="A112" s="130" t="s">
        <v>49</v>
      </c>
      <c r="B112" s="130"/>
      <c r="C112" s="25">
        <v>33</v>
      </c>
      <c r="D112" s="68">
        <f ca="1">((100/H108)*C112)/100</f>
        <v>1</v>
      </c>
      <c r="E112" s="131"/>
      <c r="F112" s="131"/>
      <c r="G112" s="131"/>
      <c r="H112" s="131"/>
      <c r="I112" s="35" t="s">
        <v>103</v>
      </c>
      <c r="J112" s="37">
        <f ca="1">H108</f>
        <v>33</v>
      </c>
    </row>
    <row r="113" spans="1:10" ht="15.75" customHeight="1" x14ac:dyDescent="0.25">
      <c r="A113" s="130" t="s">
        <v>131</v>
      </c>
      <c r="B113" s="130"/>
      <c r="C113" s="25">
        <v>15</v>
      </c>
      <c r="D113" s="68">
        <f ca="1">((100/(D108+F108+H108))*C113)/100</f>
        <v>0.44117647058823534</v>
      </c>
      <c r="E113" s="131"/>
      <c r="F113" s="131"/>
      <c r="G113" s="131"/>
      <c r="H113" s="131"/>
      <c r="I113" s="35" t="s">
        <v>104</v>
      </c>
      <c r="J113" s="38">
        <f ca="1">(IF(B108&gt;1,(H108/(B108+2)),H108/4))</f>
        <v>8.25</v>
      </c>
    </row>
    <row r="114" spans="1:10" ht="15.75" customHeight="1" x14ac:dyDescent="0.25">
      <c r="A114" s="130" t="s">
        <v>138</v>
      </c>
      <c r="B114" s="130" t="s">
        <v>132</v>
      </c>
      <c r="C114" s="25">
        <f>C113-4</f>
        <v>11</v>
      </c>
      <c r="D114" s="68">
        <f ca="1">((100/H108)*C114)/100</f>
        <v>0.33333333333333337</v>
      </c>
      <c r="E114" s="131"/>
      <c r="F114" s="131"/>
      <c r="G114" s="131"/>
      <c r="H114" s="131"/>
      <c r="I114" s="35" t="s">
        <v>105</v>
      </c>
      <c r="J114" s="38">
        <f ca="1">(IF(B108&gt;1,(H108/(B108+2)+J113),H108/4+J113))</f>
        <v>16.5</v>
      </c>
    </row>
    <row r="115" spans="1:10" ht="15.75" customHeight="1" x14ac:dyDescent="0.25">
      <c r="A115" s="130" t="s">
        <v>139</v>
      </c>
      <c r="B115" s="130" t="s">
        <v>132</v>
      </c>
      <c r="C115" s="25">
        <f>C114*0.75</f>
        <v>8.25</v>
      </c>
      <c r="D115" s="68">
        <f ca="1">((100/H108)*C115)/100</f>
        <v>0.25</v>
      </c>
      <c r="E115" s="131"/>
      <c r="F115" s="131"/>
      <c r="G115" s="131"/>
      <c r="H115" s="131"/>
      <c r="I115" s="35" t="s">
        <v>148</v>
      </c>
      <c r="J115" s="38">
        <f>(IF(B108&gt;1,(H108/(B108+2)+J114),0))</f>
        <v>0</v>
      </c>
    </row>
    <row r="116" spans="1:10" ht="15" customHeight="1" x14ac:dyDescent="0.25">
      <c r="A116" s="130" t="s">
        <v>137</v>
      </c>
      <c r="B116" s="130" t="s">
        <v>134</v>
      </c>
      <c r="C116" s="25">
        <v>3</v>
      </c>
      <c r="D116" s="68">
        <f ca="1">((100/(H108))*C116)/100</f>
        <v>9.0909090909090898E-2</v>
      </c>
      <c r="E116" s="131"/>
      <c r="F116" s="131"/>
      <c r="G116" s="131"/>
      <c r="H116" s="131"/>
      <c r="I116" s="35" t="s">
        <v>145</v>
      </c>
      <c r="J116" s="38">
        <f>(IF(B108&gt;2,(H108/(B108+2)+J115),0))</f>
        <v>0</v>
      </c>
    </row>
    <row r="117" spans="1:10" ht="15.75" customHeight="1" x14ac:dyDescent="0.25">
      <c r="A117" s="130" t="s">
        <v>133</v>
      </c>
      <c r="B117" s="130" t="s">
        <v>133</v>
      </c>
      <c r="C117" s="23">
        <v>3</v>
      </c>
      <c r="D117" s="68">
        <f ca="1">((100/H108)*C117)/100</f>
        <v>9.0909090909090898E-2</v>
      </c>
      <c r="E117" s="131"/>
      <c r="F117" s="131"/>
      <c r="G117" s="131"/>
      <c r="H117" s="131"/>
      <c r="I117" s="35" t="s">
        <v>146</v>
      </c>
      <c r="J117" s="39">
        <f>(IF(B108&gt;3,(H108/(B108+2)+J116),0))</f>
        <v>0</v>
      </c>
    </row>
    <row r="118" spans="1:10" ht="15.75" customHeight="1" x14ac:dyDescent="0.25">
      <c r="A118" s="130" t="s">
        <v>140</v>
      </c>
      <c r="B118" s="130"/>
      <c r="C118" s="23">
        <v>3</v>
      </c>
      <c r="D118" s="68">
        <f ca="1">((100/H108)*C118)/100</f>
        <v>9.0909090909090898E-2</v>
      </c>
      <c r="E118" s="131"/>
      <c r="F118" s="131"/>
      <c r="G118" s="131"/>
      <c r="H118" s="131"/>
      <c r="I118" s="35" t="s">
        <v>147</v>
      </c>
      <c r="J118" s="38">
        <f>(IF(B108&gt;4,(H108/(B108+2)+J117),0))</f>
        <v>0</v>
      </c>
    </row>
    <row r="119" spans="1:10" ht="15.75" customHeight="1" x14ac:dyDescent="0.25">
      <c r="A119" s="130" t="s">
        <v>135</v>
      </c>
      <c r="B119" s="130" t="s">
        <v>135</v>
      </c>
      <c r="C119" s="23">
        <v>0</v>
      </c>
      <c r="D119" s="68">
        <f ca="1">((100/(H108))*C119)/100</f>
        <v>0</v>
      </c>
      <c r="E119" s="131"/>
      <c r="F119" s="131"/>
      <c r="G119" s="131"/>
      <c r="H119" s="131"/>
      <c r="I119" s="35" t="s">
        <v>149</v>
      </c>
      <c r="J119" s="38">
        <f ca="1">(IF(B108=1,(H108/(B108+3)+J114),IF(B108=0,(H108/4+J114),IF(B108&gt;1,0))))</f>
        <v>24.75</v>
      </c>
    </row>
    <row r="120" spans="1:10" ht="16.5" thickBot="1" x14ac:dyDescent="0.3">
      <c r="A120" s="194" t="s">
        <v>136</v>
      </c>
      <c r="B120" s="194"/>
      <c r="C120" s="71">
        <v>0</v>
      </c>
      <c r="D120" s="72">
        <f ca="1">((100/(H108))*C120)/100</f>
        <v>0</v>
      </c>
      <c r="E120" s="187"/>
      <c r="F120" s="187"/>
      <c r="G120" s="187"/>
      <c r="H120" s="187"/>
      <c r="I120" s="40" t="s">
        <v>106</v>
      </c>
      <c r="J120" s="41">
        <f ca="1">(IF(B108&gt;1.5,(H108/(B108+2)+J114+MAX(0,J115-J114)+MAX(0,J116-J115)+MAX(0,J117-J116)+MAX(0,J118-J117)+MAX(0,J119-J118)),IF(B108=1,(H108/(B108+3)+J119),IF(B108=0,H108/4+J119))))</f>
        <v>33</v>
      </c>
    </row>
    <row r="121" spans="1:10" ht="15.75" customHeight="1" x14ac:dyDescent="0.25">
      <c r="A121" s="176" t="s">
        <v>142</v>
      </c>
      <c r="B121" s="177"/>
      <c r="C121" s="177" t="str">
        <f>D83</f>
        <v>Rehab Building (Wing A &amp; B) =  Gr + 1st to 24th Floor</v>
      </c>
      <c r="D121" s="177"/>
      <c r="E121" s="177"/>
      <c r="F121" s="177"/>
      <c r="G121" s="177"/>
      <c r="H121" s="178"/>
      <c r="I121" s="32" t="str">
        <f ca="1">(IF(E126&gt;99%,"All work completed. Please provide OC.",IF(E126&gt;89.8%,"Plinth, RCC, Brick, Plaster, Flooring, Painting work Completed. Finishing work is in process.",IF(E126&lt;94%,(IF(C126=0,"Work not yet Started.",IF(D126=25%,"Piling work in process",IF(D126=50%,"Excavation work in process",IF(D126=100%,"Excavation work Completed. ","0")))&amp;(IF(C127=0%,"",IF(C127=J128,"Footing work is process",IF(C127=J129,"Footing work Completed",IF(C127=J130,"1st Basement Completed",IF(C127=J131,"1st &amp; 2nd Basement Completed",IF(C127=J132,"1st to 3rd Basement Completed",IF(C127=J133,"1st to 4th Basement Completed",IF(C127=J134,"Plinth work is process",IF(C127=J135,"Plinth work completed","0")))))))))))&amp;(IF(C128=(D122+F122+H122),", RCC Slab Completed",IF(C128&gt;0,", RCC upto "&amp;C128&amp;" Slab Completed",""))&amp;(IF(C129=H122,", Brickwork Completed",IF(C129&gt;0,", Brickwork upto "&amp;C129&amp;" Floor Completed",""))&amp;(IF(C130=H122,", Internal Plaster Completed",IF(C130&gt;0,", Internal Plaster upto "&amp;C130&amp;" Floor Completed",""))&amp;(IF(C131=H122,", External Plaster Completed",IF(C131&gt;0,", External Plaster upto "&amp;C131&amp;" Floor Completed",""))&amp;(IF(C132=H122,", Flooring Completed",IF(C132&gt;0,", Flooring upto "&amp;C132&amp;" Floor Completed",""))&amp;(IF(C133=H122,", Painting Completed",IF(C133&gt;0,", Painting upto "&amp;C133&amp;" Floor Completed",""))&amp;(IF(C134&gt;0,", Finishing upto "&amp;C134&amp;" Floor Completed","")&amp;(IF(C128&gt;0.5,".",""))))))))))))))</f>
        <v>All work completed. Please provide OC.</v>
      </c>
      <c r="J121" s="33"/>
    </row>
    <row r="122" spans="1:10" x14ac:dyDescent="0.25">
      <c r="A122" s="13" t="s">
        <v>144</v>
      </c>
      <c r="B122" s="70">
        <v>0</v>
      </c>
      <c r="C122" s="70" t="s">
        <v>73</v>
      </c>
      <c r="D122" s="70">
        <v>1</v>
      </c>
      <c r="E122" s="70" t="s">
        <v>72</v>
      </c>
      <c r="F122" s="70">
        <v>0</v>
      </c>
      <c r="G122" s="70" t="s">
        <v>80</v>
      </c>
      <c r="H122" s="14">
        <f ca="1">--TRIM(RIGHT(SUBSTITUTE(LEFT(C121,_xlfn.AGGREGATE(16,6,FIND({0,1,2,3,4,5,6,7,8,9},C121,ROW(INDIRECT("1:"&amp;LEN(C121)))),1))," ",REPT(" ",LEN(C121))),LEN(C121)))</f>
        <v>24</v>
      </c>
      <c r="I122" s="30"/>
      <c r="J122" s="34"/>
    </row>
    <row r="123" spans="1:10" x14ac:dyDescent="0.25">
      <c r="A123" s="213" t="s">
        <v>90</v>
      </c>
      <c r="B123" s="214"/>
      <c r="C123" s="215" t="str">
        <f>I123</f>
        <v>All work Completed. OC Received.</v>
      </c>
      <c r="D123" s="215"/>
      <c r="E123" s="215"/>
      <c r="F123" s="215"/>
      <c r="G123" s="215"/>
      <c r="H123" s="216"/>
      <c r="I123" s="30" t="s">
        <v>107</v>
      </c>
      <c r="J123" s="34"/>
    </row>
    <row r="124" spans="1:10" ht="16.5" thickBot="1" x14ac:dyDescent="0.3">
      <c r="A124" s="217" t="s">
        <v>85</v>
      </c>
      <c r="B124" s="218"/>
      <c r="C124" s="219">
        <v>1</v>
      </c>
      <c r="D124" s="218"/>
      <c r="E124" s="220" t="s">
        <v>84</v>
      </c>
      <c r="F124" s="220"/>
      <c r="G124" s="219">
        <v>1</v>
      </c>
      <c r="H124" s="221"/>
      <c r="I124" s="30"/>
      <c r="J124" s="34"/>
    </row>
    <row r="125" spans="1:10" ht="15.75" hidden="1" customHeight="1" x14ac:dyDescent="0.25">
      <c r="A125" s="100" t="s">
        <v>48</v>
      </c>
      <c r="B125" s="100"/>
      <c r="C125" s="73" t="s">
        <v>141</v>
      </c>
      <c r="D125" s="73" t="s">
        <v>83</v>
      </c>
      <c r="E125" s="100" t="s">
        <v>85</v>
      </c>
      <c r="F125" s="100"/>
      <c r="G125" s="100" t="s">
        <v>84</v>
      </c>
      <c r="H125" s="100"/>
      <c r="I125" s="35" t="s">
        <v>143</v>
      </c>
      <c r="J125" s="36">
        <f ca="1">H122*25%</f>
        <v>6</v>
      </c>
    </row>
    <row r="126" spans="1:10" hidden="1" x14ac:dyDescent="0.25">
      <c r="A126" s="130" t="s">
        <v>130</v>
      </c>
      <c r="B126" s="130"/>
      <c r="C126" s="23">
        <f ca="1">J127</f>
        <v>24</v>
      </c>
      <c r="D126" s="68">
        <f ca="1">((100/H122)*C126)/100</f>
        <v>1</v>
      </c>
      <c r="E126" s="131">
        <f ca="1">(((C127/H122*10)+(40/(D122+F122+H122)*C128)+(7.5/(H122)*C129)+(7.5/(H122)*C130)+(10/H122*C131)+(10/H122*C132)+(5/H122*C133)+(5/H122*C134)+(5/H122*C135))/100)</f>
        <v>1</v>
      </c>
      <c r="F126" s="131"/>
      <c r="G126" s="131">
        <f ca="1">((((C126/H122)*20)+((C127/H122)*25)+(30/(H122+F122+D122)*C128)+(5/H122*C129)+(5/H122*C130)+(5/H122*C131)+(5/H122*C132)+(0/H122*C133)+(0/H122*C134)+(5/H122*C135))/100)</f>
        <v>1</v>
      </c>
      <c r="H126" s="131"/>
      <c r="I126" s="35" t="s">
        <v>102</v>
      </c>
      <c r="J126" s="37">
        <f ca="1">H122*50%</f>
        <v>12</v>
      </c>
    </row>
    <row r="127" spans="1:10" hidden="1" x14ac:dyDescent="0.25">
      <c r="A127" s="130" t="s">
        <v>49</v>
      </c>
      <c r="B127" s="130"/>
      <c r="C127" s="25">
        <f ca="1">J135</f>
        <v>24</v>
      </c>
      <c r="D127" s="68">
        <f ca="1">((100/H122)*C127)/100</f>
        <v>1</v>
      </c>
      <c r="E127" s="131"/>
      <c r="F127" s="131"/>
      <c r="G127" s="131"/>
      <c r="H127" s="131"/>
      <c r="I127" s="35" t="s">
        <v>103</v>
      </c>
      <c r="J127" s="37">
        <f ca="1">H122</f>
        <v>24</v>
      </c>
    </row>
    <row r="128" spans="1:10" ht="15.75" hidden="1" customHeight="1" x14ac:dyDescent="0.25">
      <c r="A128" s="130" t="s">
        <v>131</v>
      </c>
      <c r="B128" s="130"/>
      <c r="C128" s="25">
        <f ca="1">D122+H122</f>
        <v>25</v>
      </c>
      <c r="D128" s="68">
        <f ca="1">((100/(D122+F122+H122))*C128)/100</f>
        <v>1</v>
      </c>
      <c r="E128" s="131"/>
      <c r="F128" s="131"/>
      <c r="G128" s="131"/>
      <c r="H128" s="131"/>
      <c r="I128" s="35" t="s">
        <v>104</v>
      </c>
      <c r="J128" s="38">
        <f ca="1">(IF(B122&gt;1,(H122/(B122+2)),H122/4))</f>
        <v>6</v>
      </c>
    </row>
    <row r="129" spans="1:10" ht="15.75" hidden="1" customHeight="1" x14ac:dyDescent="0.25">
      <c r="A129" s="130" t="s">
        <v>138</v>
      </c>
      <c r="B129" s="130" t="s">
        <v>132</v>
      </c>
      <c r="C129" s="23">
        <v>24</v>
      </c>
      <c r="D129" s="68">
        <f ca="1">((100/H122)*C129)/100</f>
        <v>1</v>
      </c>
      <c r="E129" s="131"/>
      <c r="F129" s="131"/>
      <c r="G129" s="131"/>
      <c r="H129" s="131"/>
      <c r="I129" s="35" t="s">
        <v>105</v>
      </c>
      <c r="J129" s="38">
        <f ca="1">(IF(B122&gt;1,(H122/(B122+2)+J128),H122/4+J128))</f>
        <v>12</v>
      </c>
    </row>
    <row r="130" spans="1:10" ht="15.75" hidden="1" customHeight="1" x14ac:dyDescent="0.25">
      <c r="A130" s="130" t="s">
        <v>139</v>
      </c>
      <c r="B130" s="130" t="s">
        <v>132</v>
      </c>
      <c r="C130" s="23">
        <v>24</v>
      </c>
      <c r="D130" s="68">
        <f ca="1">((100/H122)*C130)/100</f>
        <v>1</v>
      </c>
      <c r="E130" s="131"/>
      <c r="F130" s="131"/>
      <c r="G130" s="131"/>
      <c r="H130" s="131"/>
      <c r="I130" s="35" t="s">
        <v>148</v>
      </c>
      <c r="J130" s="38">
        <f>(IF(B122&gt;1,(H122/(B122+2)+J129),0))</f>
        <v>0</v>
      </c>
    </row>
    <row r="131" spans="1:10" ht="15" hidden="1" customHeight="1" x14ac:dyDescent="0.25">
      <c r="A131" s="130" t="s">
        <v>137</v>
      </c>
      <c r="B131" s="130" t="s">
        <v>134</v>
      </c>
      <c r="C131" s="23">
        <v>24</v>
      </c>
      <c r="D131" s="68">
        <f ca="1">((100/(H122))*C131)/100</f>
        <v>1</v>
      </c>
      <c r="E131" s="131"/>
      <c r="F131" s="131"/>
      <c r="G131" s="131"/>
      <c r="H131" s="131"/>
      <c r="I131" s="35" t="s">
        <v>145</v>
      </c>
      <c r="J131" s="38">
        <f>(IF(B122&gt;2,(H122/(B122+2)+J130),0))</f>
        <v>0</v>
      </c>
    </row>
    <row r="132" spans="1:10" ht="15.75" hidden="1" customHeight="1" x14ac:dyDescent="0.25">
      <c r="A132" s="130" t="s">
        <v>133</v>
      </c>
      <c r="B132" s="130" t="s">
        <v>133</v>
      </c>
      <c r="C132" s="23">
        <v>24</v>
      </c>
      <c r="D132" s="68">
        <f ca="1">((100/H122)*C132)/100</f>
        <v>1</v>
      </c>
      <c r="E132" s="131"/>
      <c r="F132" s="131"/>
      <c r="G132" s="131"/>
      <c r="H132" s="131"/>
      <c r="I132" s="35" t="s">
        <v>146</v>
      </c>
      <c r="J132" s="39">
        <f>(IF(B122&gt;3,(H122/(B122+2)+J131),0))</f>
        <v>0</v>
      </c>
    </row>
    <row r="133" spans="1:10" ht="15.75" hidden="1" customHeight="1" x14ac:dyDescent="0.25">
      <c r="A133" s="130" t="s">
        <v>140</v>
      </c>
      <c r="B133" s="130"/>
      <c r="C133" s="23">
        <v>24</v>
      </c>
      <c r="D133" s="68">
        <f ca="1">((100/H122)*C133)/100</f>
        <v>1</v>
      </c>
      <c r="E133" s="131"/>
      <c r="F133" s="131"/>
      <c r="G133" s="131"/>
      <c r="H133" s="131"/>
      <c r="I133" s="35" t="s">
        <v>147</v>
      </c>
      <c r="J133" s="38">
        <f>(IF(B122&gt;4,(H122/(B122+2)+J132),0))</f>
        <v>0</v>
      </c>
    </row>
    <row r="134" spans="1:10" ht="15.75" hidden="1" customHeight="1" x14ac:dyDescent="0.25">
      <c r="A134" s="130" t="s">
        <v>135</v>
      </c>
      <c r="B134" s="130" t="s">
        <v>135</v>
      </c>
      <c r="C134" s="23">
        <v>24</v>
      </c>
      <c r="D134" s="68">
        <f ca="1">((100/(H122))*C134)/100</f>
        <v>1</v>
      </c>
      <c r="E134" s="131"/>
      <c r="F134" s="131"/>
      <c r="G134" s="131"/>
      <c r="H134" s="131"/>
      <c r="I134" s="35" t="s">
        <v>149</v>
      </c>
      <c r="J134" s="38">
        <f ca="1">(IF(B122=1,(H122/(B122+3)+J129),IF(B122=0,(H122/4+J129),IF(B122&gt;1,0))))</f>
        <v>18</v>
      </c>
    </row>
    <row r="135" spans="1:10" ht="16.5" hidden="1" thickBot="1" x14ac:dyDescent="0.3">
      <c r="A135" s="130" t="s">
        <v>136</v>
      </c>
      <c r="B135" s="130"/>
      <c r="C135" s="23">
        <v>24</v>
      </c>
      <c r="D135" s="68">
        <f ca="1">((100/(H122))*C135)/100</f>
        <v>1</v>
      </c>
      <c r="E135" s="131"/>
      <c r="F135" s="131"/>
      <c r="G135" s="131"/>
      <c r="H135" s="131"/>
      <c r="I135" s="40" t="s">
        <v>106</v>
      </c>
      <c r="J135" s="41">
        <f ca="1">(IF(B122&gt;1.5,(H122/(B122+2)+J129+MAX(0,J130-J129)+MAX(0,J131-J130)+MAX(0,J132-J131)+MAX(0,J133-J132)+MAX(0,J134-J133)),IF(B122=1,(H122/(B122+3)+J134),IF(B122=0,H122/4+J134))))</f>
        <v>24</v>
      </c>
    </row>
    <row r="136" spans="1:10" ht="15.75" hidden="1" customHeight="1" x14ac:dyDescent="0.25">
      <c r="A136" s="188" t="s">
        <v>142</v>
      </c>
      <c r="B136" s="93"/>
      <c r="C136" s="92" t="e">
        <f>#REF!</f>
        <v>#REF!</v>
      </c>
      <c r="D136" s="167"/>
      <c r="E136" s="167"/>
      <c r="F136" s="167"/>
      <c r="G136" s="167"/>
      <c r="H136" s="168"/>
      <c r="I136" s="32" t="e">
        <f ca="1">(IF(E140&gt;99%,"All work completed. Please provide OC.",IF(E140&gt;89.8%,"Plinth, RCC, Brick, Plaster, Flooring, Painting work Completed. Finishing work is in process.",IF(E140&lt;94%,(IF(C140=0,"Work not yet Started.",IF(D140=25%,"Piling work in process",IF(D140=50%,"Excavation work in process",IF(D140=100%,"Excavation work Completed. ","0")))&amp;(IF(C141=0%,"",IF(C141=J142,"Footing work is process",IF(C141=J143,"Footing work Completed",IF(C141=J144,"1st Basement Completed",IF(C141=J145,"1st &amp; 2nd Basement Completed",IF(C141=J146,"1st to 3rd Basement Completed",IF(C141=J147,"1st to 4th Basement Completed",IF(C141=J148,"Plinth work is process",IF(C141=J149,"Plinth work completed","0")))))))))))&amp;(IF(C142=(D137+F137+H137),", RCC Slab Completed",IF(C142&gt;0,", RCC upto "&amp;C142&amp;" Slab Completed",""))&amp;(IF(C143=H137,", Brickwork Completed",IF(C143&gt;0,", Brickwork upto "&amp;C143&amp;" Floor Completed",""))&amp;(IF(C144=H137,", Internal Plaster Completed",IF(C144&gt;0,", Internal Plaster upto "&amp;C144&amp;" Floor Completed",""))&amp;(IF(C145=H137,", External Plaster Completed",IF(C145&gt;0,", External Plaster upto "&amp;C145&amp;" Floor Completed",""))&amp;(IF(C146=H137,", Flooring Completed",IF(C146&gt;0,", Flooring upto "&amp;C146&amp;" Floor Completed",""))&amp;(IF(C147=H137,", Painting Completed",IF(C147&gt;0,", Painting upto "&amp;C147&amp;" Floor Completed",""))&amp;(IF(C148&gt;0,", Finishing upto "&amp;C148&amp;" Floor Completed","")&amp;(IF(C142&gt;0.5,".",""))))))))))))))</f>
        <v>#REF!</v>
      </c>
      <c r="J136" s="33"/>
    </row>
    <row r="137" spans="1:10" hidden="1" x14ac:dyDescent="0.25">
      <c r="A137" s="13" t="s">
        <v>144</v>
      </c>
      <c r="B137" s="18">
        <v>0</v>
      </c>
      <c r="C137" s="18" t="s">
        <v>73</v>
      </c>
      <c r="D137" s="18">
        <v>1</v>
      </c>
      <c r="E137" s="18" t="s">
        <v>72</v>
      </c>
      <c r="F137" s="18">
        <v>0</v>
      </c>
      <c r="G137" s="18" t="s">
        <v>80</v>
      </c>
      <c r="H137" s="14" t="e">
        <f ca="1">--TRIM(RIGHT(SUBSTITUTE(LEFT(C136,_xlfn.AGGREGATE(16,6,FIND({0,1,2,3,4,5,6,7,8,9},C136,ROW(INDIRECT("1:"&amp;LEN(C136)))),1))," ",REPT(" ",LEN(C136))),LEN(C136)))</f>
        <v>#REF!</v>
      </c>
      <c r="I137" s="30"/>
      <c r="J137" s="34"/>
    </row>
    <row r="138" spans="1:10" ht="33" hidden="1" customHeight="1" x14ac:dyDescent="0.25">
      <c r="A138" s="172" t="s">
        <v>90</v>
      </c>
      <c r="B138" s="85"/>
      <c r="C138" s="84" t="str">
        <f>(IF($G$70="NA",I136,"All work Completed. OC Received."))</f>
        <v>All work Completed. OC Received.</v>
      </c>
      <c r="D138" s="84"/>
      <c r="E138" s="84"/>
      <c r="F138" s="84"/>
      <c r="G138" s="84"/>
      <c r="H138" s="173"/>
      <c r="I138" s="30" t="s">
        <v>107</v>
      </c>
      <c r="J138" s="34"/>
    </row>
    <row r="139" spans="1:10" ht="15.75" hidden="1" customHeight="1" x14ac:dyDescent="0.25">
      <c r="A139" s="129" t="s">
        <v>48</v>
      </c>
      <c r="B139" s="130"/>
      <c r="C139" s="15" t="s">
        <v>141</v>
      </c>
      <c r="D139" s="15" t="s">
        <v>83</v>
      </c>
      <c r="E139" s="130" t="s">
        <v>85</v>
      </c>
      <c r="F139" s="130"/>
      <c r="G139" s="130" t="s">
        <v>84</v>
      </c>
      <c r="H139" s="174"/>
      <c r="I139" s="35" t="s">
        <v>143</v>
      </c>
      <c r="J139" s="36" t="e">
        <f ca="1">H137*25%</f>
        <v>#REF!</v>
      </c>
    </row>
    <row r="140" spans="1:10" hidden="1" x14ac:dyDescent="0.25">
      <c r="A140" s="129" t="s">
        <v>130</v>
      </c>
      <c r="B140" s="130"/>
      <c r="C140" s="23" t="e">
        <f ca="1">J141</f>
        <v>#REF!</v>
      </c>
      <c r="D140" s="24" t="e">
        <f ca="1">((100/H137)*C140)/100</f>
        <v>#REF!</v>
      </c>
      <c r="E140" s="131" t="e">
        <f ca="1">(((C141/H137*10)+(40/(D137+F137+H137)*C142)+(7.5/(H137)*C143)+(7.5/(H137)*C144)+(10/H137*C145)+(10/H137*C146)+(5/H137*C147)+(5/H137*C148)+(5/H137*C149))/100)</f>
        <v>#REF!</v>
      </c>
      <c r="F140" s="131"/>
      <c r="G140" s="131" t="e">
        <f ca="1">((((C140/H137)*20)+((C141/H137)*25)+(30/(H137+F137+D137)*C142)+(5/H137*C143)+(5/H137*C144)+(5/H137*C145)+(5/H137*C146)+(0/H137*C147)+(0/H137*C148)+(5/H137*C149))/100)</f>
        <v>#REF!</v>
      </c>
      <c r="H140" s="170"/>
      <c r="I140" s="35" t="s">
        <v>102</v>
      </c>
      <c r="J140" s="37" t="e">
        <f ca="1">H137*50%</f>
        <v>#REF!</v>
      </c>
    </row>
    <row r="141" spans="1:10" hidden="1" x14ac:dyDescent="0.25">
      <c r="A141" s="129" t="s">
        <v>49</v>
      </c>
      <c r="B141" s="130"/>
      <c r="C141" s="25" t="e">
        <f ca="1">J149</f>
        <v>#REF!</v>
      </c>
      <c r="D141" s="24" t="e">
        <f ca="1">((100/H137)*C141)/100</f>
        <v>#REF!</v>
      </c>
      <c r="E141" s="131"/>
      <c r="F141" s="131"/>
      <c r="G141" s="131"/>
      <c r="H141" s="170"/>
      <c r="I141" s="35" t="s">
        <v>103</v>
      </c>
      <c r="J141" s="37" t="e">
        <f ca="1">H137</f>
        <v>#REF!</v>
      </c>
    </row>
    <row r="142" spans="1:10" ht="15.75" hidden="1" customHeight="1" x14ac:dyDescent="0.25">
      <c r="A142" s="129" t="s">
        <v>131</v>
      </c>
      <c r="B142" s="130"/>
      <c r="C142" s="25" t="e">
        <f ca="1">D137+H137</f>
        <v>#REF!</v>
      </c>
      <c r="D142" s="24" t="e">
        <f ca="1">((100/(D137+F137+H137))*C142)/100</f>
        <v>#REF!</v>
      </c>
      <c r="E142" s="131"/>
      <c r="F142" s="131"/>
      <c r="G142" s="131"/>
      <c r="H142" s="170"/>
      <c r="I142" s="35" t="s">
        <v>104</v>
      </c>
      <c r="J142" s="38" t="e">
        <f ca="1">(IF(B137&gt;1,(H137/(B137+2)),H137/4))</f>
        <v>#REF!</v>
      </c>
    </row>
    <row r="143" spans="1:10" ht="15.75" hidden="1" customHeight="1" x14ac:dyDescent="0.25">
      <c r="A143" s="129" t="s">
        <v>138</v>
      </c>
      <c r="B143" s="130" t="s">
        <v>132</v>
      </c>
      <c r="C143" s="23">
        <v>0</v>
      </c>
      <c r="D143" s="24" t="e">
        <f ca="1">((100/H137)*C143)/100</f>
        <v>#REF!</v>
      </c>
      <c r="E143" s="131"/>
      <c r="F143" s="131"/>
      <c r="G143" s="131"/>
      <c r="H143" s="170"/>
      <c r="I143" s="35" t="s">
        <v>105</v>
      </c>
      <c r="J143" s="38" t="e">
        <f ca="1">(IF(B137&gt;1,(H137/(B137+2)+J142),H137/4+J142))</f>
        <v>#REF!</v>
      </c>
    </row>
    <row r="144" spans="1:10" ht="15.75" hidden="1" customHeight="1" x14ac:dyDescent="0.25">
      <c r="A144" s="129" t="s">
        <v>139</v>
      </c>
      <c r="B144" s="130" t="s">
        <v>132</v>
      </c>
      <c r="C144" s="23">
        <v>0</v>
      </c>
      <c r="D144" s="24" t="e">
        <f ca="1">((100/H137)*C144)/100</f>
        <v>#REF!</v>
      </c>
      <c r="E144" s="131"/>
      <c r="F144" s="131"/>
      <c r="G144" s="131"/>
      <c r="H144" s="170"/>
      <c r="I144" s="35" t="s">
        <v>148</v>
      </c>
      <c r="J144" s="38">
        <f>(IF(B137&gt;1,(H137/(B137+2)+J143),0))</f>
        <v>0</v>
      </c>
    </row>
    <row r="145" spans="1:10" ht="15" hidden="1" customHeight="1" x14ac:dyDescent="0.25">
      <c r="A145" s="129" t="s">
        <v>137</v>
      </c>
      <c r="B145" s="130" t="s">
        <v>134</v>
      </c>
      <c r="C145" s="23">
        <v>0</v>
      </c>
      <c r="D145" s="24" t="e">
        <f ca="1">((100/(H137))*C145)/100</f>
        <v>#REF!</v>
      </c>
      <c r="E145" s="131"/>
      <c r="F145" s="131"/>
      <c r="G145" s="131"/>
      <c r="H145" s="170"/>
      <c r="I145" s="35" t="s">
        <v>145</v>
      </c>
      <c r="J145" s="38">
        <f>(IF(B137&gt;2,(H137/(B137+2)+J144),0))</f>
        <v>0</v>
      </c>
    </row>
    <row r="146" spans="1:10" ht="15.75" hidden="1" customHeight="1" x14ac:dyDescent="0.25">
      <c r="A146" s="129" t="s">
        <v>133</v>
      </c>
      <c r="B146" s="130" t="s">
        <v>133</v>
      </c>
      <c r="C146" s="23">
        <v>0</v>
      </c>
      <c r="D146" s="24" t="e">
        <f ca="1">((100/H137)*C146)/100</f>
        <v>#REF!</v>
      </c>
      <c r="E146" s="131"/>
      <c r="F146" s="131"/>
      <c r="G146" s="131"/>
      <c r="H146" s="170"/>
      <c r="I146" s="35" t="s">
        <v>146</v>
      </c>
      <c r="J146" s="39">
        <f>(IF(B137&gt;3,(H137/(B137+2)+J145),0))</f>
        <v>0</v>
      </c>
    </row>
    <row r="147" spans="1:10" ht="15.75" hidden="1" customHeight="1" x14ac:dyDescent="0.25">
      <c r="A147" s="129" t="s">
        <v>140</v>
      </c>
      <c r="B147" s="130"/>
      <c r="C147" s="23">
        <v>0</v>
      </c>
      <c r="D147" s="24" t="e">
        <f ca="1">((100/H137)*C147)/100</f>
        <v>#REF!</v>
      </c>
      <c r="E147" s="131"/>
      <c r="F147" s="131"/>
      <c r="G147" s="131"/>
      <c r="H147" s="170"/>
      <c r="I147" s="35" t="s">
        <v>147</v>
      </c>
      <c r="J147" s="38">
        <f>(IF(B137&gt;4,(H137/(B137+2)+J146),0))</f>
        <v>0</v>
      </c>
    </row>
    <row r="148" spans="1:10" ht="15.75" hidden="1" customHeight="1" x14ac:dyDescent="0.25">
      <c r="A148" s="129" t="s">
        <v>135</v>
      </c>
      <c r="B148" s="130" t="s">
        <v>135</v>
      </c>
      <c r="C148" s="23">
        <v>0</v>
      </c>
      <c r="D148" s="24" t="e">
        <f ca="1">((100/(H137))*C148)/100</f>
        <v>#REF!</v>
      </c>
      <c r="E148" s="131"/>
      <c r="F148" s="131"/>
      <c r="G148" s="131"/>
      <c r="H148" s="170"/>
      <c r="I148" s="35" t="s">
        <v>149</v>
      </c>
      <c r="J148" s="38" t="e">
        <f ca="1">(IF(B137=1,(H137/(B137+3)+J143),IF(B137=0,(H137/4+J143),IF(B137&gt;1,0))))</f>
        <v>#REF!</v>
      </c>
    </row>
    <row r="149" spans="1:10" ht="16.5" hidden="1" thickBot="1" x14ac:dyDescent="0.3">
      <c r="A149" s="134" t="s">
        <v>136</v>
      </c>
      <c r="B149" s="135"/>
      <c r="C149" s="26">
        <v>0</v>
      </c>
      <c r="D149" s="27" t="e">
        <f ca="1">((100/(H137))*C149)/100</f>
        <v>#REF!</v>
      </c>
      <c r="E149" s="169"/>
      <c r="F149" s="169"/>
      <c r="G149" s="169"/>
      <c r="H149" s="171"/>
      <c r="I149" s="40" t="s">
        <v>106</v>
      </c>
      <c r="J149" s="41" t="e">
        <f ca="1">(IF(B137&gt;1.5,(H137/(B137+2)+J143+MAX(0,J144-J143)+MAX(0,J145-J144)+MAX(0,J146-J145)+MAX(0,J147-J146)+MAX(0,J148-J147)),IF(B137=1,(H137/(B137+3)+J148),IF(B137=0,H137/4+J148))))</f>
        <v>#REF!</v>
      </c>
    </row>
    <row r="150" spans="1:10" x14ac:dyDescent="0.25">
      <c r="A150" s="85" t="s">
        <v>50</v>
      </c>
      <c r="B150" s="85"/>
      <c r="C150" s="85"/>
      <c r="D150" s="85"/>
      <c r="E150" s="85"/>
      <c r="F150" s="85"/>
      <c r="G150" s="85"/>
      <c r="H150" s="85"/>
    </row>
    <row r="151" spans="1:10" x14ac:dyDescent="0.25">
      <c r="A151" s="132" t="s">
        <v>185</v>
      </c>
      <c r="B151" s="132"/>
      <c r="C151" s="132"/>
      <c r="D151" s="132"/>
      <c r="E151" s="132"/>
      <c r="F151" s="119">
        <v>12500</v>
      </c>
      <c r="G151" s="119"/>
      <c r="H151" s="119"/>
    </row>
    <row r="152" spans="1:10" x14ac:dyDescent="0.25">
      <c r="A152" s="132" t="s">
        <v>186</v>
      </c>
      <c r="B152" s="132"/>
      <c r="C152" s="132"/>
      <c r="D152" s="132"/>
      <c r="E152" s="132"/>
      <c r="F152" s="119">
        <v>22000</v>
      </c>
      <c r="G152" s="119"/>
      <c r="H152" s="119"/>
    </row>
    <row r="153" spans="1:10" x14ac:dyDescent="0.25">
      <c r="A153" s="132" t="s">
        <v>155</v>
      </c>
      <c r="B153" s="132"/>
      <c r="C153" s="132"/>
      <c r="D153" s="132"/>
      <c r="E153" s="132"/>
      <c r="F153" s="119">
        <v>18000</v>
      </c>
      <c r="G153" s="119"/>
      <c r="H153" s="119"/>
    </row>
    <row r="154" spans="1:10" s="42" customFormat="1" x14ac:dyDescent="0.25">
      <c r="A154" s="132" t="s">
        <v>228</v>
      </c>
      <c r="B154" s="132"/>
      <c r="C154" s="132"/>
      <c r="D154" s="132"/>
      <c r="E154" s="132"/>
      <c r="F154" s="119">
        <v>50</v>
      </c>
      <c r="G154" s="119"/>
      <c r="H154" s="119"/>
    </row>
    <row r="155" spans="1:10" s="42" customFormat="1" hidden="1" x14ac:dyDescent="0.25">
      <c r="A155" s="132" t="s">
        <v>95</v>
      </c>
      <c r="B155" s="132"/>
      <c r="C155" s="132"/>
      <c r="D155" s="132"/>
      <c r="E155" s="132"/>
      <c r="F155" s="119"/>
      <c r="G155" s="119"/>
      <c r="H155" s="119"/>
    </row>
    <row r="156" spans="1:10" s="42" customFormat="1" hidden="1" x14ac:dyDescent="0.25">
      <c r="A156" s="132" t="s">
        <v>96</v>
      </c>
      <c r="B156" s="132"/>
      <c r="C156" s="132"/>
      <c r="D156" s="132"/>
      <c r="E156" s="132"/>
      <c r="F156" s="119"/>
      <c r="G156" s="119"/>
      <c r="H156" s="119"/>
    </row>
    <row r="157" spans="1:10" s="42" customFormat="1" hidden="1" x14ac:dyDescent="0.25">
      <c r="A157" s="132" t="s">
        <v>97</v>
      </c>
      <c r="B157" s="132"/>
      <c r="C157" s="132"/>
      <c r="D157" s="132"/>
      <c r="E157" s="132"/>
      <c r="F157" s="119"/>
      <c r="G157" s="119"/>
      <c r="H157" s="119"/>
    </row>
    <row r="158" spans="1:10" s="42" customFormat="1" hidden="1" x14ac:dyDescent="0.25">
      <c r="A158" s="132" t="s">
        <v>98</v>
      </c>
      <c r="B158" s="132"/>
      <c r="C158" s="132"/>
      <c r="D158" s="132"/>
      <c r="E158" s="132"/>
      <c r="F158" s="119"/>
      <c r="G158" s="119"/>
      <c r="H158" s="119"/>
    </row>
    <row r="159" spans="1:10" s="42" customFormat="1" hidden="1" x14ac:dyDescent="0.25">
      <c r="A159" s="132" t="s">
        <v>99</v>
      </c>
      <c r="B159" s="132"/>
      <c r="C159" s="132"/>
      <c r="D159" s="132"/>
      <c r="E159" s="132"/>
      <c r="F159" s="119"/>
      <c r="G159" s="119"/>
      <c r="H159" s="119"/>
    </row>
    <row r="160" spans="1:10" s="42" customFormat="1" hidden="1" x14ac:dyDescent="0.25">
      <c r="A160" s="132" t="s">
        <v>100</v>
      </c>
      <c r="B160" s="132"/>
      <c r="C160" s="132"/>
      <c r="D160" s="132"/>
      <c r="E160" s="132"/>
      <c r="F160" s="119"/>
      <c r="G160" s="119"/>
      <c r="H160" s="119"/>
    </row>
    <row r="161" spans="1:10" s="42" customFormat="1" hidden="1" x14ac:dyDescent="0.25">
      <c r="A161" s="132" t="s">
        <v>101</v>
      </c>
      <c r="B161" s="132"/>
      <c r="C161" s="132"/>
      <c r="D161" s="132"/>
      <c r="E161" s="132"/>
      <c r="F161" s="119"/>
      <c r="G161" s="119"/>
      <c r="H161" s="119"/>
    </row>
    <row r="162" spans="1:10" x14ac:dyDescent="0.25">
      <c r="A162" s="132" t="s">
        <v>51</v>
      </c>
      <c r="B162" s="132"/>
      <c r="C162" s="132"/>
      <c r="D162" s="132"/>
      <c r="E162" s="132"/>
      <c r="F162" s="119">
        <v>700000</v>
      </c>
      <c r="G162" s="119"/>
      <c r="H162" s="119"/>
    </row>
    <row r="163" spans="1:10" s="43" customFormat="1" x14ac:dyDescent="0.25">
      <c r="A163" s="85" t="s">
        <v>52</v>
      </c>
      <c r="B163" s="85"/>
      <c r="C163" s="85"/>
      <c r="D163" s="85"/>
      <c r="E163" s="85"/>
      <c r="F163" s="119">
        <f>F151*0.8</f>
        <v>10000</v>
      </c>
      <c r="G163" s="119"/>
      <c r="H163" s="119"/>
    </row>
    <row r="164" spans="1:10" s="44" customFormat="1" ht="15.75" customHeight="1" x14ac:dyDescent="0.25">
      <c r="A164" s="195" t="s">
        <v>188</v>
      </c>
      <c r="B164" s="195"/>
      <c r="C164" s="195"/>
      <c r="D164" s="195"/>
      <c r="E164" s="195"/>
      <c r="F164" s="195"/>
      <c r="G164" s="195"/>
      <c r="H164" s="195"/>
    </row>
    <row r="165" spans="1:10" s="44" customFormat="1" ht="15.75" customHeight="1" x14ac:dyDescent="0.25">
      <c r="A165" s="96" t="s">
        <v>262</v>
      </c>
      <c r="B165" s="96"/>
      <c r="C165" s="96"/>
      <c r="D165" s="96"/>
      <c r="E165" s="96"/>
      <c r="F165" s="96"/>
      <c r="G165" s="96"/>
      <c r="H165" s="96"/>
    </row>
    <row r="166" spans="1:10" s="44" customFormat="1" ht="15.75" customHeight="1" x14ac:dyDescent="0.25">
      <c r="A166" s="133" t="s">
        <v>53</v>
      </c>
      <c r="B166" s="133"/>
      <c r="C166" s="81" t="s">
        <v>78</v>
      </c>
      <c r="D166" s="81"/>
      <c r="E166" s="120" t="s">
        <v>54</v>
      </c>
      <c r="F166" s="120"/>
      <c r="G166" s="133" t="s">
        <v>55</v>
      </c>
      <c r="H166" s="133"/>
    </row>
    <row r="167" spans="1:10" s="44" customFormat="1" x14ac:dyDescent="0.25">
      <c r="A167" s="208" t="s">
        <v>257</v>
      </c>
      <c r="B167" s="45" t="s">
        <v>213</v>
      </c>
      <c r="C167" s="98">
        <f>COUNT(D208:D217)</f>
        <v>10</v>
      </c>
      <c r="D167" s="99"/>
      <c r="E167" s="94">
        <f>SUM(D208:D217)</f>
        <v>5132.4904799999995</v>
      </c>
      <c r="F167" s="95"/>
      <c r="G167" s="94">
        <f>SUM(F208:F217)</f>
        <v>8211.9847679999984</v>
      </c>
      <c r="H167" s="95"/>
    </row>
    <row r="168" spans="1:10" s="44" customFormat="1" ht="15.75" customHeight="1" x14ac:dyDescent="0.25">
      <c r="A168" s="209"/>
      <c r="B168" s="45" t="s">
        <v>215</v>
      </c>
      <c r="C168" s="98">
        <f>COUNT(D232:D236)</f>
        <v>5</v>
      </c>
      <c r="D168" s="99"/>
      <c r="E168" s="94">
        <f>SUM(D232:D236)</f>
        <v>3132.8621999999996</v>
      </c>
      <c r="F168" s="95"/>
      <c r="G168" s="94">
        <f>SUM(F232:F236)</f>
        <v>5012.5795199999993</v>
      </c>
      <c r="H168" s="95"/>
    </row>
    <row r="169" spans="1:10" s="44" customFormat="1" x14ac:dyDescent="0.25">
      <c r="A169" s="96" t="s">
        <v>259</v>
      </c>
      <c r="B169" s="96"/>
      <c r="C169" s="80">
        <f>SUM(C167:D168)</f>
        <v>15</v>
      </c>
      <c r="D169" s="81"/>
      <c r="E169" s="80">
        <f t="shared" ref="E169" si="0">SUM(E167:F168)</f>
        <v>8265.35268</v>
      </c>
      <c r="F169" s="81"/>
      <c r="G169" s="80">
        <f t="shared" ref="G169" si="1">SUM(G167:H168)</f>
        <v>13224.564287999998</v>
      </c>
      <c r="H169" s="81"/>
    </row>
    <row r="170" spans="1:10" s="44" customFormat="1" x14ac:dyDescent="0.25">
      <c r="A170" s="208" t="s">
        <v>258</v>
      </c>
      <c r="B170" s="45" t="s">
        <v>213</v>
      </c>
      <c r="C170" s="98">
        <f>COUNT(D219:D228)*2</f>
        <v>20</v>
      </c>
      <c r="D170" s="99"/>
      <c r="E170" s="94">
        <f>SUM(D219:D228)*2</f>
        <v>8079.0278399999997</v>
      </c>
      <c r="F170" s="95"/>
      <c r="G170" s="94">
        <f>SUM(F219:F228)*2</f>
        <v>12926.444544</v>
      </c>
      <c r="H170" s="95"/>
      <c r="J170" s="58">
        <f>SUM(E167,E170,E175)</f>
        <v>143114.59187999996</v>
      </c>
    </row>
    <row r="171" spans="1:10" s="44" customFormat="1" ht="15.75" customHeight="1" x14ac:dyDescent="0.25">
      <c r="A171" s="209"/>
      <c r="B171" s="45" t="s">
        <v>215</v>
      </c>
      <c r="C171" s="98">
        <f>COUNT(D238:D247)*3</f>
        <v>30</v>
      </c>
      <c r="D171" s="99"/>
      <c r="E171" s="94">
        <f>SUM(D238:D247)*3</f>
        <v>23075.863199999996</v>
      </c>
      <c r="F171" s="95"/>
      <c r="G171" s="94">
        <f>SUM(F238:F247)*3</f>
        <v>36921.381119999998</v>
      </c>
      <c r="H171" s="95"/>
      <c r="J171" s="58">
        <f>SUM(E168,E171,E176)</f>
        <v>239363.15831999999</v>
      </c>
    </row>
    <row r="172" spans="1:10" s="44" customFormat="1" x14ac:dyDescent="0.25">
      <c r="A172" s="96" t="s">
        <v>260</v>
      </c>
      <c r="B172" s="96"/>
      <c r="C172" s="80">
        <f>SUM(C170:D171)</f>
        <v>50</v>
      </c>
      <c r="D172" s="81"/>
      <c r="E172" s="80">
        <f t="shared" ref="E172" si="2">SUM(E170:F171)</f>
        <v>31154.891039999995</v>
      </c>
      <c r="F172" s="81"/>
      <c r="G172" s="80">
        <f t="shared" ref="G172" si="3">SUM(G170:H171)</f>
        <v>49847.825663999996</v>
      </c>
      <c r="H172" s="81"/>
    </row>
    <row r="173" spans="1:10" s="44" customFormat="1" x14ac:dyDescent="0.25">
      <c r="A173" s="96" t="s">
        <v>71</v>
      </c>
      <c r="B173" s="96"/>
      <c r="C173" s="96"/>
      <c r="D173" s="96"/>
      <c r="E173" s="96"/>
      <c r="F173" s="96"/>
      <c r="G173" s="96"/>
      <c r="H173" s="96"/>
    </row>
    <row r="174" spans="1:10" s="44" customFormat="1" ht="15.75" customHeight="1" x14ac:dyDescent="0.25">
      <c r="A174" s="133" t="s">
        <v>53</v>
      </c>
      <c r="B174" s="133"/>
      <c r="C174" s="81" t="s">
        <v>78</v>
      </c>
      <c r="D174" s="81"/>
      <c r="E174" s="120" t="s">
        <v>54</v>
      </c>
      <c r="F174" s="120"/>
      <c r="G174" s="133" t="s">
        <v>55</v>
      </c>
      <c r="H174" s="133"/>
    </row>
    <row r="175" spans="1:10" s="44" customFormat="1" ht="15.75" customHeight="1" x14ac:dyDescent="0.25">
      <c r="A175" s="121" t="s">
        <v>285</v>
      </c>
      <c r="B175" s="122"/>
      <c r="C175" s="99">
        <f>COUNT(D289:D291)*2+COUNT(D293:D295)+COUNT(D297:D305)*19+COUNT(D308:D315)*4+COUNT(D317:D325)</f>
        <v>221</v>
      </c>
      <c r="D175" s="99"/>
      <c r="E175" s="94">
        <f>SUM(D289:D291)*2+SUM(D293:D295)+SUM(D297:D305)*20+SUM(D308:D315)*4+SUM(D317:D325)</f>
        <v>129903.07355999998</v>
      </c>
      <c r="F175" s="94"/>
      <c r="G175" s="94">
        <f>SUM(F289:F291)*2+SUM(F293:F295)+SUM(F297:F305)*20+SUM(F308:F315)*4+SUM(F317:F325)</f>
        <v>194854.61034000001</v>
      </c>
      <c r="H175" s="94"/>
    </row>
    <row r="176" spans="1:10" s="44" customFormat="1" x14ac:dyDescent="0.25">
      <c r="A176" s="121" t="s">
        <v>215</v>
      </c>
      <c r="B176" s="122"/>
      <c r="C176" s="99">
        <f>COUNT(D331:D340)*20+COUNT(D342:D350)*6+COUNT(D353:D361)</f>
        <v>263</v>
      </c>
      <c r="D176" s="99"/>
      <c r="E176" s="94">
        <f>SUM(D331:D340)*20+SUM(D342:D350)*6+SUM(D353:D361)</f>
        <v>213154.43291999999</v>
      </c>
      <c r="F176" s="94"/>
      <c r="G176" s="94">
        <f>SUM(F331:F340)*20+SUM(F342:F350)*6+SUM(F353:F361)</f>
        <v>319731.64938000002</v>
      </c>
      <c r="H176" s="94"/>
    </row>
    <row r="177" spans="1:8" s="44" customFormat="1" ht="16.5" thickBot="1" x14ac:dyDescent="0.3">
      <c r="A177" s="206" t="s">
        <v>261</v>
      </c>
      <c r="B177" s="206"/>
      <c r="C177" s="207">
        <f>SUM(C175:D176)</f>
        <v>484</v>
      </c>
      <c r="D177" s="207"/>
      <c r="E177" s="207">
        <f t="shared" ref="E177" si="4">SUM(E175:F176)</f>
        <v>343057.50647999998</v>
      </c>
      <c r="F177" s="207"/>
      <c r="G177" s="207">
        <f t="shared" ref="G177" si="5">SUM(G175:H176)</f>
        <v>514586.25972000003</v>
      </c>
      <c r="H177" s="207"/>
    </row>
    <row r="178" spans="1:8" s="44" customFormat="1" ht="33" customHeight="1" thickBot="1" x14ac:dyDescent="0.3">
      <c r="A178" s="210" t="s">
        <v>263</v>
      </c>
      <c r="B178" s="211"/>
      <c r="C178" s="196">
        <f>C169+C172+C177</f>
        <v>549</v>
      </c>
      <c r="D178" s="196"/>
      <c r="E178" s="196">
        <f>E169+E172+E177</f>
        <v>382477.75020000001</v>
      </c>
      <c r="F178" s="196"/>
      <c r="G178" s="196">
        <f>G169+G172+G177</f>
        <v>577658.64967199997</v>
      </c>
      <c r="H178" s="196"/>
    </row>
    <row r="179" spans="1:8" s="44" customFormat="1" ht="15.75" customHeight="1" x14ac:dyDescent="0.25">
      <c r="A179" s="189" t="s">
        <v>189</v>
      </c>
      <c r="B179" s="189"/>
      <c r="C179" s="189"/>
      <c r="D179" s="189"/>
      <c r="E179" s="189"/>
      <c r="F179" s="189"/>
      <c r="G179" s="189"/>
      <c r="H179" s="189"/>
    </row>
    <row r="180" spans="1:8" s="44" customFormat="1" ht="15.75" customHeight="1" x14ac:dyDescent="0.25">
      <c r="A180" s="96" t="s">
        <v>182</v>
      </c>
      <c r="B180" s="96"/>
      <c r="C180" s="96"/>
      <c r="D180" s="96"/>
      <c r="E180" s="96"/>
      <c r="F180" s="96"/>
      <c r="G180" s="96"/>
      <c r="H180" s="96"/>
    </row>
    <row r="181" spans="1:8" s="44" customFormat="1" ht="15.75" customHeight="1" x14ac:dyDescent="0.25">
      <c r="A181" s="133" t="s">
        <v>53</v>
      </c>
      <c r="B181" s="133"/>
      <c r="C181" s="81" t="s">
        <v>78</v>
      </c>
      <c r="D181" s="81"/>
      <c r="E181" s="120" t="s">
        <v>54</v>
      </c>
      <c r="F181" s="120"/>
      <c r="G181" s="133" t="s">
        <v>55</v>
      </c>
      <c r="H181" s="133"/>
    </row>
    <row r="182" spans="1:8" s="44" customFormat="1" x14ac:dyDescent="0.25">
      <c r="A182" s="45" t="s">
        <v>213</v>
      </c>
      <c r="B182" s="45" t="s">
        <v>191</v>
      </c>
      <c r="C182" s="98">
        <f>COUNT(D251:D262,D266:D272,D264)</f>
        <v>20</v>
      </c>
      <c r="D182" s="99"/>
      <c r="E182" s="94">
        <f>SUM(D251:D262,D266:D272,D264)</f>
        <v>2666.0275200000001</v>
      </c>
      <c r="F182" s="95"/>
      <c r="G182" s="94">
        <f>SUM(F251:F262,F266:F272,F264)</f>
        <v>4265.6440320000002</v>
      </c>
      <c r="H182" s="95"/>
    </row>
    <row r="183" spans="1:8" s="44" customFormat="1" x14ac:dyDescent="0.25">
      <c r="A183" s="45" t="s">
        <v>215</v>
      </c>
      <c r="B183" s="45" t="s">
        <v>191</v>
      </c>
      <c r="C183" s="98">
        <f>COUNT(D280)</f>
        <v>1</v>
      </c>
      <c r="D183" s="99"/>
      <c r="E183" s="94">
        <f>SUM(D280)</f>
        <v>206.02295999999998</v>
      </c>
      <c r="F183" s="95"/>
      <c r="G183" s="94">
        <f>SUM(F280)</f>
        <v>329.63673599999998</v>
      </c>
      <c r="H183" s="95"/>
    </row>
    <row r="184" spans="1:8" s="44" customFormat="1" x14ac:dyDescent="0.25">
      <c r="A184" s="46" t="s">
        <v>214</v>
      </c>
      <c r="B184" s="46" t="s">
        <v>191</v>
      </c>
      <c r="C184" s="80">
        <f>SUM(C182:D183)</f>
        <v>21</v>
      </c>
      <c r="D184" s="81"/>
      <c r="E184" s="96">
        <f>SUM(E183)</f>
        <v>206.02295999999998</v>
      </c>
      <c r="F184" s="97"/>
      <c r="G184" s="96">
        <f>SUM(G183)</f>
        <v>329.63673599999998</v>
      </c>
      <c r="H184" s="97"/>
    </row>
    <row r="185" spans="1:8" s="44" customFormat="1" x14ac:dyDescent="0.25">
      <c r="A185" s="45" t="s">
        <v>213</v>
      </c>
      <c r="B185" s="45" t="s">
        <v>190</v>
      </c>
      <c r="C185" s="98">
        <f>COUNT(D263,D265)</f>
        <v>2</v>
      </c>
      <c r="D185" s="99"/>
      <c r="E185" s="94">
        <f>SUM(D263,D265)</f>
        <v>294.93359999999996</v>
      </c>
      <c r="F185" s="95"/>
      <c r="G185" s="94">
        <f>SUM(F263,F265)</f>
        <v>471.89376000000004</v>
      </c>
      <c r="H185" s="95"/>
    </row>
    <row r="186" spans="1:8" s="44" customFormat="1" x14ac:dyDescent="0.25">
      <c r="A186" s="45" t="s">
        <v>215</v>
      </c>
      <c r="B186" s="45" t="s">
        <v>190</v>
      </c>
      <c r="C186" s="98">
        <f>COUNT(D278:D279,D281)</f>
        <v>3</v>
      </c>
      <c r="D186" s="99"/>
      <c r="E186" s="94">
        <f>SUM(D278:D279,D281)</f>
        <v>434.00448</v>
      </c>
      <c r="F186" s="95"/>
      <c r="G186" s="94">
        <f>SUM(F278:F279,F281)</f>
        <v>694.40716800000007</v>
      </c>
      <c r="H186" s="95"/>
    </row>
    <row r="187" spans="1:8" s="44" customFormat="1" x14ac:dyDescent="0.25">
      <c r="A187" s="46" t="s">
        <v>214</v>
      </c>
      <c r="B187" s="46" t="s">
        <v>190</v>
      </c>
      <c r="C187" s="80">
        <f>SUM(C185:D186)</f>
        <v>5</v>
      </c>
      <c r="D187" s="81"/>
      <c r="E187" s="96">
        <f>SUM(E185:F186)</f>
        <v>728.9380799999999</v>
      </c>
      <c r="F187" s="97"/>
      <c r="G187" s="96">
        <f>SUM(G185:H186)</f>
        <v>1166.3009280000001</v>
      </c>
      <c r="H187" s="97"/>
    </row>
    <row r="188" spans="1:8" s="44" customFormat="1" x14ac:dyDescent="0.25">
      <c r="A188" s="82" t="s">
        <v>214</v>
      </c>
      <c r="B188" s="83"/>
      <c r="C188" s="80">
        <f>C184+C187</f>
        <v>26</v>
      </c>
      <c r="D188" s="81"/>
      <c r="E188" s="80">
        <f t="shared" ref="E188" si="6">E184+E187</f>
        <v>934.96103999999991</v>
      </c>
      <c r="F188" s="81"/>
      <c r="G188" s="80">
        <f t="shared" ref="G188" si="7">G184+G187</f>
        <v>1495.937664</v>
      </c>
      <c r="H188" s="81"/>
    </row>
    <row r="189" spans="1:8" s="44" customFormat="1" x14ac:dyDescent="0.25">
      <c r="A189" s="96" t="s">
        <v>71</v>
      </c>
      <c r="B189" s="96"/>
      <c r="C189" s="96"/>
      <c r="D189" s="96"/>
      <c r="E189" s="96"/>
      <c r="F189" s="96"/>
      <c r="G189" s="96"/>
      <c r="H189" s="96"/>
    </row>
    <row r="190" spans="1:8" s="44" customFormat="1" ht="15.75" customHeight="1" x14ac:dyDescent="0.25">
      <c r="A190" s="133" t="s">
        <v>53</v>
      </c>
      <c r="B190" s="133"/>
      <c r="C190" s="81" t="s">
        <v>78</v>
      </c>
      <c r="D190" s="81"/>
      <c r="E190" s="120" t="s">
        <v>54</v>
      </c>
      <c r="F190" s="120"/>
      <c r="G190" s="133" t="s">
        <v>55</v>
      </c>
      <c r="H190" s="133"/>
    </row>
    <row r="191" spans="1:8" s="44" customFormat="1" x14ac:dyDescent="0.25">
      <c r="A191" s="64" t="s">
        <v>213</v>
      </c>
      <c r="B191" s="64" t="s">
        <v>191</v>
      </c>
      <c r="C191" s="99">
        <f>COUNT(D367)+COUNT(D369:D371,D373:D374)+COUNT(D382:D393)*19+COUNT(D395:D400,D404)*4</f>
        <v>262</v>
      </c>
      <c r="D191" s="99"/>
      <c r="E191" s="94">
        <f>SUM(D367)+SUM(D369:D371,D373:D374)+SUM(D382:D393)*19+SUM(D395:D400,D404)*4</f>
        <v>88440.46848000001</v>
      </c>
      <c r="F191" s="94"/>
      <c r="G191" s="94">
        <f>SUM(F367)+SUM(F369:F371,F373:F374)+SUM(F382:F393)*19+SUM(F395:F400,F404)*4</f>
        <v>132660.70272</v>
      </c>
      <c r="H191" s="94"/>
    </row>
    <row r="192" spans="1:8" s="44" customFormat="1" x14ac:dyDescent="0.25">
      <c r="A192" s="64" t="s">
        <v>215</v>
      </c>
      <c r="B192" s="64" t="s">
        <v>191</v>
      </c>
      <c r="C192" s="99">
        <f>COUNT(D409)+COUNT(D422:D423)+COUNT(D429:D440)*14+COUNT(D442:D447,D451)*3+COUNT(D477)</f>
        <v>193</v>
      </c>
      <c r="D192" s="99"/>
      <c r="E192" s="94">
        <f>SUM(D409)+SUM(D422:D423)+SUM(D429:D440)*14+SUM(D442:D447,D451)*3+SUM(D477)</f>
        <v>65068.568370000008</v>
      </c>
      <c r="F192" s="94"/>
      <c r="G192" s="94">
        <f>SUM(F409)+SUM(F422:F423)+SUM(F429:F440)*14+SUM(F442:F447,F451)*3+SUM(F477)</f>
        <v>97602.852555000019</v>
      </c>
      <c r="H192" s="94"/>
    </row>
    <row r="193" spans="1:14" s="44" customFormat="1" x14ac:dyDescent="0.25">
      <c r="A193" s="65" t="s">
        <v>214</v>
      </c>
      <c r="B193" s="65" t="s">
        <v>191</v>
      </c>
      <c r="C193" s="81">
        <f>SUM(C191:D192)</f>
        <v>455</v>
      </c>
      <c r="D193" s="81"/>
      <c r="E193" s="96">
        <f>SUM(E191:F192)</f>
        <v>153509.03685000003</v>
      </c>
      <c r="F193" s="96"/>
      <c r="G193" s="96">
        <f>SUM(G191:H192)</f>
        <v>230263.55527500002</v>
      </c>
      <c r="H193" s="96"/>
    </row>
    <row r="194" spans="1:14" s="44" customFormat="1" x14ac:dyDescent="0.25">
      <c r="A194" s="64" t="s">
        <v>213</v>
      </c>
      <c r="B194" s="64" t="s">
        <v>190</v>
      </c>
      <c r="C194" s="99">
        <f>COUNT(D401:D402,D405:D406)*4</f>
        <v>16</v>
      </c>
      <c r="D194" s="99"/>
      <c r="E194" s="94">
        <f>SUM(D401:D402,D405:D406)*4</f>
        <v>5400.9446399999997</v>
      </c>
      <c r="F194" s="94"/>
      <c r="G194" s="94">
        <f>SUM(F401:F402,F405:F406)*4</f>
        <v>8101.4169599999996</v>
      </c>
      <c r="H194" s="94"/>
    </row>
    <row r="195" spans="1:14" s="44" customFormat="1" x14ac:dyDescent="0.25">
      <c r="A195" s="64" t="s">
        <v>215</v>
      </c>
      <c r="B195" s="64" t="s">
        <v>190</v>
      </c>
      <c r="C195" s="99">
        <f>COUNT(D410:D414)+COUNT(D424:D427)+COUNT(D448:D449,D452:D453)*3+COUNT(D469:D475)+COUNT(D481:D492)</f>
        <v>40</v>
      </c>
      <c r="D195" s="99"/>
      <c r="E195" s="94">
        <f>SUM(D410:D414)+SUM(D424:D427)+SUM(D448:D449,D452:D453)*3+SUM(D469:D475)+SUM(D481:D492)</f>
        <v>13453.681410000001</v>
      </c>
      <c r="F195" s="94"/>
      <c r="G195" s="94">
        <f>SUM(F410:F414)+SUM(F424:F427)+SUM(F448:F449,F452:F453)*3+SUM(F469:F475)+SUM(F481:F492)</f>
        <v>20180.522115</v>
      </c>
      <c r="H195" s="94"/>
    </row>
    <row r="196" spans="1:14" s="44" customFormat="1" x14ac:dyDescent="0.25">
      <c r="A196" s="65" t="s">
        <v>214</v>
      </c>
      <c r="B196" s="65" t="s">
        <v>190</v>
      </c>
      <c r="C196" s="81">
        <f>SUM(C194:D195)</f>
        <v>56</v>
      </c>
      <c r="D196" s="81"/>
      <c r="E196" s="96">
        <f>SUM(E194:F195)</f>
        <v>18854.626049999999</v>
      </c>
      <c r="F196" s="96"/>
      <c r="G196" s="96">
        <f>SUM(G194:H195)</f>
        <v>28281.939074999998</v>
      </c>
      <c r="H196" s="96"/>
    </row>
    <row r="197" spans="1:14" s="44" customFormat="1" x14ac:dyDescent="0.25">
      <c r="A197" s="64" t="s">
        <v>215</v>
      </c>
      <c r="B197" s="64" t="s">
        <v>210</v>
      </c>
      <c r="C197" s="98">
        <f>COUNT(D455:D466)*3+COUNT(D468,D478:D479)+COUNT(D505)</f>
        <v>40</v>
      </c>
      <c r="D197" s="99"/>
      <c r="E197" s="94">
        <f>SUM(D455:D466)*3+SUM(D468,D478:D479)+SUM(D505)</f>
        <v>13502.361600000002</v>
      </c>
      <c r="F197" s="94"/>
      <c r="G197" s="94">
        <f>SUM(F455:F466)*3+SUM(F468,F478:F479)+SUM(F505)</f>
        <v>20253.542400000002</v>
      </c>
      <c r="H197" s="94"/>
    </row>
    <row r="198" spans="1:14" s="44" customFormat="1" x14ac:dyDescent="0.25">
      <c r="A198" s="96" t="s">
        <v>261</v>
      </c>
      <c r="B198" s="96"/>
      <c r="C198" s="80">
        <f>C193+C196+C197</f>
        <v>551</v>
      </c>
      <c r="D198" s="80"/>
      <c r="E198" s="80">
        <f>E193+E196+E197</f>
        <v>185866.02450000003</v>
      </c>
      <c r="F198" s="80"/>
      <c r="G198" s="80">
        <f>G193+G196+G197</f>
        <v>278799.03675000003</v>
      </c>
      <c r="H198" s="80"/>
    </row>
    <row r="199" spans="1:14" s="44" customFormat="1" ht="16.5" thickBot="1" x14ac:dyDescent="0.3">
      <c r="A199" s="185" t="s">
        <v>283</v>
      </c>
      <c r="B199" s="186"/>
      <c r="C199" s="163">
        <f>C188+C198</f>
        <v>577</v>
      </c>
      <c r="D199" s="163"/>
      <c r="E199" s="163">
        <f t="shared" ref="E199" si="8">E188+E198</f>
        <v>186800.98554000002</v>
      </c>
      <c r="F199" s="163"/>
      <c r="G199" s="163">
        <f t="shared" ref="G199" si="9">G188+G198</f>
        <v>280294.97441400005</v>
      </c>
      <c r="H199" s="164"/>
    </row>
    <row r="200" spans="1:14" s="43" customFormat="1" x14ac:dyDescent="0.25">
      <c r="A200" s="127" t="s">
        <v>56</v>
      </c>
      <c r="B200" s="127"/>
      <c r="C200" s="127"/>
      <c r="D200" s="127"/>
      <c r="E200" s="127"/>
      <c r="F200" s="127"/>
      <c r="G200" s="127"/>
      <c r="H200" s="127"/>
    </row>
    <row r="201" spans="1:14" x14ac:dyDescent="0.25">
      <c r="A201" s="127" t="s">
        <v>57</v>
      </c>
      <c r="B201" s="127"/>
      <c r="C201" s="127"/>
      <c r="D201" s="127"/>
      <c r="E201" s="127"/>
      <c r="F201" s="127"/>
      <c r="G201" s="127"/>
      <c r="H201" s="127"/>
    </row>
    <row r="202" spans="1:14" ht="47.25" customHeight="1" x14ac:dyDescent="0.25">
      <c r="A202" s="116" t="s">
        <v>218</v>
      </c>
      <c r="B202" s="116" t="s">
        <v>121</v>
      </c>
      <c r="C202" s="116" t="s">
        <v>58</v>
      </c>
      <c r="D202" s="116" t="s">
        <v>59</v>
      </c>
      <c r="E202" s="161" t="s">
        <v>60</v>
      </c>
      <c r="F202" s="47" t="s">
        <v>151</v>
      </c>
      <c r="G202" s="123" t="s">
        <v>61</v>
      </c>
      <c r="H202" s="124"/>
    </row>
    <row r="203" spans="1:14" s="49" customFormat="1" x14ac:dyDescent="0.25">
      <c r="A203" s="117"/>
      <c r="B203" s="117"/>
      <c r="C203" s="117"/>
      <c r="D203" s="117"/>
      <c r="E203" s="162"/>
      <c r="F203" s="48">
        <v>0.6</v>
      </c>
      <c r="G203" s="125"/>
      <c r="H203" s="126"/>
    </row>
    <row r="204" spans="1:14" s="43" customFormat="1" x14ac:dyDescent="0.25">
      <c r="A204" s="128" t="s">
        <v>188</v>
      </c>
      <c r="B204" s="128"/>
      <c r="C204" s="128"/>
      <c r="D204" s="128"/>
      <c r="E204" s="128"/>
      <c r="F204" s="128"/>
      <c r="G204" s="128"/>
      <c r="H204" s="128"/>
    </row>
    <row r="205" spans="1:14" s="43" customFormat="1" x14ac:dyDescent="0.25">
      <c r="A205" s="193" t="s">
        <v>159</v>
      </c>
      <c r="B205" s="193"/>
      <c r="C205" s="193"/>
      <c r="D205" s="193"/>
      <c r="E205" s="193"/>
      <c r="F205" s="193"/>
      <c r="G205" s="193"/>
      <c r="H205" s="193"/>
    </row>
    <row r="206" spans="1:14" s="43" customFormat="1" x14ac:dyDescent="0.25">
      <c r="A206" s="127" t="s">
        <v>177</v>
      </c>
      <c r="B206" s="127"/>
      <c r="C206" s="127"/>
      <c r="D206" s="127"/>
      <c r="E206" s="127"/>
      <c r="F206" s="127"/>
      <c r="G206" s="127"/>
      <c r="H206" s="127"/>
    </row>
    <row r="207" spans="1:14" s="49" customFormat="1" x14ac:dyDescent="0.25">
      <c r="A207" s="112" t="s">
        <v>168</v>
      </c>
      <c r="B207" s="113"/>
      <c r="C207" s="113"/>
      <c r="D207" s="113"/>
      <c r="E207" s="113"/>
      <c r="F207" s="113"/>
      <c r="G207" s="113"/>
      <c r="H207" s="114"/>
      <c r="J207" s="50"/>
    </row>
    <row r="208" spans="1:14" s="49" customFormat="1" ht="15.75" customHeight="1" x14ac:dyDescent="0.25">
      <c r="A208" s="101">
        <v>1</v>
      </c>
      <c r="B208" s="102"/>
      <c r="C208" s="19" t="s">
        <v>169</v>
      </c>
      <c r="D208" s="19">
        <f>41.16*10.764</f>
        <v>443.04623999999995</v>
      </c>
      <c r="E208" s="19">
        <v>0</v>
      </c>
      <c r="F208" s="19">
        <f>D208*(($F$203)+1)+(IF(E208&lt;101,E208,IF(E208&lt;201,E208/2,IF(E208&lt;=301,E208/3,E208/4))))</f>
        <v>708.87398399999995</v>
      </c>
      <c r="G208" s="103" t="str">
        <f>A207</f>
        <v>Ground Floor for Commercial &amp; Parking</v>
      </c>
      <c r="H208" s="104"/>
      <c r="I208" s="50"/>
      <c r="L208" s="184"/>
      <c r="M208" s="184"/>
      <c r="N208" s="50"/>
    </row>
    <row r="209" spans="1:14" s="49" customFormat="1" ht="15.75" customHeight="1" x14ac:dyDescent="0.25">
      <c r="A209" s="101">
        <f t="shared" ref="A209:A217" si="10">A208+1</f>
        <v>2</v>
      </c>
      <c r="B209" s="102"/>
      <c r="C209" s="19" t="s">
        <v>169</v>
      </c>
      <c r="D209" s="19">
        <f>43.33*10.764</f>
        <v>466.40411999999998</v>
      </c>
      <c r="E209" s="19">
        <v>0</v>
      </c>
      <c r="F209" s="19">
        <f t="shared" ref="F209:F217" si="11">D209*(($F$203)+1)+(IF(E209&lt;101,E209,IF(E209&lt;201,E209/2,IF(E209&lt;=301,E209/3,E209/4))))</f>
        <v>746.24659199999996</v>
      </c>
      <c r="G209" s="105"/>
      <c r="H209" s="106"/>
      <c r="I209" s="50"/>
      <c r="L209" s="184"/>
      <c r="M209" s="184"/>
      <c r="N209" s="50"/>
    </row>
    <row r="210" spans="1:14" s="49" customFormat="1" ht="15.75" customHeight="1" x14ac:dyDescent="0.25">
      <c r="A210" s="101">
        <f t="shared" si="10"/>
        <v>3</v>
      </c>
      <c r="B210" s="102"/>
      <c r="C210" s="19" t="s">
        <v>169</v>
      </c>
      <c r="D210" s="19">
        <f>36.24*10.764</f>
        <v>390.08735999999999</v>
      </c>
      <c r="E210" s="19">
        <v>0</v>
      </c>
      <c r="F210" s="19">
        <f t="shared" si="11"/>
        <v>624.13977599999998</v>
      </c>
      <c r="G210" s="105"/>
      <c r="H210" s="106"/>
      <c r="I210" s="50"/>
      <c r="L210" s="184"/>
      <c r="M210" s="184"/>
      <c r="N210" s="50"/>
    </row>
    <row r="211" spans="1:14" s="49" customFormat="1" ht="15.75" customHeight="1" x14ac:dyDescent="0.25">
      <c r="A211" s="101">
        <f t="shared" si="10"/>
        <v>4</v>
      </c>
      <c r="B211" s="102"/>
      <c r="C211" s="19" t="s">
        <v>169</v>
      </c>
      <c r="D211" s="19">
        <f>23.62*10.764</f>
        <v>254.24567999999999</v>
      </c>
      <c r="E211" s="19">
        <v>0</v>
      </c>
      <c r="F211" s="19">
        <f t="shared" si="11"/>
        <v>406.79308800000001</v>
      </c>
      <c r="G211" s="105"/>
      <c r="H211" s="106"/>
      <c r="I211" s="50"/>
      <c r="L211" s="184"/>
      <c r="M211" s="184"/>
      <c r="N211" s="50"/>
    </row>
    <row r="212" spans="1:14" s="49" customFormat="1" ht="15.75" customHeight="1" x14ac:dyDescent="0.25">
      <c r="A212" s="101">
        <f t="shared" si="10"/>
        <v>5</v>
      </c>
      <c r="B212" s="102"/>
      <c r="C212" s="19" t="s">
        <v>169</v>
      </c>
      <c r="D212" s="19">
        <f>36.25*10.764</f>
        <v>390.19499999999999</v>
      </c>
      <c r="E212" s="19">
        <v>0</v>
      </c>
      <c r="F212" s="19">
        <f t="shared" si="11"/>
        <v>624.31200000000001</v>
      </c>
      <c r="G212" s="105"/>
      <c r="H212" s="106"/>
      <c r="I212" s="50"/>
      <c r="L212" s="184"/>
      <c r="M212" s="184"/>
      <c r="N212" s="50"/>
    </row>
    <row r="213" spans="1:14" s="49" customFormat="1" ht="15.75" customHeight="1" x14ac:dyDescent="0.25">
      <c r="A213" s="101">
        <f t="shared" si="10"/>
        <v>6</v>
      </c>
      <c r="B213" s="102"/>
      <c r="C213" s="19" t="s">
        <v>169</v>
      </c>
      <c r="D213" s="19">
        <f>20.76*10.764</f>
        <v>223.46064000000001</v>
      </c>
      <c r="E213" s="19">
        <v>0</v>
      </c>
      <c r="F213" s="19">
        <f t="shared" si="11"/>
        <v>357.53702400000003</v>
      </c>
      <c r="G213" s="105"/>
      <c r="H213" s="106"/>
      <c r="I213" s="50"/>
      <c r="L213" s="184"/>
      <c r="M213" s="184"/>
      <c r="N213" s="50"/>
    </row>
    <row r="214" spans="1:14" s="49" customFormat="1" ht="15.75" customHeight="1" x14ac:dyDescent="0.25">
      <c r="A214" s="101">
        <f t="shared" si="10"/>
        <v>7</v>
      </c>
      <c r="B214" s="102"/>
      <c r="C214" s="19" t="s">
        <v>169</v>
      </c>
      <c r="D214" s="19">
        <f>77.97*10.764</f>
        <v>839.26907999999992</v>
      </c>
      <c r="E214" s="19">
        <v>0</v>
      </c>
      <c r="F214" s="19">
        <f t="shared" si="11"/>
        <v>1342.830528</v>
      </c>
      <c r="G214" s="105"/>
      <c r="H214" s="106"/>
      <c r="I214" s="50"/>
      <c r="L214" s="184"/>
      <c r="M214" s="184"/>
      <c r="N214" s="50"/>
    </row>
    <row r="215" spans="1:14" s="49" customFormat="1" ht="15.75" customHeight="1" x14ac:dyDescent="0.25">
      <c r="A215" s="101">
        <f t="shared" si="10"/>
        <v>8</v>
      </c>
      <c r="B215" s="102"/>
      <c r="C215" s="19" t="s">
        <v>169</v>
      </c>
      <c r="D215" s="19">
        <f>67.31*10.764</f>
        <v>724.52483999999993</v>
      </c>
      <c r="E215" s="19">
        <v>0</v>
      </c>
      <c r="F215" s="19">
        <f t="shared" si="11"/>
        <v>1159.239744</v>
      </c>
      <c r="G215" s="105"/>
      <c r="H215" s="106"/>
      <c r="I215" s="50"/>
      <c r="L215" s="184"/>
      <c r="M215" s="184"/>
      <c r="N215" s="50"/>
    </row>
    <row r="216" spans="1:14" s="49" customFormat="1" ht="15.75" customHeight="1" x14ac:dyDescent="0.25">
      <c r="A216" s="101">
        <f t="shared" si="10"/>
        <v>9</v>
      </c>
      <c r="B216" s="102"/>
      <c r="C216" s="19" t="s">
        <v>169</v>
      </c>
      <c r="D216" s="19">
        <f>72.09*10.764</f>
        <v>775.97676000000001</v>
      </c>
      <c r="E216" s="19">
        <v>0</v>
      </c>
      <c r="F216" s="19">
        <f t="shared" si="11"/>
        <v>1241.5628160000001</v>
      </c>
      <c r="G216" s="105"/>
      <c r="H216" s="106"/>
      <c r="I216" s="50"/>
      <c r="L216" s="184"/>
      <c r="M216" s="184"/>
      <c r="N216" s="50"/>
    </row>
    <row r="217" spans="1:14" s="49" customFormat="1" ht="15.75" customHeight="1" x14ac:dyDescent="0.25">
      <c r="A217" s="101">
        <f t="shared" si="10"/>
        <v>10</v>
      </c>
      <c r="B217" s="102"/>
      <c r="C217" s="19" t="s">
        <v>169</v>
      </c>
      <c r="D217" s="19">
        <f>58.09*10.764</f>
        <v>625.28075999999999</v>
      </c>
      <c r="E217" s="19">
        <v>0</v>
      </c>
      <c r="F217" s="19">
        <f t="shared" si="11"/>
        <v>1000.449216</v>
      </c>
      <c r="G217" s="107"/>
      <c r="H217" s="108"/>
      <c r="I217" s="50"/>
      <c r="L217" s="184"/>
      <c r="M217" s="184"/>
      <c r="N217" s="50"/>
    </row>
    <row r="218" spans="1:14" s="49" customFormat="1" x14ac:dyDescent="0.25">
      <c r="A218" s="112" t="s">
        <v>181</v>
      </c>
      <c r="B218" s="113"/>
      <c r="C218" s="113"/>
      <c r="D218" s="113"/>
      <c r="E218" s="113"/>
      <c r="F218" s="113"/>
      <c r="G218" s="113"/>
      <c r="H218" s="114"/>
      <c r="J218" s="50"/>
    </row>
    <row r="219" spans="1:14" s="49" customFormat="1" ht="15.75" customHeight="1" x14ac:dyDescent="0.25">
      <c r="A219" s="101">
        <v>1</v>
      </c>
      <c r="B219" s="102"/>
      <c r="C219" s="19" t="s">
        <v>180</v>
      </c>
      <c r="D219" s="19">
        <f>28.65*10.764</f>
        <v>308.38859999999994</v>
      </c>
      <c r="E219" s="19">
        <v>0</v>
      </c>
      <c r="F219" s="19">
        <f t="shared" ref="F219:F228" si="12">D219*(($F$203)+1)+(IF(E219&lt;101,E219,IF(E219&lt;201,E219/2,IF(E219&lt;=301,E219/3,E219/4))))</f>
        <v>493.42175999999995</v>
      </c>
      <c r="G219" s="103" t="str">
        <f>A218</f>
        <v>1st &amp; 2nd Floor</v>
      </c>
      <c r="H219" s="104"/>
      <c r="I219" s="50"/>
      <c r="L219" s="184"/>
      <c r="M219" s="184"/>
      <c r="N219" s="50"/>
    </row>
    <row r="220" spans="1:14" s="49" customFormat="1" ht="15.75" customHeight="1" x14ac:dyDescent="0.25">
      <c r="A220" s="101">
        <f t="shared" ref="A220:A228" si="13">A219+1</f>
        <v>2</v>
      </c>
      <c r="B220" s="102"/>
      <c r="C220" s="19" t="s">
        <v>180</v>
      </c>
      <c r="D220" s="19">
        <f>31.28*10.764</f>
        <v>336.69792000000001</v>
      </c>
      <c r="E220" s="19">
        <v>0</v>
      </c>
      <c r="F220" s="19">
        <f t="shared" si="12"/>
        <v>538.71667200000002</v>
      </c>
      <c r="G220" s="105"/>
      <c r="H220" s="106"/>
      <c r="I220" s="50"/>
      <c r="L220" s="184"/>
      <c r="M220" s="184"/>
      <c r="N220" s="50"/>
    </row>
    <row r="221" spans="1:14" s="49" customFormat="1" ht="15.75" customHeight="1" x14ac:dyDescent="0.25">
      <c r="A221" s="101">
        <f t="shared" si="13"/>
        <v>3</v>
      </c>
      <c r="B221" s="102"/>
      <c r="C221" s="19" t="s">
        <v>180</v>
      </c>
      <c r="D221" s="19">
        <f>26.17*10.764</f>
        <v>281.69387999999998</v>
      </c>
      <c r="E221" s="19">
        <v>0</v>
      </c>
      <c r="F221" s="19">
        <f t="shared" si="12"/>
        <v>450.71020799999997</v>
      </c>
      <c r="G221" s="105"/>
      <c r="H221" s="106"/>
      <c r="I221" s="50"/>
      <c r="L221" s="184"/>
      <c r="M221" s="184"/>
      <c r="N221" s="50"/>
    </row>
    <row r="222" spans="1:14" s="49" customFormat="1" ht="15.75" customHeight="1" x14ac:dyDescent="0.25">
      <c r="A222" s="101">
        <f t="shared" si="13"/>
        <v>4</v>
      </c>
      <c r="B222" s="102"/>
      <c r="C222" s="19" t="s">
        <v>180</v>
      </c>
      <c r="D222" s="19">
        <f>17.9*10.764</f>
        <v>192.67559999999997</v>
      </c>
      <c r="E222" s="19">
        <v>0</v>
      </c>
      <c r="F222" s="19">
        <f t="shared" si="12"/>
        <v>308.28095999999999</v>
      </c>
      <c r="G222" s="105"/>
      <c r="H222" s="106"/>
      <c r="I222" s="50"/>
      <c r="L222" s="184"/>
      <c r="M222" s="184"/>
      <c r="N222" s="50"/>
    </row>
    <row r="223" spans="1:14" s="49" customFormat="1" ht="15.75" customHeight="1" x14ac:dyDescent="0.25">
      <c r="A223" s="101">
        <f t="shared" si="13"/>
        <v>5</v>
      </c>
      <c r="B223" s="102"/>
      <c r="C223" s="19" t="s">
        <v>180</v>
      </c>
      <c r="D223" s="19">
        <f>26.2*10.764</f>
        <v>282.01679999999999</v>
      </c>
      <c r="E223" s="19">
        <v>0</v>
      </c>
      <c r="F223" s="19">
        <f t="shared" si="12"/>
        <v>451.22687999999999</v>
      </c>
      <c r="G223" s="105"/>
      <c r="H223" s="106"/>
      <c r="I223" s="50"/>
      <c r="L223" s="184"/>
      <c r="M223" s="184"/>
      <c r="N223" s="50"/>
    </row>
    <row r="224" spans="1:14" s="49" customFormat="1" ht="15.75" customHeight="1" x14ac:dyDescent="0.25">
      <c r="A224" s="101">
        <f t="shared" si="13"/>
        <v>6</v>
      </c>
      <c r="B224" s="102"/>
      <c r="C224" s="19" t="s">
        <v>180</v>
      </c>
      <c r="D224" s="19">
        <f>15.92*10.764</f>
        <v>171.36287999999999</v>
      </c>
      <c r="E224" s="19">
        <v>0</v>
      </c>
      <c r="F224" s="19">
        <f t="shared" si="12"/>
        <v>274.18060800000001</v>
      </c>
      <c r="G224" s="105"/>
      <c r="H224" s="106"/>
      <c r="I224" s="50"/>
      <c r="L224" s="184"/>
      <c r="M224" s="184"/>
      <c r="N224" s="50"/>
    </row>
    <row r="225" spans="1:14" s="49" customFormat="1" ht="15.75" customHeight="1" x14ac:dyDescent="0.25">
      <c r="A225" s="101">
        <f t="shared" si="13"/>
        <v>7</v>
      </c>
      <c r="B225" s="102"/>
      <c r="C225" s="19" t="s">
        <v>180</v>
      </c>
      <c r="D225" s="19">
        <f>73.67*10.764</f>
        <v>792.98388</v>
      </c>
      <c r="E225" s="19">
        <v>0</v>
      </c>
      <c r="F225" s="19">
        <f t="shared" si="12"/>
        <v>1268.774208</v>
      </c>
      <c r="G225" s="105"/>
      <c r="H225" s="106"/>
      <c r="I225" s="50"/>
      <c r="L225" s="184"/>
      <c r="M225" s="184"/>
      <c r="N225" s="50"/>
    </row>
    <row r="226" spans="1:14" s="49" customFormat="1" ht="15.75" customHeight="1" x14ac:dyDescent="0.25">
      <c r="A226" s="101">
        <f t="shared" si="13"/>
        <v>8</v>
      </c>
      <c r="B226" s="102"/>
      <c r="C226" s="19" t="s">
        <v>180</v>
      </c>
      <c r="D226" s="19">
        <f>51.6*10.764</f>
        <v>555.42239999999993</v>
      </c>
      <c r="E226" s="19">
        <v>0</v>
      </c>
      <c r="F226" s="19">
        <f t="shared" si="12"/>
        <v>888.67583999999988</v>
      </c>
      <c r="G226" s="105"/>
      <c r="H226" s="106"/>
      <c r="I226" s="50"/>
      <c r="L226" s="184"/>
      <c r="M226" s="184"/>
      <c r="N226" s="50"/>
    </row>
    <row r="227" spans="1:14" s="49" customFormat="1" ht="15.75" customHeight="1" x14ac:dyDescent="0.25">
      <c r="A227" s="101">
        <f t="shared" si="13"/>
        <v>9</v>
      </c>
      <c r="B227" s="102"/>
      <c r="C227" s="19" t="s">
        <v>180</v>
      </c>
      <c r="D227" s="19">
        <f>58.19*10.764</f>
        <v>626.35715999999991</v>
      </c>
      <c r="E227" s="19">
        <v>0</v>
      </c>
      <c r="F227" s="19">
        <f t="shared" si="12"/>
        <v>1002.1714559999999</v>
      </c>
      <c r="G227" s="105"/>
      <c r="H227" s="106"/>
      <c r="I227" s="50"/>
      <c r="L227" s="184"/>
      <c r="M227" s="184"/>
      <c r="N227" s="50"/>
    </row>
    <row r="228" spans="1:14" s="49" customFormat="1" ht="15.75" customHeight="1" x14ac:dyDescent="0.25">
      <c r="A228" s="101">
        <f t="shared" si="13"/>
        <v>10</v>
      </c>
      <c r="B228" s="102"/>
      <c r="C228" s="19" t="s">
        <v>180</v>
      </c>
      <c r="D228" s="19">
        <f>45.7*10.764</f>
        <v>491.91480000000001</v>
      </c>
      <c r="E228" s="19">
        <v>0</v>
      </c>
      <c r="F228" s="19">
        <f t="shared" si="12"/>
        <v>787.06368000000009</v>
      </c>
      <c r="G228" s="107"/>
      <c r="H228" s="108"/>
      <c r="I228" s="50"/>
      <c r="L228" s="184"/>
      <c r="M228" s="184"/>
      <c r="N228" s="50"/>
    </row>
    <row r="229" spans="1:14" s="43" customFormat="1" x14ac:dyDescent="0.25">
      <c r="A229" s="200" t="s">
        <v>202</v>
      </c>
      <c r="B229" s="200"/>
      <c r="C229" s="200"/>
      <c r="D229" s="200"/>
      <c r="E229" s="200"/>
      <c r="F229" s="200"/>
      <c r="G229" s="200"/>
      <c r="H229" s="200"/>
    </row>
    <row r="230" spans="1:14" s="43" customFormat="1" x14ac:dyDescent="0.25">
      <c r="A230" s="127" t="s">
        <v>177</v>
      </c>
      <c r="B230" s="127"/>
      <c r="C230" s="127"/>
      <c r="D230" s="127"/>
      <c r="E230" s="127"/>
      <c r="F230" s="127"/>
      <c r="G230" s="127"/>
      <c r="H230" s="127"/>
    </row>
    <row r="231" spans="1:14" s="49" customFormat="1" x14ac:dyDescent="0.25">
      <c r="A231" s="118" t="s">
        <v>279</v>
      </c>
      <c r="B231" s="118"/>
      <c r="C231" s="118"/>
      <c r="D231" s="118"/>
      <c r="E231" s="118"/>
      <c r="F231" s="118"/>
      <c r="G231" s="118"/>
      <c r="H231" s="118"/>
      <c r="J231" s="50"/>
    </row>
    <row r="232" spans="1:14" s="49" customFormat="1" ht="15.75" customHeight="1" x14ac:dyDescent="0.25">
      <c r="A232" s="160">
        <v>11</v>
      </c>
      <c r="B232" s="160"/>
      <c r="C232" s="66" t="s">
        <v>169</v>
      </c>
      <c r="D232" s="66">
        <f>58.98*10.764</f>
        <v>634.8607199999999</v>
      </c>
      <c r="E232" s="66">
        <v>0</v>
      </c>
      <c r="F232" s="66">
        <f>D232*(($F$203)+1)+(IF(E232&lt;101,E232,IF(E232&lt;201,E232/2,IF(E232&lt;=301,E232/3,E232/4))))</f>
        <v>1015.7771519999999</v>
      </c>
      <c r="G232" s="160" t="str">
        <f>A231</f>
        <v>Ground Floor for Commercial, Meter Room, Socirty Office, Entrance Lobby &amp; Parking</v>
      </c>
      <c r="H232" s="160"/>
      <c r="I232" s="50"/>
      <c r="L232" s="184"/>
      <c r="M232" s="184"/>
      <c r="N232" s="50"/>
    </row>
    <row r="233" spans="1:14" s="49" customFormat="1" ht="15.75" customHeight="1" x14ac:dyDescent="0.25">
      <c r="A233" s="160">
        <f t="shared" ref="A233:A236" si="14">A232+1</f>
        <v>12</v>
      </c>
      <c r="B233" s="160"/>
      <c r="C233" s="66" t="s">
        <v>169</v>
      </c>
      <c r="D233" s="66">
        <f>67.96*10.764</f>
        <v>731.52143999999987</v>
      </c>
      <c r="E233" s="66">
        <v>0</v>
      </c>
      <c r="F233" s="66">
        <f t="shared" ref="F233:F236" si="15">D233*(($F$203)+1)+(IF(E233&lt;101,E233,IF(E233&lt;201,E233/2,IF(E233&lt;=301,E233/3,E233/4))))</f>
        <v>1170.4343039999999</v>
      </c>
      <c r="G233" s="160"/>
      <c r="H233" s="160"/>
      <c r="I233" s="50"/>
      <c r="L233" s="184"/>
      <c r="M233" s="184"/>
      <c r="N233" s="50"/>
    </row>
    <row r="234" spans="1:14" s="49" customFormat="1" ht="15.75" customHeight="1" x14ac:dyDescent="0.25">
      <c r="A234" s="160">
        <f t="shared" si="14"/>
        <v>13</v>
      </c>
      <c r="B234" s="160"/>
      <c r="C234" s="66" t="s">
        <v>169</v>
      </c>
      <c r="D234" s="66">
        <f>50.23*10.764</f>
        <v>540.67571999999996</v>
      </c>
      <c r="E234" s="66">
        <v>0</v>
      </c>
      <c r="F234" s="66">
        <f t="shared" si="15"/>
        <v>865.08115199999997</v>
      </c>
      <c r="G234" s="160"/>
      <c r="H234" s="160"/>
      <c r="I234" s="50"/>
      <c r="L234" s="184"/>
      <c r="M234" s="184"/>
      <c r="N234" s="50"/>
    </row>
    <row r="235" spans="1:14" s="49" customFormat="1" ht="15.75" customHeight="1" x14ac:dyDescent="0.25">
      <c r="A235" s="160">
        <f t="shared" si="14"/>
        <v>14</v>
      </c>
      <c r="B235" s="160"/>
      <c r="C235" s="66" t="s">
        <v>169</v>
      </c>
      <c r="D235" s="66">
        <f>47.68*10.764</f>
        <v>513.22751999999991</v>
      </c>
      <c r="E235" s="66">
        <v>0</v>
      </c>
      <c r="F235" s="66">
        <f t="shared" si="15"/>
        <v>821.16403199999991</v>
      </c>
      <c r="G235" s="160"/>
      <c r="H235" s="160"/>
      <c r="I235" s="50"/>
      <c r="L235" s="184"/>
      <c r="M235" s="184"/>
      <c r="N235" s="50"/>
    </row>
    <row r="236" spans="1:14" s="49" customFormat="1" ht="15.75" customHeight="1" x14ac:dyDescent="0.25">
      <c r="A236" s="160">
        <f t="shared" si="14"/>
        <v>15</v>
      </c>
      <c r="B236" s="160"/>
      <c r="C236" s="66" t="s">
        <v>169</v>
      </c>
      <c r="D236" s="66">
        <f>66.2*10.764</f>
        <v>712.57679999999993</v>
      </c>
      <c r="E236" s="66">
        <v>0</v>
      </c>
      <c r="F236" s="66">
        <f t="shared" si="15"/>
        <v>1140.1228799999999</v>
      </c>
      <c r="G236" s="160"/>
      <c r="H236" s="160"/>
      <c r="I236" s="50"/>
      <c r="L236" s="184"/>
      <c r="M236" s="184"/>
      <c r="N236" s="50"/>
    </row>
    <row r="237" spans="1:14" s="49" customFormat="1" x14ac:dyDescent="0.25">
      <c r="A237" s="118" t="s">
        <v>248</v>
      </c>
      <c r="B237" s="118"/>
      <c r="C237" s="118"/>
      <c r="D237" s="118"/>
      <c r="E237" s="118"/>
      <c r="F237" s="118"/>
      <c r="G237" s="118"/>
      <c r="H237" s="118"/>
      <c r="J237" s="50"/>
    </row>
    <row r="238" spans="1:14" s="49" customFormat="1" ht="15.75" customHeight="1" x14ac:dyDescent="0.25">
      <c r="A238" s="160">
        <v>1</v>
      </c>
      <c r="B238" s="160"/>
      <c r="C238" s="66" t="s">
        <v>180</v>
      </c>
      <c r="D238" s="66">
        <f>88.78*10.764</f>
        <v>955.6279199999999</v>
      </c>
      <c r="E238" s="66">
        <v>0</v>
      </c>
      <c r="F238" s="66">
        <f t="shared" ref="F238:F247" si="16">D238*(($F$203)+1)+(IF(E238&lt;101,E238,IF(E238&lt;201,E238/2,IF(E238&lt;=301,E238/3,E238/4))))</f>
        <v>1529.004672</v>
      </c>
      <c r="G238" s="160" t="str">
        <f>A237</f>
        <v>1st to 3rd Floor</v>
      </c>
      <c r="H238" s="160"/>
      <c r="I238" s="50"/>
      <c r="L238" s="184"/>
      <c r="M238" s="184"/>
      <c r="N238" s="50"/>
    </row>
    <row r="239" spans="1:14" s="49" customFormat="1" ht="15.75" customHeight="1" x14ac:dyDescent="0.25">
      <c r="A239" s="160">
        <f t="shared" ref="A239:A247" si="17">A238+1</f>
        <v>2</v>
      </c>
      <c r="B239" s="160"/>
      <c r="C239" s="66" t="s">
        <v>180</v>
      </c>
      <c r="D239" s="66">
        <f>62.04*10.764</f>
        <v>667.79855999999995</v>
      </c>
      <c r="E239" s="66">
        <v>0</v>
      </c>
      <c r="F239" s="66">
        <f t="shared" si="16"/>
        <v>1068.4776959999999</v>
      </c>
      <c r="G239" s="160"/>
      <c r="H239" s="160"/>
      <c r="I239" s="50"/>
      <c r="L239" s="184"/>
      <c r="M239" s="184"/>
      <c r="N239" s="50"/>
    </row>
    <row r="240" spans="1:14" s="49" customFormat="1" ht="15.75" customHeight="1" x14ac:dyDescent="0.25">
      <c r="A240" s="160">
        <f t="shared" si="17"/>
        <v>3</v>
      </c>
      <c r="B240" s="160"/>
      <c r="C240" s="66" t="s">
        <v>180</v>
      </c>
      <c r="D240" s="66">
        <f>57.82*10.764</f>
        <v>622.37447999999995</v>
      </c>
      <c r="E240" s="66">
        <v>0</v>
      </c>
      <c r="F240" s="66">
        <f t="shared" si="16"/>
        <v>995.79916800000001</v>
      </c>
      <c r="G240" s="160"/>
      <c r="H240" s="160"/>
      <c r="I240" s="50"/>
      <c r="L240" s="184"/>
      <c r="M240" s="184"/>
      <c r="N240" s="50"/>
    </row>
    <row r="241" spans="1:14" s="49" customFormat="1" ht="15.75" customHeight="1" x14ac:dyDescent="0.25">
      <c r="A241" s="160">
        <f t="shared" si="17"/>
        <v>4</v>
      </c>
      <c r="B241" s="160"/>
      <c r="C241" s="66" t="s">
        <v>180</v>
      </c>
      <c r="D241" s="66">
        <f>84.95*10.764</f>
        <v>914.40179999999998</v>
      </c>
      <c r="E241" s="66">
        <v>0</v>
      </c>
      <c r="F241" s="66">
        <f t="shared" si="16"/>
        <v>1463.04288</v>
      </c>
      <c r="G241" s="160"/>
      <c r="H241" s="160"/>
      <c r="I241" s="50"/>
      <c r="L241" s="184"/>
      <c r="M241" s="184"/>
      <c r="N241" s="50"/>
    </row>
    <row r="242" spans="1:14" s="49" customFormat="1" ht="15.75" customHeight="1" x14ac:dyDescent="0.25">
      <c r="A242" s="160">
        <f t="shared" si="17"/>
        <v>5</v>
      </c>
      <c r="B242" s="160"/>
      <c r="C242" s="66" t="s">
        <v>180</v>
      </c>
      <c r="D242" s="66">
        <f>69.7*10.764</f>
        <v>750.25080000000003</v>
      </c>
      <c r="E242" s="66">
        <v>0</v>
      </c>
      <c r="F242" s="66">
        <f t="shared" si="16"/>
        <v>1200.40128</v>
      </c>
      <c r="G242" s="160"/>
      <c r="H242" s="160"/>
      <c r="I242" s="50"/>
      <c r="L242" s="184"/>
      <c r="M242" s="184"/>
      <c r="N242" s="50"/>
    </row>
    <row r="243" spans="1:14" s="49" customFormat="1" ht="15.75" customHeight="1" x14ac:dyDescent="0.25">
      <c r="A243" s="160">
        <f t="shared" si="17"/>
        <v>6</v>
      </c>
      <c r="B243" s="160"/>
      <c r="C243" s="66" t="s">
        <v>180</v>
      </c>
      <c r="D243" s="66">
        <f>81.19*10.764</f>
        <v>873.92915999999991</v>
      </c>
      <c r="E243" s="66">
        <v>0</v>
      </c>
      <c r="F243" s="66">
        <f t="shared" si="16"/>
        <v>1398.286656</v>
      </c>
      <c r="G243" s="160"/>
      <c r="H243" s="160"/>
      <c r="I243" s="50"/>
      <c r="L243" s="184"/>
      <c r="M243" s="184"/>
      <c r="N243" s="50"/>
    </row>
    <row r="244" spans="1:14" s="49" customFormat="1" ht="15.75" customHeight="1" x14ac:dyDescent="0.25">
      <c r="A244" s="160">
        <f t="shared" si="17"/>
        <v>7</v>
      </c>
      <c r="B244" s="160"/>
      <c r="C244" s="66" t="s">
        <v>180</v>
      </c>
      <c r="D244" s="66">
        <f>83.18*10.764</f>
        <v>895.34951999999998</v>
      </c>
      <c r="E244" s="66">
        <v>0</v>
      </c>
      <c r="F244" s="66">
        <f t="shared" si="16"/>
        <v>1432.5592320000001</v>
      </c>
      <c r="G244" s="160"/>
      <c r="H244" s="160"/>
      <c r="I244" s="50"/>
      <c r="L244" s="184"/>
      <c r="M244" s="184"/>
      <c r="N244" s="50"/>
    </row>
    <row r="245" spans="1:14" s="49" customFormat="1" ht="15.75" customHeight="1" x14ac:dyDescent="0.25">
      <c r="A245" s="160">
        <f t="shared" si="17"/>
        <v>8</v>
      </c>
      <c r="B245" s="160"/>
      <c r="C245" s="66" t="s">
        <v>180</v>
      </c>
      <c r="D245" s="66">
        <f>66.14*10.764</f>
        <v>711.93095999999991</v>
      </c>
      <c r="E245" s="66">
        <v>0</v>
      </c>
      <c r="F245" s="66">
        <f t="shared" si="16"/>
        <v>1139.089536</v>
      </c>
      <c r="G245" s="160"/>
      <c r="H245" s="160"/>
      <c r="I245" s="50"/>
      <c r="L245" s="184"/>
      <c r="M245" s="184"/>
      <c r="N245" s="50"/>
    </row>
    <row r="246" spans="1:14" s="49" customFormat="1" ht="15.75" customHeight="1" x14ac:dyDescent="0.25">
      <c r="A246" s="160">
        <f t="shared" si="17"/>
        <v>9</v>
      </c>
      <c r="B246" s="160"/>
      <c r="C246" s="66" t="s">
        <v>180</v>
      </c>
      <c r="D246" s="66">
        <f>60.51*10.764</f>
        <v>651.32963999999993</v>
      </c>
      <c r="E246" s="66">
        <v>0</v>
      </c>
      <c r="F246" s="66">
        <f t="shared" si="16"/>
        <v>1042.127424</v>
      </c>
      <c r="G246" s="160"/>
      <c r="H246" s="160"/>
      <c r="I246" s="50"/>
      <c r="L246" s="184"/>
      <c r="M246" s="184"/>
      <c r="N246" s="50"/>
    </row>
    <row r="247" spans="1:14" s="49" customFormat="1" ht="15.75" customHeight="1" x14ac:dyDescent="0.25">
      <c r="A247" s="160">
        <f t="shared" si="17"/>
        <v>10</v>
      </c>
      <c r="B247" s="160"/>
      <c r="C247" s="66" t="s">
        <v>180</v>
      </c>
      <c r="D247" s="66">
        <f>60.29*10.764</f>
        <v>648.96155999999996</v>
      </c>
      <c r="E247" s="66">
        <v>0</v>
      </c>
      <c r="F247" s="66">
        <f t="shared" si="16"/>
        <v>1038.3384960000001</v>
      </c>
      <c r="G247" s="160"/>
      <c r="H247" s="160"/>
      <c r="I247" s="50"/>
      <c r="L247" s="184"/>
      <c r="M247" s="184"/>
      <c r="N247" s="50"/>
    </row>
    <row r="248" spans="1:14" s="43" customFormat="1" x14ac:dyDescent="0.25">
      <c r="A248" s="192" t="s">
        <v>189</v>
      </c>
      <c r="B248" s="192"/>
      <c r="C248" s="192"/>
      <c r="D248" s="192"/>
      <c r="E248" s="192"/>
      <c r="F248" s="192"/>
      <c r="G248" s="192"/>
      <c r="H248" s="192"/>
    </row>
    <row r="249" spans="1:14" s="43" customFormat="1" x14ac:dyDescent="0.25">
      <c r="A249" s="166" t="s">
        <v>159</v>
      </c>
      <c r="B249" s="166"/>
      <c r="C249" s="166"/>
      <c r="D249" s="166"/>
      <c r="E249" s="166"/>
      <c r="F249" s="166"/>
      <c r="G249" s="166"/>
      <c r="H249" s="166"/>
    </row>
    <row r="250" spans="1:14" s="49" customFormat="1" x14ac:dyDescent="0.25">
      <c r="A250" s="112" t="s">
        <v>193</v>
      </c>
      <c r="B250" s="113"/>
      <c r="C250" s="113"/>
      <c r="D250" s="113"/>
      <c r="E250" s="113"/>
      <c r="F250" s="113"/>
      <c r="G250" s="113"/>
      <c r="H250" s="114"/>
      <c r="J250" s="50"/>
    </row>
    <row r="251" spans="1:14" s="49" customFormat="1" ht="15.75" customHeight="1" x14ac:dyDescent="0.25">
      <c r="A251" s="19">
        <v>1</v>
      </c>
      <c r="B251" s="19" t="s">
        <v>191</v>
      </c>
      <c r="C251" s="19" t="s">
        <v>169</v>
      </c>
      <c r="D251" s="51">
        <f>(9.74)*10.764</f>
        <v>104.84135999999999</v>
      </c>
      <c r="E251" s="19">
        <v>0</v>
      </c>
      <c r="F251" s="19">
        <f>D251*(($F$203)+1)+(IF(E251&lt;101,E251,IF(E251&lt;201,E251/2,IF(E251&lt;=301,E251/3,E251/4))))</f>
        <v>167.74617599999999</v>
      </c>
      <c r="G251" s="103" t="str">
        <f>A250</f>
        <v>Ground Floor for Commercial (Part Aminity Area)</v>
      </c>
      <c r="H251" s="104"/>
      <c r="I251" s="50"/>
      <c r="J251" s="50">
        <v>10.763999999999999</v>
      </c>
      <c r="L251" s="184"/>
      <c r="M251" s="184"/>
      <c r="N251" s="50"/>
    </row>
    <row r="252" spans="1:14" s="49" customFormat="1" ht="15.75" customHeight="1" x14ac:dyDescent="0.25">
      <c r="A252" s="19">
        <v>2</v>
      </c>
      <c r="B252" s="19" t="s">
        <v>191</v>
      </c>
      <c r="C252" s="19" t="s">
        <v>169</v>
      </c>
      <c r="D252" s="51">
        <f>(16.86)*10.764</f>
        <v>181.48103999999998</v>
      </c>
      <c r="E252" s="19">
        <v>0</v>
      </c>
      <c r="F252" s="19">
        <f t="shared" ref="F252:F260" si="18">D252*(($F$203)+1)+(IF(E252&lt;101,E252,IF(E252&lt;201,E252/2,IF(E252&lt;=301,E252/3,E252/4))))</f>
        <v>290.369664</v>
      </c>
      <c r="G252" s="105"/>
      <c r="H252" s="106"/>
      <c r="I252" s="50"/>
      <c r="L252" s="184"/>
      <c r="M252" s="184"/>
      <c r="N252" s="50"/>
    </row>
    <row r="253" spans="1:14" s="49" customFormat="1" ht="15.75" customHeight="1" x14ac:dyDescent="0.25">
      <c r="A253" s="19">
        <v>3</v>
      </c>
      <c r="B253" s="19" t="s">
        <v>191</v>
      </c>
      <c r="C253" s="19" t="s">
        <v>169</v>
      </c>
      <c r="D253" s="51">
        <f>(12.16)*10.764</f>
        <v>130.89024000000001</v>
      </c>
      <c r="E253" s="19">
        <v>0</v>
      </c>
      <c r="F253" s="19">
        <f t="shared" si="18"/>
        <v>209.42438400000003</v>
      </c>
      <c r="G253" s="105"/>
      <c r="H253" s="106"/>
      <c r="I253" s="50"/>
      <c r="L253" s="184"/>
      <c r="M253" s="184"/>
      <c r="N253" s="50"/>
    </row>
    <row r="254" spans="1:14" s="49" customFormat="1" ht="15.75" customHeight="1" x14ac:dyDescent="0.25">
      <c r="A254" s="19">
        <v>4</v>
      </c>
      <c r="B254" s="19" t="s">
        <v>191</v>
      </c>
      <c r="C254" s="19" t="s">
        <v>169</v>
      </c>
      <c r="D254" s="51">
        <f>(9.4)*10.764</f>
        <v>101.1816</v>
      </c>
      <c r="E254" s="19">
        <v>0</v>
      </c>
      <c r="F254" s="19">
        <f t="shared" si="18"/>
        <v>161.89056000000002</v>
      </c>
      <c r="G254" s="105"/>
      <c r="H254" s="106"/>
      <c r="I254" s="50"/>
      <c r="L254" s="184"/>
      <c r="M254" s="184"/>
      <c r="N254" s="50"/>
    </row>
    <row r="255" spans="1:14" s="49" customFormat="1" ht="15.75" customHeight="1" x14ac:dyDescent="0.25">
      <c r="A255" s="19">
        <v>5</v>
      </c>
      <c r="B255" s="19" t="s">
        <v>191</v>
      </c>
      <c r="C255" s="19" t="s">
        <v>169</v>
      </c>
      <c r="D255" s="51">
        <f>(19.1)*10.764</f>
        <v>205.5924</v>
      </c>
      <c r="E255" s="19">
        <v>0</v>
      </c>
      <c r="F255" s="19">
        <f t="shared" si="18"/>
        <v>328.94784000000004</v>
      </c>
      <c r="G255" s="105"/>
      <c r="H255" s="106"/>
      <c r="I255" s="50"/>
      <c r="L255" s="184"/>
      <c r="M255" s="184"/>
      <c r="N255" s="50"/>
    </row>
    <row r="256" spans="1:14" s="49" customFormat="1" ht="15.75" customHeight="1" x14ac:dyDescent="0.25">
      <c r="A256" s="19">
        <v>6</v>
      </c>
      <c r="B256" s="19" t="s">
        <v>191</v>
      </c>
      <c r="C256" s="19" t="s">
        <v>169</v>
      </c>
      <c r="D256" s="51">
        <f>(9.34)*10.764</f>
        <v>100.53576</v>
      </c>
      <c r="E256" s="19">
        <v>0</v>
      </c>
      <c r="F256" s="19">
        <f t="shared" si="18"/>
        <v>160.85721599999999</v>
      </c>
      <c r="G256" s="105"/>
      <c r="H256" s="106"/>
      <c r="I256" s="50"/>
      <c r="L256" s="184"/>
      <c r="M256" s="184"/>
      <c r="N256" s="50"/>
    </row>
    <row r="257" spans="1:14" s="49" customFormat="1" ht="15.75" customHeight="1" x14ac:dyDescent="0.25">
      <c r="A257" s="19">
        <v>7</v>
      </c>
      <c r="B257" s="19" t="s">
        <v>191</v>
      </c>
      <c r="C257" s="19" t="s">
        <v>169</v>
      </c>
      <c r="D257" s="51">
        <f>(13.54)*10.764</f>
        <v>145.74455999999998</v>
      </c>
      <c r="E257" s="19">
        <v>0</v>
      </c>
      <c r="F257" s="19">
        <f t="shared" si="18"/>
        <v>233.19129599999997</v>
      </c>
      <c r="G257" s="105"/>
      <c r="H257" s="106"/>
      <c r="I257" s="50"/>
      <c r="L257" s="184"/>
      <c r="M257" s="184"/>
      <c r="N257" s="50"/>
    </row>
    <row r="258" spans="1:14" s="49" customFormat="1" ht="15.75" customHeight="1" x14ac:dyDescent="0.25">
      <c r="A258" s="19">
        <v>8</v>
      </c>
      <c r="B258" s="19" t="s">
        <v>191</v>
      </c>
      <c r="C258" s="19" t="s">
        <v>169</v>
      </c>
      <c r="D258" s="51">
        <f>(12.65)*10.764</f>
        <v>136.16460000000001</v>
      </c>
      <c r="E258" s="19">
        <v>0</v>
      </c>
      <c r="F258" s="19">
        <f t="shared" si="18"/>
        <v>217.86336000000003</v>
      </c>
      <c r="G258" s="105"/>
      <c r="H258" s="106"/>
      <c r="I258" s="50"/>
      <c r="L258" s="184"/>
      <c r="M258" s="184"/>
      <c r="N258" s="50"/>
    </row>
    <row r="259" spans="1:14" s="49" customFormat="1" ht="15.75" customHeight="1" x14ac:dyDescent="0.25">
      <c r="A259" s="19">
        <v>9</v>
      </c>
      <c r="B259" s="19" t="s">
        <v>191</v>
      </c>
      <c r="C259" s="19" t="s">
        <v>169</v>
      </c>
      <c r="D259" s="51">
        <f>(9.32)*10.764</f>
        <v>100.32048</v>
      </c>
      <c r="E259" s="19">
        <v>0</v>
      </c>
      <c r="F259" s="19">
        <f t="shared" si="18"/>
        <v>160.51276800000002</v>
      </c>
      <c r="G259" s="105"/>
      <c r="H259" s="106"/>
      <c r="I259" s="50"/>
      <c r="L259" s="184"/>
      <c r="M259" s="184"/>
      <c r="N259" s="50"/>
    </row>
    <row r="260" spans="1:14" s="49" customFormat="1" ht="15.75" customHeight="1" x14ac:dyDescent="0.25">
      <c r="A260" s="19">
        <v>10</v>
      </c>
      <c r="B260" s="19" t="s">
        <v>191</v>
      </c>
      <c r="C260" s="19" t="s">
        <v>169</v>
      </c>
      <c r="D260" s="51">
        <f>(16.76)*10.764</f>
        <v>180.40464</v>
      </c>
      <c r="E260" s="19">
        <v>0</v>
      </c>
      <c r="F260" s="19">
        <f t="shared" si="18"/>
        <v>288.647424</v>
      </c>
      <c r="G260" s="105"/>
      <c r="H260" s="106"/>
      <c r="I260" s="50"/>
      <c r="L260" s="184"/>
      <c r="M260" s="184"/>
      <c r="N260" s="50"/>
    </row>
    <row r="261" spans="1:14" s="49" customFormat="1" ht="15.75" customHeight="1" x14ac:dyDescent="0.25">
      <c r="A261" s="19">
        <v>11</v>
      </c>
      <c r="B261" s="19" t="s">
        <v>191</v>
      </c>
      <c r="C261" s="19" t="s">
        <v>169</v>
      </c>
      <c r="D261" s="51">
        <f>(22.13)*10.764</f>
        <v>238.20731999999998</v>
      </c>
      <c r="E261" s="19">
        <v>0</v>
      </c>
      <c r="F261" s="19">
        <f>D261*(($F$203)+1)+(IF(E261&lt;101,E261,IF(E261&lt;201,E261/2,IF(E261&lt;=301,E261/3,E261/4))))</f>
        <v>381.13171199999999</v>
      </c>
      <c r="G261" s="105"/>
      <c r="H261" s="106"/>
      <c r="I261" s="50"/>
      <c r="L261" s="184"/>
      <c r="M261" s="184"/>
      <c r="N261" s="50"/>
    </row>
    <row r="262" spans="1:14" s="49" customFormat="1" ht="15.75" customHeight="1" x14ac:dyDescent="0.25">
      <c r="A262" s="19">
        <v>12</v>
      </c>
      <c r="B262" s="19" t="s">
        <v>191</v>
      </c>
      <c r="C262" s="19" t="s">
        <v>169</v>
      </c>
      <c r="D262" s="51">
        <f>(8.99)*10.764</f>
        <v>96.768360000000001</v>
      </c>
      <c r="E262" s="19">
        <v>0</v>
      </c>
      <c r="F262" s="19">
        <f t="shared" ref="F262:F270" si="19">D262*(($F$203)+1)+(IF(E262&lt;101,E262,IF(E262&lt;201,E262/2,IF(E262&lt;=301,E262/3,E262/4))))</f>
        <v>154.82937600000002</v>
      </c>
      <c r="G262" s="105"/>
      <c r="H262" s="106"/>
      <c r="I262" s="50"/>
      <c r="L262" s="184"/>
      <c r="M262" s="184"/>
      <c r="N262" s="50"/>
    </row>
    <row r="263" spans="1:14" s="49" customFormat="1" ht="15.75" customHeight="1" x14ac:dyDescent="0.25">
      <c r="A263" s="20">
        <v>13</v>
      </c>
      <c r="B263" s="20" t="s">
        <v>190</v>
      </c>
      <c r="C263" s="19" t="s">
        <v>169</v>
      </c>
      <c r="D263" s="51">
        <f>(17.95)*10.764</f>
        <v>193.21379999999999</v>
      </c>
      <c r="E263" s="19">
        <v>0</v>
      </c>
      <c r="F263" s="19">
        <f t="shared" si="19"/>
        <v>309.14208000000002</v>
      </c>
      <c r="G263" s="105"/>
      <c r="H263" s="106"/>
      <c r="I263" s="50"/>
      <c r="L263" s="184"/>
      <c r="M263" s="184"/>
      <c r="N263" s="50"/>
    </row>
    <row r="264" spans="1:14" s="49" customFormat="1" ht="15.75" customHeight="1" x14ac:dyDescent="0.25">
      <c r="A264" s="19">
        <v>14</v>
      </c>
      <c r="B264" s="19" t="s">
        <v>191</v>
      </c>
      <c r="C264" s="19" t="s">
        <v>169</v>
      </c>
      <c r="D264" s="51">
        <f>(9.35)*10.764</f>
        <v>100.64339999999999</v>
      </c>
      <c r="E264" s="19">
        <v>0</v>
      </c>
      <c r="F264" s="19">
        <f t="shared" si="19"/>
        <v>161.02943999999999</v>
      </c>
      <c r="G264" s="105"/>
      <c r="H264" s="106"/>
      <c r="I264" s="50"/>
      <c r="L264" s="184"/>
      <c r="M264" s="184"/>
      <c r="N264" s="50"/>
    </row>
    <row r="265" spans="1:14" s="49" customFormat="1" ht="15.75" customHeight="1" x14ac:dyDescent="0.25">
      <c r="A265" s="20">
        <v>15</v>
      </c>
      <c r="B265" s="20" t="s">
        <v>190</v>
      </c>
      <c r="C265" s="19" t="s">
        <v>169</v>
      </c>
      <c r="D265" s="51">
        <f>(9.45)*10.764</f>
        <v>101.71979999999999</v>
      </c>
      <c r="E265" s="19">
        <v>0</v>
      </c>
      <c r="F265" s="19">
        <f t="shared" si="19"/>
        <v>162.75167999999999</v>
      </c>
      <c r="G265" s="105"/>
      <c r="H265" s="106"/>
      <c r="I265" s="50"/>
      <c r="L265" s="184"/>
      <c r="M265" s="184"/>
      <c r="N265" s="50"/>
    </row>
    <row r="266" spans="1:14" s="49" customFormat="1" ht="15.75" customHeight="1" x14ac:dyDescent="0.25">
      <c r="A266" s="19">
        <v>16</v>
      </c>
      <c r="B266" s="19" t="s">
        <v>191</v>
      </c>
      <c r="C266" s="19" t="s">
        <v>169</v>
      </c>
      <c r="D266" s="51">
        <f>(17.1)*10.764</f>
        <v>184.06440000000001</v>
      </c>
      <c r="E266" s="19">
        <v>0</v>
      </c>
      <c r="F266" s="19">
        <f t="shared" si="19"/>
        <v>294.50304</v>
      </c>
      <c r="G266" s="105"/>
      <c r="H266" s="106"/>
      <c r="I266" s="50"/>
      <c r="L266" s="184"/>
      <c r="M266" s="184"/>
      <c r="N266" s="50"/>
    </row>
    <row r="267" spans="1:14" s="49" customFormat="1" ht="15.75" customHeight="1" x14ac:dyDescent="0.25">
      <c r="A267" s="19">
        <v>17</v>
      </c>
      <c r="B267" s="19" t="s">
        <v>191</v>
      </c>
      <c r="C267" s="19" t="s">
        <v>169</v>
      </c>
      <c r="D267" s="51">
        <f>(9.1)*10.764</f>
        <v>97.952399999999997</v>
      </c>
      <c r="E267" s="20">
        <v>0</v>
      </c>
      <c r="F267" s="19">
        <f t="shared" si="19"/>
        <v>156.72384</v>
      </c>
      <c r="G267" s="105"/>
      <c r="H267" s="106"/>
      <c r="I267" s="50"/>
      <c r="L267" s="184"/>
      <c r="M267" s="184"/>
      <c r="N267" s="50"/>
    </row>
    <row r="268" spans="1:14" s="49" customFormat="1" ht="15.75" customHeight="1" x14ac:dyDescent="0.25">
      <c r="A268" s="19">
        <v>18</v>
      </c>
      <c r="B268" s="19" t="s">
        <v>191</v>
      </c>
      <c r="C268" s="19" t="s">
        <v>169</v>
      </c>
      <c r="D268" s="51">
        <f>(9.38)*10.764</f>
        <v>100.96632</v>
      </c>
      <c r="E268" s="19">
        <v>0</v>
      </c>
      <c r="F268" s="19">
        <f t="shared" si="19"/>
        <v>161.54611199999999</v>
      </c>
      <c r="G268" s="105"/>
      <c r="H268" s="106"/>
      <c r="I268" s="50"/>
      <c r="L268" s="184"/>
      <c r="M268" s="184"/>
      <c r="N268" s="50"/>
    </row>
    <row r="269" spans="1:14" s="49" customFormat="1" ht="15.75" customHeight="1" x14ac:dyDescent="0.25">
      <c r="A269" s="19">
        <v>19</v>
      </c>
      <c r="B269" s="19" t="s">
        <v>191</v>
      </c>
      <c r="C269" s="19" t="s">
        <v>169</v>
      </c>
      <c r="D269" s="51">
        <f>(11.95)*10.764</f>
        <v>128.62979999999999</v>
      </c>
      <c r="E269" s="19">
        <v>0</v>
      </c>
      <c r="F269" s="19">
        <f t="shared" si="19"/>
        <v>205.80768</v>
      </c>
      <c r="G269" s="105"/>
      <c r="H269" s="106"/>
      <c r="I269" s="50"/>
      <c r="L269" s="184"/>
      <c r="M269" s="184"/>
      <c r="N269" s="50"/>
    </row>
    <row r="270" spans="1:14" s="49" customFormat="1" ht="15.75" customHeight="1" x14ac:dyDescent="0.25">
      <c r="A270" s="19">
        <v>20</v>
      </c>
      <c r="B270" s="19" t="s">
        <v>191</v>
      </c>
      <c r="C270" s="19" t="s">
        <v>169</v>
      </c>
      <c r="D270" s="51">
        <f>(10.07)*10.764</f>
        <v>108.39348</v>
      </c>
      <c r="E270" s="19">
        <v>0</v>
      </c>
      <c r="F270" s="19">
        <f t="shared" si="19"/>
        <v>173.42956800000002</v>
      </c>
      <c r="G270" s="105"/>
      <c r="H270" s="106"/>
      <c r="I270" s="50"/>
      <c r="L270" s="184"/>
      <c r="M270" s="184"/>
      <c r="N270" s="50"/>
    </row>
    <row r="271" spans="1:14" s="49" customFormat="1" ht="15.75" customHeight="1" x14ac:dyDescent="0.25">
      <c r="A271" s="19">
        <v>21</v>
      </c>
      <c r="B271" s="19" t="s">
        <v>191</v>
      </c>
      <c r="C271" s="19" t="s">
        <v>169</v>
      </c>
      <c r="D271" s="51">
        <f>(9.29)*10.764</f>
        <v>99.997559999999979</v>
      </c>
      <c r="E271" s="19">
        <v>0</v>
      </c>
      <c r="F271" s="19">
        <f t="shared" ref="F271:F272" si="20">D271*(($F$203)+1)+(IF(E271&lt;101,E271,IF(E271&lt;201,E271/2,IF(E271&lt;=301,E271/3,E271/4))))</f>
        <v>159.99609599999997</v>
      </c>
      <c r="G271" s="105"/>
      <c r="H271" s="106"/>
      <c r="I271" s="50"/>
      <c r="L271" s="184"/>
      <c r="M271" s="184"/>
      <c r="N271" s="50"/>
    </row>
    <row r="272" spans="1:14" s="49" customFormat="1" ht="15.75" customHeight="1" x14ac:dyDescent="0.25">
      <c r="A272" s="19">
        <v>22</v>
      </c>
      <c r="B272" s="19" t="s">
        <v>191</v>
      </c>
      <c r="C272" s="19" t="s">
        <v>169</v>
      </c>
      <c r="D272" s="51">
        <f>(11.45)*10.764</f>
        <v>123.24779999999998</v>
      </c>
      <c r="E272" s="19">
        <v>0</v>
      </c>
      <c r="F272" s="19">
        <f t="shared" si="20"/>
        <v>197.19647999999998</v>
      </c>
      <c r="G272" s="105"/>
      <c r="H272" s="106"/>
      <c r="I272" s="50"/>
      <c r="L272" s="184"/>
      <c r="M272" s="184"/>
      <c r="N272" s="50"/>
    </row>
    <row r="273" spans="1:14" s="49" customFormat="1" ht="15.75" customHeight="1" x14ac:dyDescent="0.25">
      <c r="A273" s="19">
        <v>23</v>
      </c>
      <c r="B273" s="101" t="s">
        <v>273</v>
      </c>
      <c r="C273" s="115"/>
      <c r="D273" s="115"/>
      <c r="E273" s="115"/>
      <c r="F273" s="102"/>
      <c r="G273" s="107"/>
      <c r="H273" s="108"/>
      <c r="I273" s="50"/>
      <c r="L273" s="184"/>
      <c r="M273" s="184"/>
      <c r="N273" s="50"/>
    </row>
    <row r="274" spans="1:14" s="43" customFormat="1" x14ac:dyDescent="0.25">
      <c r="A274" s="166" t="s">
        <v>202</v>
      </c>
      <c r="B274" s="166"/>
      <c r="C274" s="166"/>
      <c r="D274" s="166"/>
      <c r="E274" s="166"/>
      <c r="F274" s="166"/>
      <c r="G274" s="166"/>
      <c r="H274" s="166"/>
    </row>
    <row r="275" spans="1:14" s="49" customFormat="1" x14ac:dyDescent="0.25">
      <c r="A275" s="118" t="s">
        <v>205</v>
      </c>
      <c r="B275" s="118"/>
      <c r="C275" s="118"/>
      <c r="D275" s="118"/>
      <c r="E275" s="118"/>
      <c r="F275" s="118"/>
      <c r="G275" s="118"/>
      <c r="H275" s="118"/>
      <c r="J275" s="50"/>
    </row>
    <row r="276" spans="1:14" s="49" customFormat="1" ht="15.75" customHeight="1" x14ac:dyDescent="0.25">
      <c r="A276" s="66">
        <v>1</v>
      </c>
      <c r="B276" s="160" t="s">
        <v>203</v>
      </c>
      <c r="C276" s="160"/>
      <c r="D276" s="160"/>
      <c r="E276" s="160"/>
      <c r="F276" s="160"/>
      <c r="G276" s="160" t="str">
        <f>A275</f>
        <v>Upper Ground Floor for Commercial</v>
      </c>
      <c r="H276" s="160"/>
      <c r="I276" s="50"/>
      <c r="J276" s="51">
        <v>10.763999999999999</v>
      </c>
      <c r="L276" s="184"/>
      <c r="M276" s="184"/>
      <c r="N276" s="50"/>
    </row>
    <row r="277" spans="1:14" s="49" customFormat="1" ht="15.75" customHeight="1" x14ac:dyDescent="0.25">
      <c r="A277" s="66">
        <v>2</v>
      </c>
      <c r="B277" s="160"/>
      <c r="C277" s="160"/>
      <c r="D277" s="160"/>
      <c r="E277" s="160"/>
      <c r="F277" s="160"/>
      <c r="G277" s="160"/>
      <c r="H277" s="160"/>
      <c r="I277" s="50"/>
      <c r="L277" s="184"/>
      <c r="M277" s="184"/>
      <c r="N277" s="50"/>
    </row>
    <row r="278" spans="1:14" s="49" customFormat="1" ht="15.75" customHeight="1" x14ac:dyDescent="0.25">
      <c r="A278" s="67">
        <v>3</v>
      </c>
      <c r="B278" s="67" t="s">
        <v>190</v>
      </c>
      <c r="C278" s="66" t="s">
        <v>169</v>
      </c>
      <c r="D278" s="51">
        <f>(18.71)*10.764</f>
        <v>201.39444</v>
      </c>
      <c r="E278" s="66">
        <v>0</v>
      </c>
      <c r="F278" s="66">
        <f t="shared" ref="F278:F279" si="21">D278*(($F$203)+1)+(IF(E278&lt;101,E278,IF(E278&lt;201,E278/2,IF(E278&lt;=301,E278/3,E278/4))))</f>
        <v>322.23110400000002</v>
      </c>
      <c r="G278" s="160"/>
      <c r="H278" s="160"/>
      <c r="I278" s="50"/>
      <c r="L278" s="184"/>
      <c r="M278" s="184"/>
      <c r="N278" s="50"/>
    </row>
    <row r="279" spans="1:14" s="49" customFormat="1" ht="15.75" customHeight="1" x14ac:dyDescent="0.25">
      <c r="A279" s="67">
        <v>4</v>
      </c>
      <c r="B279" s="67" t="s">
        <v>190</v>
      </c>
      <c r="C279" s="66" t="s">
        <v>169</v>
      </c>
      <c r="D279" s="51">
        <f>(11.79)*10.764</f>
        <v>126.90755999999999</v>
      </c>
      <c r="E279" s="66">
        <v>0</v>
      </c>
      <c r="F279" s="66">
        <f t="shared" si="21"/>
        <v>203.05209600000001</v>
      </c>
      <c r="G279" s="160"/>
      <c r="H279" s="160"/>
      <c r="I279" s="50"/>
      <c r="L279" s="184"/>
      <c r="M279" s="184"/>
      <c r="N279" s="50"/>
    </row>
    <row r="280" spans="1:14" s="49" customFormat="1" ht="15.75" customHeight="1" x14ac:dyDescent="0.25">
      <c r="A280" s="66">
        <v>6</v>
      </c>
      <c r="B280" s="66" t="s">
        <v>191</v>
      </c>
      <c r="C280" s="66" t="s">
        <v>169</v>
      </c>
      <c r="D280" s="51">
        <f>(19.14)*10.764</f>
        <v>206.02295999999998</v>
      </c>
      <c r="E280" s="66">
        <v>0</v>
      </c>
      <c r="F280" s="66">
        <f t="shared" ref="F280" si="22">D280*(($F$203)+1)+(IF(E280&lt;101,E280,IF(E280&lt;201,E280/2,IF(E280&lt;=301,E280/3,E280/4))))</f>
        <v>329.63673599999998</v>
      </c>
      <c r="G280" s="160"/>
      <c r="H280" s="160"/>
      <c r="I280" s="50"/>
      <c r="L280" s="184"/>
      <c r="M280" s="184"/>
      <c r="N280" s="50"/>
    </row>
    <row r="281" spans="1:14" s="49" customFormat="1" ht="15.75" customHeight="1" x14ac:dyDescent="0.25">
      <c r="A281" s="67">
        <v>7</v>
      </c>
      <c r="B281" s="67" t="s">
        <v>190</v>
      </c>
      <c r="C281" s="66" t="s">
        <v>169</v>
      </c>
      <c r="D281" s="51">
        <f>(9.82)*10.764</f>
        <v>105.70247999999999</v>
      </c>
      <c r="E281" s="66">
        <v>0</v>
      </c>
      <c r="F281" s="66">
        <f t="shared" ref="F281" si="23">D281*(($F$203)+1)+(IF(E281&lt;101,E281,IF(E281&lt;201,E281/2,IF(E281&lt;=301,E281/3,E281/4))))</f>
        <v>169.12396799999999</v>
      </c>
      <c r="G281" s="160"/>
      <c r="H281" s="160"/>
      <c r="I281" s="50"/>
      <c r="L281" s="184"/>
      <c r="M281" s="184"/>
      <c r="N281" s="50"/>
    </row>
    <row r="282" spans="1:14" s="49" customFormat="1" ht="15.75" customHeight="1" x14ac:dyDescent="0.25">
      <c r="A282" s="66">
        <v>8</v>
      </c>
      <c r="B282" s="160" t="s">
        <v>203</v>
      </c>
      <c r="C282" s="160"/>
      <c r="D282" s="160"/>
      <c r="E282" s="160"/>
      <c r="F282" s="160"/>
      <c r="G282" s="160"/>
      <c r="H282" s="160"/>
      <c r="I282" s="50"/>
      <c r="L282" s="184"/>
      <c r="M282" s="184"/>
      <c r="N282" s="50"/>
    </row>
    <row r="283" spans="1:14" s="49" customFormat="1" x14ac:dyDescent="0.25">
      <c r="A283" s="101"/>
      <c r="B283" s="115"/>
      <c r="C283" s="115"/>
      <c r="D283" s="115"/>
      <c r="E283" s="115"/>
      <c r="F283" s="115"/>
      <c r="G283" s="115"/>
      <c r="H283" s="102"/>
      <c r="I283" s="50"/>
      <c r="N283" s="50"/>
    </row>
    <row r="284" spans="1:14" ht="47.25" customHeight="1" x14ac:dyDescent="0.25">
      <c r="A284" s="123" t="s">
        <v>219</v>
      </c>
      <c r="B284" s="123" t="s">
        <v>122</v>
      </c>
      <c r="C284" s="116" t="s">
        <v>58</v>
      </c>
      <c r="D284" s="116" t="s">
        <v>59</v>
      </c>
      <c r="E284" s="161" t="s">
        <v>60</v>
      </c>
      <c r="F284" s="47" t="s">
        <v>151</v>
      </c>
      <c r="G284" s="123" t="s">
        <v>61</v>
      </c>
      <c r="H284" s="124"/>
      <c r="I284" s="50"/>
    </row>
    <row r="285" spans="1:14" s="49" customFormat="1" x14ac:dyDescent="0.25">
      <c r="A285" s="125"/>
      <c r="B285" s="125"/>
      <c r="C285" s="117"/>
      <c r="D285" s="117"/>
      <c r="E285" s="162"/>
      <c r="F285" s="48">
        <v>0.5</v>
      </c>
      <c r="G285" s="125"/>
      <c r="H285" s="126"/>
      <c r="I285" s="50"/>
    </row>
    <row r="286" spans="1:14" s="43" customFormat="1" x14ac:dyDescent="0.25">
      <c r="A286" s="128" t="s">
        <v>188</v>
      </c>
      <c r="B286" s="128"/>
      <c r="C286" s="128"/>
      <c r="D286" s="128"/>
      <c r="E286" s="128"/>
      <c r="F286" s="128"/>
      <c r="G286" s="128"/>
      <c r="H286" s="128"/>
    </row>
    <row r="287" spans="1:14" s="43" customFormat="1" x14ac:dyDescent="0.25">
      <c r="A287" s="200" t="s">
        <v>159</v>
      </c>
      <c r="B287" s="200"/>
      <c r="C287" s="200"/>
      <c r="D287" s="200"/>
      <c r="E287" s="200"/>
      <c r="F287" s="200"/>
      <c r="G287" s="200"/>
      <c r="H287" s="200"/>
    </row>
    <row r="288" spans="1:14" s="49" customFormat="1" x14ac:dyDescent="0.25">
      <c r="A288" s="118" t="s">
        <v>170</v>
      </c>
      <c r="B288" s="118"/>
      <c r="C288" s="118"/>
      <c r="D288" s="118"/>
      <c r="E288" s="118"/>
      <c r="F288" s="118"/>
      <c r="G288" s="118"/>
      <c r="H288" s="118"/>
      <c r="I288" s="50"/>
      <c r="L288" s="184"/>
      <c r="M288" s="184"/>
    </row>
    <row r="289" spans="1:14" s="49" customFormat="1" ht="15.75" customHeight="1" x14ac:dyDescent="0.25">
      <c r="A289" s="160">
        <v>1</v>
      </c>
      <c r="B289" s="160"/>
      <c r="C289" s="19" t="s">
        <v>171</v>
      </c>
      <c r="D289" s="19">
        <f>(45.46)*10.764</f>
        <v>489.33143999999999</v>
      </c>
      <c r="E289" s="19">
        <v>0</v>
      </c>
      <c r="F289" s="19">
        <f>D289*(($F$285)+1)+(IF(E289&lt;101,E289,IF(E289&lt;201,E289/2,IF(E289&lt;=301,E289/3,E289/4))))</f>
        <v>733.99716000000001</v>
      </c>
      <c r="G289" s="103" t="str">
        <f>A288</f>
        <v>1st &amp; 2nd Floor for Residential</v>
      </c>
      <c r="H289" s="104"/>
      <c r="I289" s="50"/>
      <c r="J289" s="52"/>
      <c r="N289" s="50"/>
    </row>
    <row r="290" spans="1:14" s="49" customFormat="1" ht="15.75" customHeight="1" x14ac:dyDescent="0.25">
      <c r="A290" s="160">
        <f>A289+1</f>
        <v>2</v>
      </c>
      <c r="B290" s="160"/>
      <c r="C290" s="19" t="s">
        <v>171</v>
      </c>
      <c r="D290" s="19">
        <f>(46.75)*10.764</f>
        <v>503.21699999999998</v>
      </c>
      <c r="E290" s="19">
        <v>0</v>
      </c>
      <c r="F290" s="19">
        <f>D290*(($F$285)+1)+(IF(E290&lt;101,E290,IF(E290&lt;201,E290/2,IF(E290&lt;=301,E290/3,E290/4))))</f>
        <v>754.82549999999992</v>
      </c>
      <c r="G290" s="105"/>
      <c r="H290" s="106"/>
      <c r="I290" s="50"/>
      <c r="N290" s="50"/>
    </row>
    <row r="291" spans="1:14" s="49" customFormat="1" ht="15.75" customHeight="1" x14ac:dyDescent="0.25">
      <c r="A291" s="160">
        <f>A290+1</f>
        <v>3</v>
      </c>
      <c r="B291" s="160"/>
      <c r="C291" s="19" t="s">
        <v>171</v>
      </c>
      <c r="D291" s="19">
        <f>(46.75)*10.764</f>
        <v>503.21699999999998</v>
      </c>
      <c r="E291" s="19">
        <v>0</v>
      </c>
      <c r="F291" s="19">
        <f>D291*(($F$285)+1)+(IF(E291&lt;101,E291,IF(E291&lt;201,E291/2,IF(E291&lt;=301,E291/3,E291/4))))</f>
        <v>754.82549999999992</v>
      </c>
      <c r="G291" s="107"/>
      <c r="H291" s="108"/>
      <c r="I291" s="50"/>
      <c r="N291" s="50"/>
    </row>
    <row r="292" spans="1:14" s="49" customFormat="1" ht="15.75" customHeight="1" x14ac:dyDescent="0.25">
      <c r="A292" s="112" t="s">
        <v>172</v>
      </c>
      <c r="B292" s="113"/>
      <c r="C292" s="113"/>
      <c r="D292" s="113"/>
      <c r="E292" s="113"/>
      <c r="F292" s="113"/>
      <c r="G292" s="113"/>
      <c r="H292" s="114"/>
      <c r="I292" s="50"/>
    </row>
    <row r="293" spans="1:14" s="49" customFormat="1" x14ac:dyDescent="0.25">
      <c r="A293" s="101">
        <v>1</v>
      </c>
      <c r="B293" s="102"/>
      <c r="C293" s="19" t="s">
        <v>171</v>
      </c>
      <c r="D293" s="51">
        <f>(45.46)*10.764</f>
        <v>489.33143999999999</v>
      </c>
      <c r="E293" s="19">
        <v>0</v>
      </c>
      <c r="F293" s="19">
        <f>D293*(($F$285)+1)+(IF(E293&lt;101,E293,IF(E293&lt;201,E293/2,IF(E293&lt;=301,E293/3,E293/4))))</f>
        <v>733.99716000000001</v>
      </c>
      <c r="G293" s="103" t="str">
        <f>A292</f>
        <v>3rd Floor</v>
      </c>
      <c r="H293" s="104"/>
      <c r="I293" s="50"/>
      <c r="K293" s="52"/>
    </row>
    <row r="294" spans="1:14" s="49" customFormat="1" x14ac:dyDescent="0.25">
      <c r="A294" s="101">
        <v>2</v>
      </c>
      <c r="B294" s="102"/>
      <c r="C294" s="19" t="s">
        <v>171</v>
      </c>
      <c r="D294" s="51">
        <f>(46.75)*10.764</f>
        <v>503.21699999999998</v>
      </c>
      <c r="E294" s="19">
        <v>0</v>
      </c>
      <c r="F294" s="19">
        <f>D294*(($F$285)+1)+(IF(E294&lt;101,E294,IF(E294&lt;201,E294/2,IF(E294&lt;=301,E294/3,E294/4))))</f>
        <v>754.82549999999992</v>
      </c>
      <c r="G294" s="105"/>
      <c r="H294" s="106"/>
      <c r="I294" s="50"/>
    </row>
    <row r="295" spans="1:14" s="49" customFormat="1" ht="15.75" customHeight="1" x14ac:dyDescent="0.25">
      <c r="A295" s="101">
        <v>3</v>
      </c>
      <c r="B295" s="102"/>
      <c r="C295" s="19" t="s">
        <v>171</v>
      </c>
      <c r="D295" s="51">
        <f>(46.75)*10.764</f>
        <v>503.21699999999998</v>
      </c>
      <c r="E295" s="19">
        <v>0</v>
      </c>
      <c r="F295" s="19">
        <f>D295*(($F$285)+1)+(IF(E295&lt;101,E295,IF(E295&lt;201,E295/2,IF(E295&lt;=301,E295/3,E295/4))))</f>
        <v>754.82549999999992</v>
      </c>
      <c r="G295" s="107"/>
      <c r="H295" s="108"/>
      <c r="I295" s="50"/>
    </row>
    <row r="296" spans="1:14" s="49" customFormat="1" x14ac:dyDescent="0.25">
      <c r="A296" s="112" t="s">
        <v>183</v>
      </c>
      <c r="B296" s="113"/>
      <c r="C296" s="113"/>
      <c r="D296" s="113"/>
      <c r="E296" s="113"/>
      <c r="F296" s="113"/>
      <c r="G296" s="113"/>
      <c r="H296" s="114"/>
      <c r="I296" s="50"/>
    </row>
    <row r="297" spans="1:14" s="49" customFormat="1" ht="15.75" customHeight="1" x14ac:dyDescent="0.25">
      <c r="A297" s="101">
        <v>1</v>
      </c>
      <c r="B297" s="102"/>
      <c r="C297" s="19" t="s">
        <v>171</v>
      </c>
      <c r="D297" s="19">
        <f>(45.46)*10.764</f>
        <v>489.33143999999999</v>
      </c>
      <c r="E297" s="19">
        <v>0</v>
      </c>
      <c r="F297" s="19">
        <f t="shared" ref="F297:F305" si="24">D297*(($F$285)+1)+(IF(E297&lt;101,E297,IF(E297&lt;201,E297/2,IF(E297&lt;=301,E297/3,E297/4))))</f>
        <v>733.99716000000001</v>
      </c>
      <c r="G297" s="103" t="str">
        <f>A296</f>
        <v>4th to 6th, 8th to 12th, 14th to 16th, 19th to 22nd, 24th to 27th Floor</v>
      </c>
      <c r="H297" s="104"/>
      <c r="I297" s="50"/>
    </row>
    <row r="298" spans="1:14" s="49" customFormat="1" ht="15.75" customHeight="1" x14ac:dyDescent="0.25">
      <c r="A298" s="101">
        <v>2</v>
      </c>
      <c r="B298" s="102"/>
      <c r="C298" s="19" t="s">
        <v>171</v>
      </c>
      <c r="D298" s="19">
        <f>(46.75)*10.764</f>
        <v>503.21699999999998</v>
      </c>
      <c r="E298" s="19">
        <v>0</v>
      </c>
      <c r="F298" s="19">
        <f t="shared" si="24"/>
        <v>754.82549999999992</v>
      </c>
      <c r="G298" s="105"/>
      <c r="H298" s="106"/>
      <c r="I298" s="50"/>
    </row>
    <row r="299" spans="1:14" s="49" customFormat="1" ht="15.75" customHeight="1" x14ac:dyDescent="0.25">
      <c r="A299" s="101">
        <v>3</v>
      </c>
      <c r="B299" s="102"/>
      <c r="C299" s="19" t="s">
        <v>171</v>
      </c>
      <c r="D299" s="19">
        <f>(46.75)*10.764</f>
        <v>503.21699999999998</v>
      </c>
      <c r="E299" s="19">
        <v>0</v>
      </c>
      <c r="F299" s="19">
        <f t="shared" si="24"/>
        <v>754.82549999999992</v>
      </c>
      <c r="G299" s="105"/>
      <c r="H299" s="106"/>
      <c r="I299" s="50">
        <f>7700000/F299</f>
        <v>10201.033218936032</v>
      </c>
    </row>
    <row r="300" spans="1:14" s="49" customFormat="1" ht="15.75" customHeight="1" x14ac:dyDescent="0.25">
      <c r="A300" s="101">
        <v>4</v>
      </c>
      <c r="B300" s="102"/>
      <c r="C300" s="19" t="s">
        <v>171</v>
      </c>
      <c r="D300" s="19">
        <f>(49.47)*10.764</f>
        <v>532.49507999999992</v>
      </c>
      <c r="E300" s="19">
        <v>0</v>
      </c>
      <c r="F300" s="19">
        <f t="shared" si="24"/>
        <v>798.74261999999987</v>
      </c>
      <c r="G300" s="105"/>
      <c r="H300" s="106"/>
      <c r="I300" s="50"/>
    </row>
    <row r="301" spans="1:14" s="49" customFormat="1" ht="15.75" customHeight="1" x14ac:dyDescent="0.25">
      <c r="A301" s="101">
        <v>5</v>
      </c>
      <c r="B301" s="102"/>
      <c r="C301" s="19" t="s">
        <v>171</v>
      </c>
      <c r="D301" s="19">
        <f>(49.62)*10.764</f>
        <v>534.10967999999991</v>
      </c>
      <c r="E301" s="19">
        <v>0</v>
      </c>
      <c r="F301" s="19">
        <f t="shared" si="24"/>
        <v>801.16451999999981</v>
      </c>
      <c r="G301" s="105"/>
      <c r="H301" s="106"/>
      <c r="I301" s="50"/>
    </row>
    <row r="302" spans="1:14" s="49" customFormat="1" ht="15.75" customHeight="1" x14ac:dyDescent="0.25">
      <c r="A302" s="101">
        <v>6</v>
      </c>
      <c r="B302" s="102"/>
      <c r="C302" s="19" t="s">
        <v>173</v>
      </c>
      <c r="D302" s="19">
        <f>(58.53)*10.764</f>
        <v>630.01692000000003</v>
      </c>
      <c r="E302" s="19">
        <v>0</v>
      </c>
      <c r="F302" s="19">
        <f t="shared" si="24"/>
        <v>945.02538000000004</v>
      </c>
      <c r="G302" s="105"/>
      <c r="H302" s="106"/>
      <c r="I302" s="50">
        <f>11700000/F302</f>
        <v>12380.619872875795</v>
      </c>
    </row>
    <row r="303" spans="1:14" s="49" customFormat="1" ht="15.75" customHeight="1" x14ac:dyDescent="0.25">
      <c r="A303" s="101">
        <v>7</v>
      </c>
      <c r="B303" s="102"/>
      <c r="C303" s="19" t="s">
        <v>173</v>
      </c>
      <c r="D303" s="19">
        <f>(58.5)*10.764</f>
        <v>629.69399999999996</v>
      </c>
      <c r="E303" s="19">
        <v>0</v>
      </c>
      <c r="F303" s="19">
        <f t="shared" si="24"/>
        <v>944.54099999999994</v>
      </c>
      <c r="G303" s="105"/>
      <c r="H303" s="106"/>
      <c r="I303" s="50"/>
    </row>
    <row r="304" spans="1:14" s="49" customFormat="1" ht="15.75" customHeight="1" x14ac:dyDescent="0.25">
      <c r="A304" s="101">
        <v>8</v>
      </c>
      <c r="B304" s="102"/>
      <c r="C304" s="19" t="s">
        <v>173</v>
      </c>
      <c r="D304" s="19">
        <f>(58.57)*10.764</f>
        <v>630.44747999999993</v>
      </c>
      <c r="E304" s="19">
        <v>0</v>
      </c>
      <c r="F304" s="19">
        <f t="shared" si="24"/>
        <v>945.67121999999995</v>
      </c>
      <c r="G304" s="105"/>
      <c r="H304" s="106"/>
      <c r="I304" s="50"/>
    </row>
    <row r="305" spans="1:9" s="49" customFormat="1" ht="15.75" customHeight="1" x14ac:dyDescent="0.25">
      <c r="A305" s="101">
        <v>9</v>
      </c>
      <c r="B305" s="102"/>
      <c r="C305" s="19" t="s">
        <v>173</v>
      </c>
      <c r="D305" s="19">
        <f>(59.68)*10.764</f>
        <v>642.39551999999992</v>
      </c>
      <c r="E305" s="19">
        <v>0</v>
      </c>
      <c r="F305" s="19">
        <f t="shared" si="24"/>
        <v>963.59327999999982</v>
      </c>
      <c r="G305" s="107"/>
      <c r="H305" s="108"/>
      <c r="I305" s="50"/>
    </row>
    <row r="306" spans="1:9" s="49" customFormat="1" x14ac:dyDescent="0.25">
      <c r="A306" s="112" t="s">
        <v>174</v>
      </c>
      <c r="B306" s="113"/>
      <c r="C306" s="113"/>
      <c r="D306" s="113"/>
      <c r="E306" s="113"/>
      <c r="F306" s="113"/>
      <c r="G306" s="113"/>
      <c r="H306" s="114"/>
      <c r="I306" s="50"/>
    </row>
    <row r="307" spans="1:9" s="49" customFormat="1" ht="15.75" customHeight="1" x14ac:dyDescent="0.25">
      <c r="A307" s="101">
        <v>1</v>
      </c>
      <c r="B307" s="102"/>
      <c r="C307" s="101" t="s">
        <v>175</v>
      </c>
      <c r="D307" s="115"/>
      <c r="E307" s="115"/>
      <c r="F307" s="102"/>
      <c r="G307" s="103" t="str">
        <f>A306</f>
        <v>7th, 13th, 18th, 23th (Part Refuge Area)</v>
      </c>
      <c r="H307" s="104"/>
      <c r="I307" s="50"/>
    </row>
    <row r="308" spans="1:9" s="49" customFormat="1" ht="15.75" customHeight="1" x14ac:dyDescent="0.25">
      <c r="A308" s="101">
        <v>2</v>
      </c>
      <c r="B308" s="102"/>
      <c r="C308" s="19" t="s">
        <v>171</v>
      </c>
      <c r="D308" s="19">
        <f>(46.75)*10.764</f>
        <v>503.21699999999998</v>
      </c>
      <c r="E308" s="19">
        <v>0</v>
      </c>
      <c r="F308" s="19">
        <f t="shared" ref="F308:F315" si="25">D308*(($F$285)+1)+(IF(E308&lt;101,E308,IF(E308&lt;201,E308/2,IF(E308&lt;=301,E308/3,E308/4))))</f>
        <v>754.82549999999992</v>
      </c>
      <c r="G308" s="105"/>
      <c r="H308" s="106"/>
      <c r="I308" s="50"/>
    </row>
    <row r="309" spans="1:9" s="49" customFormat="1" ht="15.75" customHeight="1" x14ac:dyDescent="0.25">
      <c r="A309" s="101">
        <v>3</v>
      </c>
      <c r="B309" s="102"/>
      <c r="C309" s="19" t="s">
        <v>171</v>
      </c>
      <c r="D309" s="19">
        <f>(46.75)*10.764</f>
        <v>503.21699999999998</v>
      </c>
      <c r="E309" s="19">
        <v>0</v>
      </c>
      <c r="F309" s="19">
        <f t="shared" si="25"/>
        <v>754.82549999999992</v>
      </c>
      <c r="G309" s="105"/>
      <c r="H309" s="106"/>
      <c r="I309" s="50"/>
    </row>
    <row r="310" spans="1:9" s="49" customFormat="1" ht="15.75" customHeight="1" x14ac:dyDescent="0.25">
      <c r="A310" s="101">
        <v>4</v>
      </c>
      <c r="B310" s="102"/>
      <c r="C310" s="19" t="s">
        <v>171</v>
      </c>
      <c r="D310" s="19">
        <f>(49.47)*10.764</f>
        <v>532.49507999999992</v>
      </c>
      <c r="E310" s="19">
        <v>0</v>
      </c>
      <c r="F310" s="19">
        <f t="shared" si="25"/>
        <v>798.74261999999987</v>
      </c>
      <c r="G310" s="105"/>
      <c r="H310" s="106"/>
      <c r="I310" s="50"/>
    </row>
    <row r="311" spans="1:9" s="49" customFormat="1" ht="15.75" customHeight="1" x14ac:dyDescent="0.25">
      <c r="A311" s="101">
        <v>5</v>
      </c>
      <c r="B311" s="102"/>
      <c r="C311" s="19" t="s">
        <v>171</v>
      </c>
      <c r="D311" s="19">
        <f>(49.62)*10.764</f>
        <v>534.10967999999991</v>
      </c>
      <c r="E311" s="19">
        <v>0</v>
      </c>
      <c r="F311" s="19">
        <f t="shared" si="25"/>
        <v>801.16451999999981</v>
      </c>
      <c r="G311" s="105"/>
      <c r="H311" s="106"/>
      <c r="I311" s="50"/>
    </row>
    <row r="312" spans="1:9" s="49" customFormat="1" ht="15.75" customHeight="1" x14ac:dyDescent="0.25">
      <c r="A312" s="101">
        <v>6</v>
      </c>
      <c r="B312" s="102"/>
      <c r="C312" s="19" t="s">
        <v>173</v>
      </c>
      <c r="D312" s="19">
        <f>(58.53)*10.764</f>
        <v>630.01692000000003</v>
      </c>
      <c r="E312" s="19">
        <v>0</v>
      </c>
      <c r="F312" s="19">
        <f t="shared" si="25"/>
        <v>945.02538000000004</v>
      </c>
      <c r="G312" s="105"/>
      <c r="H312" s="106"/>
      <c r="I312" s="50"/>
    </row>
    <row r="313" spans="1:9" s="49" customFormat="1" ht="15.75" customHeight="1" x14ac:dyDescent="0.25">
      <c r="A313" s="101">
        <v>7</v>
      </c>
      <c r="B313" s="102"/>
      <c r="C313" s="19" t="s">
        <v>173</v>
      </c>
      <c r="D313" s="19">
        <f>(58.5)*10.764</f>
        <v>629.69399999999996</v>
      </c>
      <c r="E313" s="19">
        <v>0</v>
      </c>
      <c r="F313" s="19">
        <f t="shared" si="25"/>
        <v>944.54099999999994</v>
      </c>
      <c r="G313" s="105"/>
      <c r="H313" s="106"/>
      <c r="I313" s="50"/>
    </row>
    <row r="314" spans="1:9" s="49" customFormat="1" ht="15.75" customHeight="1" x14ac:dyDescent="0.25">
      <c r="A314" s="101">
        <v>8</v>
      </c>
      <c r="B314" s="102"/>
      <c r="C314" s="19" t="s">
        <v>173</v>
      </c>
      <c r="D314" s="19">
        <f>(58.57)*10.764</f>
        <v>630.44747999999993</v>
      </c>
      <c r="E314" s="19">
        <v>0</v>
      </c>
      <c r="F314" s="19">
        <f t="shared" si="25"/>
        <v>945.67121999999995</v>
      </c>
      <c r="G314" s="105"/>
      <c r="H314" s="106"/>
      <c r="I314" s="50"/>
    </row>
    <row r="315" spans="1:9" s="49" customFormat="1" ht="15.75" customHeight="1" x14ac:dyDescent="0.25">
      <c r="A315" s="101">
        <v>9</v>
      </c>
      <c r="B315" s="102"/>
      <c r="C315" s="19" t="s">
        <v>173</v>
      </c>
      <c r="D315" s="19">
        <f>(59.68)*10.764</f>
        <v>642.39551999999992</v>
      </c>
      <c r="E315" s="19">
        <v>0</v>
      </c>
      <c r="F315" s="19">
        <f t="shared" si="25"/>
        <v>963.59327999999982</v>
      </c>
      <c r="G315" s="107"/>
      <c r="H315" s="108"/>
      <c r="I315" s="50"/>
    </row>
    <row r="316" spans="1:9" s="49" customFormat="1" x14ac:dyDescent="0.25">
      <c r="A316" s="118" t="s">
        <v>176</v>
      </c>
      <c r="B316" s="118"/>
      <c r="C316" s="118"/>
      <c r="D316" s="118"/>
      <c r="E316" s="118"/>
      <c r="F316" s="118"/>
      <c r="G316" s="118"/>
      <c r="H316" s="118"/>
      <c r="I316" s="50"/>
    </row>
    <row r="317" spans="1:9" s="49" customFormat="1" x14ac:dyDescent="0.25">
      <c r="A317" s="160">
        <v>1</v>
      </c>
      <c r="B317" s="160"/>
      <c r="C317" s="66" t="s">
        <v>171</v>
      </c>
      <c r="D317" s="66">
        <f>(45.46)*10.764</f>
        <v>489.33143999999999</v>
      </c>
      <c r="E317" s="66">
        <v>0</v>
      </c>
      <c r="F317" s="66">
        <f t="shared" ref="F317:F325" si="26">D317*(($F$285)+1)+(IF(E317&lt;101,E317,IF(E317&lt;201,E317/2,IF(E317&lt;=301,E317/3,E317/4))))</f>
        <v>733.99716000000001</v>
      </c>
      <c r="G317" s="160" t="str">
        <f>A316</f>
        <v>17th Floor</v>
      </c>
      <c r="H317" s="160"/>
      <c r="I317" s="50"/>
    </row>
    <row r="318" spans="1:9" s="49" customFormat="1" x14ac:dyDescent="0.25">
      <c r="A318" s="160">
        <v>2</v>
      </c>
      <c r="B318" s="160"/>
      <c r="C318" s="66" t="s">
        <v>171</v>
      </c>
      <c r="D318" s="66">
        <f>(46.75)*10.764</f>
        <v>503.21699999999998</v>
      </c>
      <c r="E318" s="66">
        <v>0</v>
      </c>
      <c r="F318" s="66">
        <f t="shared" si="26"/>
        <v>754.82549999999992</v>
      </c>
      <c r="G318" s="160"/>
      <c r="H318" s="160"/>
      <c r="I318" s="50"/>
    </row>
    <row r="319" spans="1:9" s="49" customFormat="1" x14ac:dyDescent="0.25">
      <c r="A319" s="160">
        <v>3</v>
      </c>
      <c r="B319" s="160"/>
      <c r="C319" s="66" t="s">
        <v>171</v>
      </c>
      <c r="D319" s="66">
        <f>(46.75)*10.764</f>
        <v>503.21699999999998</v>
      </c>
      <c r="E319" s="66">
        <v>0</v>
      </c>
      <c r="F319" s="66">
        <f t="shared" si="26"/>
        <v>754.82549999999992</v>
      </c>
      <c r="G319" s="160"/>
      <c r="H319" s="160"/>
      <c r="I319" s="50"/>
    </row>
    <row r="320" spans="1:9" s="49" customFormat="1" x14ac:dyDescent="0.25">
      <c r="A320" s="160">
        <v>4</v>
      </c>
      <c r="B320" s="160"/>
      <c r="C320" s="66" t="s">
        <v>171</v>
      </c>
      <c r="D320" s="66">
        <f>(49.47)*10.764</f>
        <v>532.49507999999992</v>
      </c>
      <c r="E320" s="66">
        <v>0</v>
      </c>
      <c r="F320" s="66">
        <f t="shared" si="26"/>
        <v>798.74261999999987</v>
      </c>
      <c r="G320" s="160"/>
      <c r="H320" s="160"/>
      <c r="I320" s="50"/>
    </row>
    <row r="321" spans="1:14" s="49" customFormat="1" x14ac:dyDescent="0.25">
      <c r="A321" s="160">
        <v>5</v>
      </c>
      <c r="B321" s="160"/>
      <c r="C321" s="66" t="s">
        <v>171</v>
      </c>
      <c r="D321" s="66">
        <f>(49.62)*10.764</f>
        <v>534.10967999999991</v>
      </c>
      <c r="E321" s="66">
        <v>0</v>
      </c>
      <c r="F321" s="66">
        <f t="shared" si="26"/>
        <v>801.16451999999981</v>
      </c>
      <c r="G321" s="160"/>
      <c r="H321" s="160"/>
      <c r="I321" s="50"/>
    </row>
    <row r="322" spans="1:14" s="49" customFormat="1" x14ac:dyDescent="0.25">
      <c r="A322" s="160">
        <v>6</v>
      </c>
      <c r="B322" s="160"/>
      <c r="C322" s="66" t="s">
        <v>173</v>
      </c>
      <c r="D322" s="66">
        <f>(58.53)*10.764</f>
        <v>630.01692000000003</v>
      </c>
      <c r="E322" s="66">
        <v>0</v>
      </c>
      <c r="F322" s="66">
        <f t="shared" si="26"/>
        <v>945.02538000000004</v>
      </c>
      <c r="G322" s="160"/>
      <c r="H322" s="160"/>
      <c r="I322" s="50"/>
    </row>
    <row r="323" spans="1:14" s="49" customFormat="1" x14ac:dyDescent="0.25">
      <c r="A323" s="160">
        <v>7</v>
      </c>
      <c r="B323" s="160"/>
      <c r="C323" s="66" t="s">
        <v>173</v>
      </c>
      <c r="D323" s="66">
        <f>(58.5)*10.764</f>
        <v>629.69399999999996</v>
      </c>
      <c r="E323" s="66">
        <v>0</v>
      </c>
      <c r="F323" s="66">
        <f t="shared" si="26"/>
        <v>944.54099999999994</v>
      </c>
      <c r="G323" s="160"/>
      <c r="H323" s="160"/>
      <c r="I323" s="50"/>
    </row>
    <row r="324" spans="1:14" s="49" customFormat="1" x14ac:dyDescent="0.25">
      <c r="A324" s="160">
        <v>8</v>
      </c>
      <c r="B324" s="160"/>
      <c r="C324" s="66" t="s">
        <v>173</v>
      </c>
      <c r="D324" s="66">
        <f>(58.57)*10.764</f>
        <v>630.44747999999993</v>
      </c>
      <c r="E324" s="66">
        <v>0</v>
      </c>
      <c r="F324" s="66">
        <f t="shared" si="26"/>
        <v>945.67121999999995</v>
      </c>
      <c r="G324" s="160"/>
      <c r="H324" s="160"/>
      <c r="I324" s="50"/>
    </row>
    <row r="325" spans="1:14" s="49" customFormat="1" x14ac:dyDescent="0.25">
      <c r="A325" s="160">
        <v>9</v>
      </c>
      <c r="B325" s="160"/>
      <c r="C325" s="66" t="s">
        <v>173</v>
      </c>
      <c r="D325" s="66">
        <f>(59.68)*10.764</f>
        <v>642.39551999999992</v>
      </c>
      <c r="E325" s="66">
        <v>0</v>
      </c>
      <c r="F325" s="66">
        <f t="shared" si="26"/>
        <v>963.59327999999982</v>
      </c>
      <c r="G325" s="160"/>
      <c r="H325" s="160"/>
      <c r="I325" s="50"/>
    </row>
    <row r="326" spans="1:14" s="43" customFormat="1" x14ac:dyDescent="0.25">
      <c r="A326" s="127" t="s">
        <v>178</v>
      </c>
      <c r="B326" s="127"/>
      <c r="C326" s="127"/>
      <c r="D326" s="127"/>
      <c r="E326" s="127"/>
      <c r="F326" s="127"/>
      <c r="G326" s="127"/>
      <c r="H326" s="127"/>
    </row>
    <row r="327" spans="1:14" s="43" customFormat="1" x14ac:dyDescent="0.25">
      <c r="A327" s="127" t="s">
        <v>179</v>
      </c>
      <c r="B327" s="127"/>
      <c r="C327" s="127"/>
      <c r="D327" s="127"/>
      <c r="E327" s="127"/>
      <c r="F327" s="127"/>
      <c r="G327" s="127"/>
      <c r="H327" s="127"/>
    </row>
    <row r="328" spans="1:14" s="43" customFormat="1" x14ac:dyDescent="0.25">
      <c r="A328" s="200" t="s">
        <v>202</v>
      </c>
      <c r="B328" s="200"/>
      <c r="C328" s="200"/>
      <c r="D328" s="200"/>
      <c r="E328" s="200"/>
      <c r="F328" s="200"/>
      <c r="G328" s="200"/>
      <c r="H328" s="200"/>
    </row>
    <row r="329" spans="1:14" s="49" customFormat="1" x14ac:dyDescent="0.25">
      <c r="A329" s="118" t="s">
        <v>249</v>
      </c>
      <c r="B329" s="118"/>
      <c r="C329" s="118"/>
      <c r="D329" s="118"/>
      <c r="E329" s="118"/>
      <c r="F329" s="118"/>
      <c r="G329" s="118"/>
      <c r="H329" s="118"/>
      <c r="I329" s="50"/>
      <c r="L329" s="184"/>
      <c r="M329" s="184"/>
    </row>
    <row r="330" spans="1:14" s="49" customFormat="1" ht="39" customHeight="1" x14ac:dyDescent="0.25">
      <c r="A330" s="118" t="s">
        <v>250</v>
      </c>
      <c r="B330" s="118"/>
      <c r="C330" s="118"/>
      <c r="D330" s="118"/>
      <c r="E330" s="118"/>
      <c r="F330" s="118"/>
      <c r="G330" s="118"/>
      <c r="H330" s="118"/>
      <c r="I330" s="62">
        <f>2+3+3+4+4+1+1+1+1</f>
        <v>20</v>
      </c>
      <c r="L330" s="184"/>
      <c r="M330" s="184"/>
    </row>
    <row r="331" spans="1:14" s="49" customFormat="1" ht="15.75" customHeight="1" x14ac:dyDescent="0.25">
      <c r="A331" s="160">
        <v>1</v>
      </c>
      <c r="B331" s="160"/>
      <c r="C331" s="19" t="s">
        <v>251</v>
      </c>
      <c r="D331" s="51">
        <f>(91.2+4.54)*(10.764)</f>
        <v>1030.5453600000001</v>
      </c>
      <c r="E331" s="19">
        <v>0</v>
      </c>
      <c r="F331" s="19">
        <f>D331*(($F$285)+1)+(IF(E331&lt;101,E331,IF(E331&lt;201,E331/2,IF(E331&lt;=301,E331/3,E331/4))))</f>
        <v>1545.8180400000001</v>
      </c>
      <c r="G331" s="103" t="str">
        <f>A330</f>
        <v>5th, 6th, 8th to 10th, 12th to 14th, 17th to 20th, 22nd to 25th, 
27th, 30th, 32nd &amp; 33rd Floor For Residential</v>
      </c>
      <c r="H331" s="104"/>
      <c r="I331" s="50">
        <f>4.54*3+2.45*3.08+2.55*3.1+3.05*3.95+3.45*3.74+3.28*3.75+1.33*2.28+2.35*1.38+2.45*1.45+4.6*1.1+0.9*1.45+0.9*1.38</f>
        <v>83.756399999999999</v>
      </c>
      <c r="J331" s="60">
        <f>3*1+2.45*1</f>
        <v>5.45</v>
      </c>
      <c r="K331" s="51">
        <f>10.764</f>
        <v>10.763999999999999</v>
      </c>
      <c r="N331" s="50"/>
    </row>
    <row r="332" spans="1:14" s="49" customFormat="1" ht="15.75" customHeight="1" x14ac:dyDescent="0.25">
      <c r="A332" s="160">
        <f>A331+1</f>
        <v>2</v>
      </c>
      <c r="B332" s="160"/>
      <c r="C332" s="19" t="s">
        <v>251</v>
      </c>
      <c r="D332" s="51">
        <f>(88.39+4.31)*(10.764)</f>
        <v>997.82279999999992</v>
      </c>
      <c r="E332" s="19">
        <v>0</v>
      </c>
      <c r="F332" s="19">
        <f>D332*(($F$285)+1)+(IF(E332&lt;101,E332,IF(E332&lt;201,E332/2,IF(E332&lt;=301,E332/3,E332/4))))</f>
        <v>1496.7341999999999</v>
      </c>
      <c r="G332" s="105"/>
      <c r="H332" s="106"/>
      <c r="I332" s="50">
        <f>1.5*2.26+3.2*5.95+3.5*3.93+1.52*2.45+0.9*2.45+2.35*3.05+3.55*3+2.25*1.25+3.15*3.28+1.4*2.25+1.6*1+2.55*3</f>
        <v>85.475999999999999</v>
      </c>
      <c r="J332" s="49">
        <f>3.2+1.7</f>
        <v>4.9000000000000004</v>
      </c>
      <c r="N332" s="50"/>
    </row>
    <row r="333" spans="1:14" s="49" customFormat="1" ht="15.75" customHeight="1" x14ac:dyDescent="0.25">
      <c r="A333" s="160">
        <f>A332+1</f>
        <v>3</v>
      </c>
      <c r="B333" s="160"/>
      <c r="C333" s="19" t="s">
        <v>251</v>
      </c>
      <c r="D333" s="51">
        <f>(87.77+4.36)*(10.764)</f>
        <v>991.68731999999989</v>
      </c>
      <c r="E333" s="19">
        <v>0</v>
      </c>
      <c r="F333" s="19">
        <f>D333*(($F$285)+1)+(IF(E333&lt;101,E333,IF(E333&lt;201,E333/2,IF(E333&lt;=301,E333/3,E333/4))))</f>
        <v>1487.5309799999998</v>
      </c>
      <c r="G333" s="105"/>
      <c r="H333" s="106"/>
      <c r="I333" s="50"/>
      <c r="N333" s="50"/>
    </row>
    <row r="334" spans="1:14" s="49" customFormat="1" ht="15.75" customHeight="1" x14ac:dyDescent="0.25">
      <c r="A334" s="160">
        <f t="shared" ref="A334:A339" si="27">A333+1</f>
        <v>4</v>
      </c>
      <c r="B334" s="160"/>
      <c r="C334" s="19" t="s">
        <v>251</v>
      </c>
      <c r="D334" s="51">
        <f>(87.46+4.36)*(10.764)</f>
        <v>988.35047999999983</v>
      </c>
      <c r="E334" s="19">
        <v>0</v>
      </c>
      <c r="F334" s="19">
        <f t="shared" ref="F334:F340" si="28">D334*(($F$285)+1)+(IF(E334&lt;101,E334,IF(E334&lt;201,E334/2,IF(E334&lt;=301,E334/3,E334/4))))</f>
        <v>1482.5257199999996</v>
      </c>
      <c r="G334" s="105"/>
      <c r="H334" s="106"/>
      <c r="I334" s="50">
        <f>6.65*3.2+3.05*2.35+3.05*3.3+3.46*3.93+3.65*3.24+2.4*1.4+2.4*1.55+1.4*2.24+1.8*1.5+2.5*0.7+1*4.2+0.9*1.5</f>
        <v>84.152299999999997</v>
      </c>
      <c r="N334" s="50"/>
    </row>
    <row r="335" spans="1:14" s="49" customFormat="1" ht="15.75" customHeight="1" x14ac:dyDescent="0.25">
      <c r="A335" s="160">
        <f t="shared" si="27"/>
        <v>5</v>
      </c>
      <c r="B335" s="160"/>
      <c r="C335" s="19" t="s">
        <v>173</v>
      </c>
      <c r="D335" s="51">
        <f>(60.73+4.04)*(10.764)</f>
        <v>697.18427999999994</v>
      </c>
      <c r="E335" s="19">
        <v>0</v>
      </c>
      <c r="F335" s="19">
        <f t="shared" si="28"/>
        <v>1045.7764199999999</v>
      </c>
      <c r="G335" s="105"/>
      <c r="H335" s="106"/>
      <c r="I335" s="50"/>
      <c r="N335" s="50"/>
    </row>
    <row r="336" spans="1:14" s="49" customFormat="1" ht="15.75" customHeight="1" x14ac:dyDescent="0.25">
      <c r="A336" s="160">
        <f t="shared" si="27"/>
        <v>6</v>
      </c>
      <c r="B336" s="160"/>
      <c r="C336" s="19" t="s">
        <v>173</v>
      </c>
      <c r="D336" s="51">
        <f>(60.91+3.91)*(10.764)</f>
        <v>697.7224799999999</v>
      </c>
      <c r="E336" s="19">
        <v>0</v>
      </c>
      <c r="F336" s="19">
        <f t="shared" si="28"/>
        <v>1046.5837199999999</v>
      </c>
      <c r="G336" s="105"/>
      <c r="H336" s="106"/>
      <c r="I336" s="50"/>
      <c r="N336" s="50"/>
    </row>
    <row r="337" spans="1:14" s="49" customFormat="1" ht="15.75" customHeight="1" x14ac:dyDescent="0.25">
      <c r="A337" s="160">
        <f t="shared" si="27"/>
        <v>7</v>
      </c>
      <c r="B337" s="160"/>
      <c r="C337" s="19" t="s">
        <v>173</v>
      </c>
      <c r="D337" s="51">
        <f>(56.83+4.26)*(10.764)</f>
        <v>657.5727599999999</v>
      </c>
      <c r="E337" s="19">
        <v>0</v>
      </c>
      <c r="F337" s="19">
        <f t="shared" si="28"/>
        <v>986.3591399999998</v>
      </c>
      <c r="G337" s="105"/>
      <c r="H337" s="106"/>
      <c r="I337" s="50">
        <f>6.19*3.05+2.46*2.18+2.46*2.18+3.03*3.11+0.6*1.82+2.21*1.4+2.21*1.4+4</f>
        <v>50.308399999999999</v>
      </c>
      <c r="N337" s="50"/>
    </row>
    <row r="338" spans="1:14" s="49" customFormat="1" ht="15.75" customHeight="1" x14ac:dyDescent="0.25">
      <c r="A338" s="160">
        <f t="shared" si="27"/>
        <v>8</v>
      </c>
      <c r="B338" s="160"/>
      <c r="C338" s="19" t="s">
        <v>173</v>
      </c>
      <c r="D338" s="51">
        <f>(56.63+4.26)*(10.764)</f>
        <v>655.41995999999995</v>
      </c>
      <c r="E338" s="19">
        <v>0</v>
      </c>
      <c r="F338" s="19">
        <f t="shared" si="28"/>
        <v>983.12993999999992</v>
      </c>
      <c r="G338" s="105"/>
      <c r="H338" s="106"/>
      <c r="I338" s="50"/>
      <c r="N338" s="50"/>
    </row>
    <row r="339" spans="1:14" s="49" customFormat="1" ht="15.75" customHeight="1" x14ac:dyDescent="0.25">
      <c r="A339" s="160">
        <f t="shared" si="27"/>
        <v>9</v>
      </c>
      <c r="B339" s="160"/>
      <c r="C339" s="19" t="s">
        <v>173</v>
      </c>
      <c r="D339" s="51">
        <f>(57.76+4.26)*(10.764)</f>
        <v>667.58327999999995</v>
      </c>
      <c r="E339" s="19">
        <v>0</v>
      </c>
      <c r="F339" s="19">
        <f t="shared" si="28"/>
        <v>1001.37492</v>
      </c>
      <c r="G339" s="105"/>
      <c r="H339" s="106"/>
      <c r="I339" s="50"/>
      <c r="N339" s="50"/>
    </row>
    <row r="340" spans="1:14" s="49" customFormat="1" ht="15.75" customHeight="1" x14ac:dyDescent="0.25">
      <c r="A340" s="160">
        <f>A339+1</f>
        <v>10</v>
      </c>
      <c r="B340" s="160"/>
      <c r="C340" s="19" t="s">
        <v>173</v>
      </c>
      <c r="D340" s="51">
        <f>(57.03+4.26)*(10.764)</f>
        <v>659.72555999999997</v>
      </c>
      <c r="E340" s="19">
        <v>0</v>
      </c>
      <c r="F340" s="19">
        <f t="shared" si="28"/>
        <v>989.58834000000002</v>
      </c>
      <c r="G340" s="107"/>
      <c r="H340" s="108"/>
      <c r="I340" s="50">
        <f>6.19*3.05+2.46*2.18+3.65*3.24+3.03*3.02+2.21*1.4+2.21*1.4+1*4.2+1.2*1.1</f>
        <v>56.926900000000003</v>
      </c>
      <c r="J340" s="49">
        <f>3.05+1.4</f>
        <v>4.4499999999999993</v>
      </c>
      <c r="N340" s="50"/>
    </row>
    <row r="341" spans="1:14" s="49" customFormat="1" ht="15.75" customHeight="1" x14ac:dyDescent="0.25">
      <c r="A341" s="112" t="s">
        <v>252</v>
      </c>
      <c r="B341" s="113"/>
      <c r="C341" s="113"/>
      <c r="D341" s="113"/>
      <c r="E341" s="113"/>
      <c r="F341" s="113"/>
      <c r="G341" s="113"/>
      <c r="H341" s="114"/>
      <c r="I341" s="62">
        <f>6</f>
        <v>6</v>
      </c>
    </row>
    <row r="342" spans="1:14" s="49" customFormat="1" ht="15.75" customHeight="1" x14ac:dyDescent="0.25">
      <c r="A342" s="160">
        <v>1</v>
      </c>
      <c r="B342" s="160"/>
      <c r="C342" s="19" t="s">
        <v>251</v>
      </c>
      <c r="D342" s="51">
        <f>(91.2+4.54)*(10.764)</f>
        <v>1030.5453600000001</v>
      </c>
      <c r="E342" s="19">
        <v>0</v>
      </c>
      <c r="F342" s="19">
        <f>D342*(($F$285)+1)+(IF(E342&lt;101,E342,IF(E342&lt;201,E342/2,IF(E342&lt;=301,E342/3,E342/4))))</f>
        <v>1545.8180400000001</v>
      </c>
      <c r="G342" s="103" t="str">
        <f>A341</f>
        <v>7th, 11th, 16th, 21st, 26th &amp; 31st Floor (Part Refuge Area &amp; Sale Area)</v>
      </c>
      <c r="H342" s="104"/>
      <c r="I342" s="50"/>
      <c r="J342" s="60"/>
      <c r="N342" s="50"/>
    </row>
    <row r="343" spans="1:14" s="49" customFormat="1" ht="15.75" customHeight="1" x14ac:dyDescent="0.25">
      <c r="A343" s="160">
        <f>A342+1</f>
        <v>2</v>
      </c>
      <c r="B343" s="160"/>
      <c r="C343" s="19" t="s">
        <v>251</v>
      </c>
      <c r="D343" s="51">
        <f>(88.39+4.31)*(10.764)</f>
        <v>997.82279999999992</v>
      </c>
      <c r="E343" s="19">
        <v>0</v>
      </c>
      <c r="F343" s="19">
        <f>D343*(($F$285)+1)+(IF(E343&lt;101,E343,IF(E343&lt;201,E343/2,IF(E343&lt;=301,E343/3,E343/4))))</f>
        <v>1496.7341999999999</v>
      </c>
      <c r="G343" s="105"/>
      <c r="H343" s="106"/>
      <c r="I343" s="50"/>
      <c r="N343" s="50"/>
    </row>
    <row r="344" spans="1:14" s="49" customFormat="1" ht="15.75" customHeight="1" x14ac:dyDescent="0.25">
      <c r="A344" s="160">
        <f>A343+1</f>
        <v>3</v>
      </c>
      <c r="B344" s="160"/>
      <c r="C344" s="19" t="s">
        <v>251</v>
      </c>
      <c r="D344" s="51">
        <f>(87.77+4.36)*(10.764)</f>
        <v>991.68731999999989</v>
      </c>
      <c r="E344" s="19">
        <v>0</v>
      </c>
      <c r="F344" s="19">
        <f>D344*(($F$285)+1)+(IF(E344&lt;101,E344,IF(E344&lt;201,E344/2,IF(E344&lt;=301,E344/3,E344/4))))</f>
        <v>1487.5309799999998</v>
      </c>
      <c r="G344" s="105"/>
      <c r="H344" s="106"/>
      <c r="I344" s="50"/>
      <c r="N344" s="50"/>
    </row>
    <row r="345" spans="1:14" s="49" customFormat="1" ht="15.75" customHeight="1" x14ac:dyDescent="0.25">
      <c r="A345" s="160">
        <f t="shared" ref="A345:A351" si="29">A344+1</f>
        <v>4</v>
      </c>
      <c r="B345" s="160"/>
      <c r="C345" s="19" t="s">
        <v>251</v>
      </c>
      <c r="D345" s="51">
        <f>(87.46+4.36)*(10.764)</f>
        <v>988.35047999999983</v>
      </c>
      <c r="E345" s="19">
        <v>0</v>
      </c>
      <c r="F345" s="19">
        <f t="shared" ref="F345:F350" si="30">D345*(($F$285)+1)+(IF(E345&lt;101,E345,IF(E345&lt;201,E345/2,IF(E345&lt;=301,E345/3,E345/4))))</f>
        <v>1482.5257199999996</v>
      </c>
      <c r="G345" s="105"/>
      <c r="H345" s="106"/>
      <c r="I345" s="50"/>
      <c r="N345" s="50"/>
    </row>
    <row r="346" spans="1:14" s="49" customFormat="1" ht="15.75" customHeight="1" x14ac:dyDescent="0.25">
      <c r="A346" s="160">
        <f t="shared" si="29"/>
        <v>5</v>
      </c>
      <c r="B346" s="160"/>
      <c r="C346" s="19" t="s">
        <v>173</v>
      </c>
      <c r="D346" s="51">
        <f>(60.73+4.04)*(10.764)</f>
        <v>697.18427999999994</v>
      </c>
      <c r="E346" s="19">
        <v>0</v>
      </c>
      <c r="F346" s="19">
        <f t="shared" si="30"/>
        <v>1045.7764199999999</v>
      </c>
      <c r="G346" s="105"/>
      <c r="H346" s="106"/>
      <c r="I346" s="50"/>
      <c r="N346" s="50"/>
    </row>
    <row r="347" spans="1:14" s="49" customFormat="1" ht="15.75" customHeight="1" x14ac:dyDescent="0.25">
      <c r="A347" s="160">
        <f t="shared" si="29"/>
        <v>6</v>
      </c>
      <c r="B347" s="160"/>
      <c r="C347" s="19" t="s">
        <v>173</v>
      </c>
      <c r="D347" s="51">
        <f>(60.91+3.91)*(10.764)</f>
        <v>697.7224799999999</v>
      </c>
      <c r="E347" s="19">
        <v>0</v>
      </c>
      <c r="F347" s="19">
        <f t="shared" si="30"/>
        <v>1046.5837199999999</v>
      </c>
      <c r="G347" s="105"/>
      <c r="H347" s="106"/>
      <c r="I347" s="50"/>
      <c r="N347" s="50"/>
    </row>
    <row r="348" spans="1:14" s="49" customFormat="1" ht="15.75" customHeight="1" x14ac:dyDescent="0.25">
      <c r="A348" s="160">
        <f t="shared" si="29"/>
        <v>7</v>
      </c>
      <c r="B348" s="160"/>
      <c r="C348" s="19" t="s">
        <v>173</v>
      </c>
      <c r="D348" s="51">
        <f>(56.83+4.26)*(10.764)</f>
        <v>657.5727599999999</v>
      </c>
      <c r="E348" s="19">
        <v>0</v>
      </c>
      <c r="F348" s="19">
        <f t="shared" si="30"/>
        <v>986.3591399999998</v>
      </c>
      <c r="G348" s="105"/>
      <c r="H348" s="106"/>
      <c r="I348" s="50"/>
      <c r="N348" s="50"/>
    </row>
    <row r="349" spans="1:14" s="49" customFormat="1" ht="15.75" customHeight="1" x14ac:dyDescent="0.25">
      <c r="A349" s="160">
        <f t="shared" si="29"/>
        <v>8</v>
      </c>
      <c r="B349" s="160"/>
      <c r="C349" s="19" t="s">
        <v>173</v>
      </c>
      <c r="D349" s="51">
        <f>(56.63+4.26)*(10.764)</f>
        <v>655.41995999999995</v>
      </c>
      <c r="E349" s="19">
        <v>0</v>
      </c>
      <c r="F349" s="19">
        <f t="shared" si="30"/>
        <v>983.12993999999992</v>
      </c>
      <c r="G349" s="105"/>
      <c r="H349" s="106"/>
      <c r="I349" s="50"/>
      <c r="N349" s="50"/>
    </row>
    <row r="350" spans="1:14" s="49" customFormat="1" ht="15.75" customHeight="1" x14ac:dyDescent="0.25">
      <c r="A350" s="160">
        <f t="shared" si="29"/>
        <v>9</v>
      </c>
      <c r="B350" s="160"/>
      <c r="C350" s="19" t="s">
        <v>173</v>
      </c>
      <c r="D350" s="51">
        <f>(57.76+4.26)*(10.764)</f>
        <v>667.58327999999995</v>
      </c>
      <c r="E350" s="19">
        <v>0</v>
      </c>
      <c r="F350" s="19">
        <f t="shared" si="30"/>
        <v>1001.37492</v>
      </c>
      <c r="G350" s="105"/>
      <c r="H350" s="106"/>
      <c r="I350" s="50"/>
      <c r="N350" s="50"/>
    </row>
    <row r="351" spans="1:14" s="49" customFormat="1" ht="15.75" customHeight="1" x14ac:dyDescent="0.25">
      <c r="A351" s="160">
        <f t="shared" si="29"/>
        <v>10</v>
      </c>
      <c r="B351" s="160"/>
      <c r="C351" s="101" t="s">
        <v>175</v>
      </c>
      <c r="D351" s="115"/>
      <c r="E351" s="115"/>
      <c r="F351" s="102"/>
      <c r="G351" s="107"/>
      <c r="H351" s="108"/>
      <c r="I351" s="50"/>
      <c r="N351" s="50"/>
    </row>
    <row r="352" spans="1:14" s="49" customFormat="1" ht="15.75" customHeight="1" x14ac:dyDescent="0.25">
      <c r="A352" s="118" t="s">
        <v>253</v>
      </c>
      <c r="B352" s="118"/>
      <c r="C352" s="118"/>
      <c r="D352" s="118"/>
      <c r="E352" s="118"/>
      <c r="F352" s="118"/>
      <c r="G352" s="118"/>
      <c r="H352" s="118"/>
      <c r="I352" s="62">
        <v>1</v>
      </c>
    </row>
    <row r="353" spans="1:14" s="49" customFormat="1" ht="15.75" customHeight="1" x14ac:dyDescent="0.25">
      <c r="A353" s="160">
        <v>1</v>
      </c>
      <c r="B353" s="160"/>
      <c r="C353" s="66" t="s">
        <v>251</v>
      </c>
      <c r="D353" s="51">
        <f>(91.2+4.54)*(10.764)</f>
        <v>1030.5453600000001</v>
      </c>
      <c r="E353" s="66">
        <v>0</v>
      </c>
      <c r="F353" s="66">
        <f t="shared" ref="F353:F361" si="31">D353*(($F$285)+1)+(IF(E353&lt;101,E353,IF(E353&lt;201,E353/2,IF(E353&lt;=301,E353/3,E353/4))))</f>
        <v>1545.8180400000001</v>
      </c>
      <c r="G353" s="160" t="str">
        <f>A352</f>
        <v>15th Floor (Part Refuge Area &amp; Sale Area)</v>
      </c>
      <c r="H353" s="160"/>
      <c r="I353" s="50"/>
      <c r="J353" s="60"/>
      <c r="N353" s="50"/>
    </row>
    <row r="354" spans="1:14" s="49" customFormat="1" ht="15.75" customHeight="1" x14ac:dyDescent="0.25">
      <c r="A354" s="160">
        <f>A353+1</f>
        <v>2</v>
      </c>
      <c r="B354" s="160"/>
      <c r="C354" s="66" t="s">
        <v>251</v>
      </c>
      <c r="D354" s="51">
        <f>(88.39+4.31)*(10.764)</f>
        <v>997.82279999999992</v>
      </c>
      <c r="E354" s="66">
        <v>0</v>
      </c>
      <c r="F354" s="66">
        <f t="shared" si="31"/>
        <v>1496.7341999999999</v>
      </c>
      <c r="G354" s="160"/>
      <c r="H354" s="160"/>
      <c r="I354" s="50"/>
      <c r="N354" s="50"/>
    </row>
    <row r="355" spans="1:14" s="49" customFormat="1" ht="15.75" customHeight="1" x14ac:dyDescent="0.25">
      <c r="A355" s="160">
        <f>A354+1</f>
        <v>3</v>
      </c>
      <c r="B355" s="160"/>
      <c r="C355" s="66" t="s">
        <v>251</v>
      </c>
      <c r="D355" s="51">
        <f>(87.77+4.36)*(10.764)</f>
        <v>991.68731999999989</v>
      </c>
      <c r="E355" s="66">
        <v>0</v>
      </c>
      <c r="F355" s="66">
        <f t="shared" si="31"/>
        <v>1487.5309799999998</v>
      </c>
      <c r="G355" s="160"/>
      <c r="H355" s="160"/>
      <c r="I355" s="50"/>
      <c r="N355" s="50"/>
    </row>
    <row r="356" spans="1:14" s="49" customFormat="1" ht="15.75" customHeight="1" x14ac:dyDescent="0.25">
      <c r="A356" s="160">
        <f t="shared" ref="A356:A361" si="32">A355+1</f>
        <v>4</v>
      </c>
      <c r="B356" s="160"/>
      <c r="C356" s="66" t="s">
        <v>251</v>
      </c>
      <c r="D356" s="51">
        <f>(87.46+4.36)*(10.764)</f>
        <v>988.35047999999983</v>
      </c>
      <c r="E356" s="66">
        <v>0</v>
      </c>
      <c r="F356" s="66">
        <f t="shared" si="31"/>
        <v>1482.5257199999996</v>
      </c>
      <c r="G356" s="160"/>
      <c r="H356" s="160"/>
      <c r="I356" s="50"/>
      <c r="N356" s="50"/>
    </row>
    <row r="357" spans="1:14" s="49" customFormat="1" ht="15.75" customHeight="1" x14ac:dyDescent="0.25">
      <c r="A357" s="160">
        <f t="shared" si="32"/>
        <v>5</v>
      </c>
      <c r="B357" s="160"/>
      <c r="C357" s="66" t="s">
        <v>173</v>
      </c>
      <c r="D357" s="51">
        <f>(60.73+4.04)*(10.764)</f>
        <v>697.18427999999994</v>
      </c>
      <c r="E357" s="66">
        <v>0</v>
      </c>
      <c r="F357" s="66">
        <f t="shared" si="31"/>
        <v>1045.7764199999999</v>
      </c>
      <c r="G357" s="160"/>
      <c r="H357" s="160"/>
      <c r="I357" s="50"/>
      <c r="N357" s="50"/>
    </row>
    <row r="358" spans="1:14" s="49" customFormat="1" ht="15.75" customHeight="1" x14ac:dyDescent="0.25">
      <c r="A358" s="160">
        <f t="shared" si="32"/>
        <v>6</v>
      </c>
      <c r="B358" s="160"/>
      <c r="C358" s="66" t="s">
        <v>173</v>
      </c>
      <c r="D358" s="51">
        <f>(60.91+3.91)*(10.764)</f>
        <v>697.7224799999999</v>
      </c>
      <c r="E358" s="66">
        <v>0</v>
      </c>
      <c r="F358" s="66">
        <f t="shared" si="31"/>
        <v>1046.5837199999999</v>
      </c>
      <c r="G358" s="160"/>
      <c r="H358" s="160"/>
      <c r="I358" s="50"/>
      <c r="N358" s="50"/>
    </row>
    <row r="359" spans="1:14" s="49" customFormat="1" ht="15.75" customHeight="1" x14ac:dyDescent="0.25">
      <c r="A359" s="160">
        <f t="shared" si="32"/>
        <v>7</v>
      </c>
      <c r="B359" s="160"/>
      <c r="C359" s="66" t="s">
        <v>173</v>
      </c>
      <c r="D359" s="51">
        <f>(56.83+4.26)*(10.764)</f>
        <v>657.5727599999999</v>
      </c>
      <c r="E359" s="66">
        <v>0</v>
      </c>
      <c r="F359" s="66">
        <f t="shared" si="31"/>
        <v>986.3591399999998</v>
      </c>
      <c r="G359" s="160"/>
      <c r="H359" s="160"/>
      <c r="I359" s="50"/>
      <c r="N359" s="50"/>
    </row>
    <row r="360" spans="1:14" s="49" customFormat="1" ht="15.75" customHeight="1" x14ac:dyDescent="0.25">
      <c r="A360" s="160">
        <f t="shared" si="32"/>
        <v>8</v>
      </c>
      <c r="B360" s="160"/>
      <c r="C360" s="66" t="s">
        <v>173</v>
      </c>
      <c r="D360" s="51">
        <f>(56.63+4.26)*(10.764)</f>
        <v>655.41995999999995</v>
      </c>
      <c r="E360" s="66">
        <v>0</v>
      </c>
      <c r="F360" s="66">
        <f t="shared" si="31"/>
        <v>983.12993999999992</v>
      </c>
      <c r="G360" s="160"/>
      <c r="H360" s="160"/>
      <c r="I360" s="50"/>
      <c r="N360" s="50"/>
    </row>
    <row r="361" spans="1:14" s="49" customFormat="1" ht="15.75" customHeight="1" x14ac:dyDescent="0.25">
      <c r="A361" s="160">
        <f t="shared" si="32"/>
        <v>9</v>
      </c>
      <c r="B361" s="160"/>
      <c r="C361" s="66" t="s">
        <v>254</v>
      </c>
      <c r="D361" s="51">
        <f>(109.25+8.04)*(10.764)</f>
        <v>1262.5095599999997</v>
      </c>
      <c r="E361" s="66">
        <v>0</v>
      </c>
      <c r="F361" s="66">
        <f t="shared" si="31"/>
        <v>1893.7643399999997</v>
      </c>
      <c r="G361" s="160"/>
      <c r="H361" s="160"/>
      <c r="I361" s="50"/>
      <c r="N361" s="50"/>
    </row>
    <row r="362" spans="1:14" s="49" customFormat="1" ht="15.75" customHeight="1" x14ac:dyDescent="0.25">
      <c r="A362" s="118" t="s">
        <v>255</v>
      </c>
      <c r="B362" s="118"/>
      <c r="C362" s="118"/>
      <c r="D362" s="118"/>
      <c r="E362" s="118"/>
      <c r="F362" s="118"/>
      <c r="G362" s="118"/>
      <c r="H362" s="118"/>
      <c r="I362" s="50"/>
    </row>
    <row r="363" spans="1:14" s="49" customFormat="1" ht="15.75" customHeight="1" x14ac:dyDescent="0.25">
      <c r="A363" s="118" t="s">
        <v>256</v>
      </c>
      <c r="B363" s="118"/>
      <c r="C363" s="118"/>
      <c r="D363" s="118"/>
      <c r="E363" s="118"/>
      <c r="F363" s="118"/>
      <c r="G363" s="118"/>
      <c r="H363" s="118"/>
      <c r="I363" s="50"/>
    </row>
    <row r="364" spans="1:14" s="43" customFormat="1" x14ac:dyDescent="0.25">
      <c r="A364" s="192" t="s">
        <v>189</v>
      </c>
      <c r="B364" s="192"/>
      <c r="C364" s="192"/>
      <c r="D364" s="192"/>
      <c r="E364" s="192"/>
      <c r="F364" s="192"/>
      <c r="G364" s="192"/>
      <c r="H364" s="192"/>
      <c r="M364" s="61"/>
    </row>
    <row r="365" spans="1:14" s="43" customFormat="1" x14ac:dyDescent="0.25">
      <c r="A365" s="166" t="s">
        <v>159</v>
      </c>
      <c r="B365" s="166"/>
      <c r="C365" s="166"/>
      <c r="D365" s="166"/>
      <c r="E365" s="166"/>
      <c r="F365" s="166"/>
      <c r="G365" s="166"/>
      <c r="H365" s="166"/>
    </row>
    <row r="366" spans="1:14" s="49" customFormat="1" x14ac:dyDescent="0.25">
      <c r="A366" s="118" t="s">
        <v>192</v>
      </c>
      <c r="B366" s="118"/>
      <c r="C366" s="118"/>
      <c r="D366" s="118"/>
      <c r="E366" s="118"/>
      <c r="F366" s="118"/>
      <c r="G366" s="118"/>
      <c r="H366" s="118"/>
      <c r="I366" s="50"/>
      <c r="L366" s="184"/>
      <c r="M366" s="184"/>
    </row>
    <row r="367" spans="1:14" s="49" customFormat="1" x14ac:dyDescent="0.25">
      <c r="A367" s="19">
        <v>1</v>
      </c>
      <c r="B367" s="19" t="s">
        <v>191</v>
      </c>
      <c r="C367" s="19" t="s">
        <v>171</v>
      </c>
      <c r="D367" s="51">
        <f>(27.88+0.75*(1.19+1+2.45))*10.764</f>
        <v>337.55903999999998</v>
      </c>
      <c r="E367" s="19">
        <v>0</v>
      </c>
      <c r="F367" s="19">
        <f>D367*(($F$285)+1)+(IF(E367&lt;101,E367,IF(E367&lt;201,E367/2,IF(E367&lt;=301,E367/3,E367/4))))</f>
        <v>506.33855999999997</v>
      </c>
      <c r="G367" s="160" t="str">
        <f>A366</f>
        <v>Ground Floor for Residential</v>
      </c>
      <c r="H367" s="160"/>
      <c r="I367" s="50"/>
      <c r="J367" s="52"/>
      <c r="N367" s="50"/>
    </row>
    <row r="368" spans="1:14" s="49" customFormat="1" ht="15.75" customHeight="1" x14ac:dyDescent="0.25">
      <c r="A368" s="112" t="s">
        <v>200</v>
      </c>
      <c r="B368" s="113"/>
      <c r="C368" s="113"/>
      <c r="D368" s="113"/>
      <c r="E368" s="113"/>
      <c r="F368" s="113"/>
      <c r="G368" s="113"/>
      <c r="H368" s="114"/>
      <c r="I368" s="50"/>
    </row>
    <row r="369" spans="1:11" s="49" customFormat="1" ht="15.6" customHeight="1" x14ac:dyDescent="0.25">
      <c r="A369" s="53">
        <v>1</v>
      </c>
      <c r="B369" s="19" t="s">
        <v>191</v>
      </c>
      <c r="C369" s="19" t="s">
        <v>171</v>
      </c>
      <c r="D369" s="51">
        <f>(27.88+0.75*(1.19+1+2.45))*10.764</f>
        <v>337.55903999999998</v>
      </c>
      <c r="E369" s="19">
        <v>0</v>
      </c>
      <c r="F369" s="19">
        <f>D369*(($F$285)+1)+(IF(E369&lt;101,E369,IF(E369&lt;201,E369/2,IF(E369&lt;=301,E369/3,E369/4))))</f>
        <v>506.33855999999997</v>
      </c>
      <c r="G369" s="103" t="str">
        <f>A368</f>
        <v>1st Floor (Part Aminity Area)</v>
      </c>
      <c r="H369" s="104"/>
      <c r="I369" s="50">
        <f>2.89*3.24+1.64*2+2.45*3.8+1.2*0.95+1.65*1.2+1.19*0.81+1.2*1.2</f>
        <v>27.477500000000003</v>
      </c>
      <c r="J369" s="51">
        <v>10.763999999999999</v>
      </c>
      <c r="K369" s="52"/>
    </row>
    <row r="370" spans="1:11" s="49" customFormat="1" ht="15.6" customHeight="1" x14ac:dyDescent="0.25">
      <c r="A370" s="53">
        <v>2</v>
      </c>
      <c r="B370" s="19" t="s">
        <v>191</v>
      </c>
      <c r="C370" s="19" t="s">
        <v>171</v>
      </c>
      <c r="D370" s="51">
        <f>(27.88+0.75*(1.19+1+2.45))*10.764</f>
        <v>337.55903999999998</v>
      </c>
      <c r="E370" s="19">
        <v>0</v>
      </c>
      <c r="F370" s="19">
        <f>D370*(($F$285)+1)+(IF(E370&lt;101,E370,IF(E370&lt;201,E370/2,IF(E370&lt;=301,E370/3,E370/4))))</f>
        <v>506.33855999999997</v>
      </c>
      <c r="G370" s="105"/>
      <c r="H370" s="106"/>
      <c r="I370" s="50"/>
    </row>
    <row r="371" spans="1:11" s="49" customFormat="1" ht="15.75" customHeight="1" x14ac:dyDescent="0.25">
      <c r="A371" s="53">
        <v>3</v>
      </c>
      <c r="B371" s="19" t="s">
        <v>191</v>
      </c>
      <c r="C371" s="19" t="s">
        <v>171</v>
      </c>
      <c r="D371" s="51">
        <f>(27.88+0.75*(1.19+1+2.45))*10.764</f>
        <v>337.55903999999998</v>
      </c>
      <c r="E371" s="19">
        <v>0</v>
      </c>
      <c r="F371" s="19">
        <f>D371*(($F$285)+1)+(IF(E371&lt;101,E371,IF(E371&lt;201,E371/2,IF(E371&lt;=301,E371/3,E371/4))))</f>
        <v>506.33855999999997</v>
      </c>
      <c r="G371" s="105"/>
      <c r="H371" s="106"/>
      <c r="I371" s="50"/>
    </row>
    <row r="372" spans="1:11" s="49" customFormat="1" ht="15.6" customHeight="1" x14ac:dyDescent="0.25">
      <c r="A372" s="53">
        <v>4</v>
      </c>
      <c r="B372" s="101" t="s">
        <v>194</v>
      </c>
      <c r="C372" s="115"/>
      <c r="D372" s="115"/>
      <c r="E372" s="115"/>
      <c r="F372" s="102"/>
      <c r="G372" s="105"/>
      <c r="H372" s="106"/>
      <c r="I372" s="50"/>
      <c r="K372" s="52"/>
    </row>
    <row r="373" spans="1:11" s="49" customFormat="1" ht="15.75" customHeight="1" x14ac:dyDescent="0.25">
      <c r="A373" s="53">
        <v>5</v>
      </c>
      <c r="B373" s="19" t="s">
        <v>191</v>
      </c>
      <c r="C373" s="19" t="s">
        <v>171</v>
      </c>
      <c r="D373" s="51">
        <f>(27.88+0.75*(1.19+1+2.45))*10.764</f>
        <v>337.55903999999998</v>
      </c>
      <c r="E373" s="19">
        <v>0</v>
      </c>
      <c r="F373" s="19">
        <f>D373*(($F$285)+1)+(IF(E373&lt;101,E373,IF(E373&lt;201,E373/2,IF(E373&lt;=301,E373/3,E373/4))))</f>
        <v>506.33855999999997</v>
      </c>
      <c r="G373" s="105"/>
      <c r="H373" s="106"/>
      <c r="I373" s="50"/>
    </row>
    <row r="374" spans="1:11" s="49" customFormat="1" ht="15.75" customHeight="1" x14ac:dyDescent="0.25">
      <c r="A374" s="53">
        <v>6</v>
      </c>
      <c r="B374" s="19" t="s">
        <v>191</v>
      </c>
      <c r="C374" s="19" t="s">
        <v>171</v>
      </c>
      <c r="D374" s="51">
        <f>(27.88+0.75*(1.19+1+2.45))*10.764</f>
        <v>337.55903999999998</v>
      </c>
      <c r="E374" s="19">
        <v>0</v>
      </c>
      <c r="F374" s="19">
        <f>D374*(($F$285)+1)+(IF(E374&lt;101,E374,IF(E374&lt;201,E374/2,IF(E374&lt;=301,E374/3,E374/4))))</f>
        <v>506.33855999999997</v>
      </c>
      <c r="G374" s="105"/>
      <c r="H374" s="106"/>
      <c r="I374" s="50"/>
    </row>
    <row r="375" spans="1:11" s="49" customFormat="1" ht="15.75" customHeight="1" x14ac:dyDescent="0.25">
      <c r="A375" s="101">
        <v>7</v>
      </c>
      <c r="B375" s="102"/>
      <c r="C375" s="101" t="s">
        <v>195</v>
      </c>
      <c r="D375" s="115"/>
      <c r="E375" s="115"/>
      <c r="F375" s="102"/>
      <c r="G375" s="105"/>
      <c r="H375" s="106"/>
      <c r="I375" s="50"/>
    </row>
    <row r="376" spans="1:11" s="49" customFormat="1" ht="15.75" customHeight="1" x14ac:dyDescent="0.25">
      <c r="A376" s="101">
        <v>8</v>
      </c>
      <c r="B376" s="102"/>
      <c r="C376" s="101" t="s">
        <v>196</v>
      </c>
      <c r="D376" s="115"/>
      <c r="E376" s="115"/>
      <c r="F376" s="102"/>
      <c r="G376" s="105"/>
      <c r="H376" s="106"/>
      <c r="I376" s="50"/>
    </row>
    <row r="377" spans="1:11" s="49" customFormat="1" ht="15.75" customHeight="1" x14ac:dyDescent="0.25">
      <c r="A377" s="101">
        <v>9</v>
      </c>
      <c r="B377" s="102"/>
      <c r="C377" s="101" t="s">
        <v>197</v>
      </c>
      <c r="D377" s="115"/>
      <c r="E377" s="115"/>
      <c r="F377" s="102"/>
      <c r="G377" s="105"/>
      <c r="H377" s="106"/>
      <c r="I377" s="50"/>
    </row>
    <row r="378" spans="1:11" s="49" customFormat="1" ht="15.75" customHeight="1" x14ac:dyDescent="0.25">
      <c r="A378" s="101">
        <v>10</v>
      </c>
      <c r="B378" s="102"/>
      <c r="C378" s="101" t="s">
        <v>198</v>
      </c>
      <c r="D378" s="115"/>
      <c r="E378" s="115"/>
      <c r="F378" s="102"/>
      <c r="G378" s="105"/>
      <c r="H378" s="106"/>
      <c r="I378" s="50"/>
    </row>
    <row r="379" spans="1:11" s="49" customFormat="1" ht="15.75" customHeight="1" x14ac:dyDescent="0.25">
      <c r="A379" s="101">
        <v>11</v>
      </c>
      <c r="B379" s="102"/>
      <c r="C379" s="101" t="s">
        <v>198</v>
      </c>
      <c r="D379" s="115"/>
      <c r="E379" s="115"/>
      <c r="F379" s="102"/>
      <c r="G379" s="105"/>
      <c r="H379" s="106"/>
      <c r="I379" s="50"/>
    </row>
    <row r="380" spans="1:11" s="49" customFormat="1" ht="15.75" customHeight="1" x14ac:dyDescent="0.25">
      <c r="A380" s="101">
        <v>12</v>
      </c>
      <c r="B380" s="102"/>
      <c r="C380" s="101" t="s">
        <v>198</v>
      </c>
      <c r="D380" s="115"/>
      <c r="E380" s="115"/>
      <c r="F380" s="102"/>
      <c r="G380" s="107"/>
      <c r="H380" s="108"/>
      <c r="I380" s="50"/>
    </row>
    <row r="381" spans="1:11" s="49" customFormat="1" ht="15.75" customHeight="1" x14ac:dyDescent="0.25">
      <c r="A381" s="112" t="s">
        <v>199</v>
      </c>
      <c r="B381" s="113"/>
      <c r="C381" s="113"/>
      <c r="D381" s="113"/>
      <c r="E381" s="113"/>
      <c r="F381" s="113"/>
      <c r="G381" s="113"/>
      <c r="H381" s="114"/>
      <c r="I381" s="50"/>
    </row>
    <row r="382" spans="1:11" s="49" customFormat="1" ht="15.6" customHeight="1" x14ac:dyDescent="0.25">
      <c r="A382" s="19">
        <v>1</v>
      </c>
      <c r="B382" s="19" t="s">
        <v>191</v>
      </c>
      <c r="C382" s="19" t="s">
        <v>171</v>
      </c>
      <c r="D382" s="51">
        <f t="shared" ref="D382:D393" si="33">(27.88+0.75*(1.19+1+2.45))*10.764</f>
        <v>337.55903999999998</v>
      </c>
      <c r="E382" s="19">
        <v>0</v>
      </c>
      <c r="F382" s="19">
        <f t="shared" ref="F382:F393" si="34">D382*(($F$285)+1)+(IF(E382&lt;101,E382,IF(E382&lt;201,E382/2,IF(E382&lt;=301,E382/3,E382/4))))</f>
        <v>506.33855999999997</v>
      </c>
      <c r="G382" s="103" t="str">
        <f>A381</f>
        <v>2nd to 7th, 9th to 12th, 14th to 17th, 19th to 22nd &amp; 24th Floor</v>
      </c>
      <c r="H382" s="104"/>
      <c r="I382" s="50">
        <f>2.89*3.24+1.64*2+2.45*3.8+1.2*0.95+1.65*1.2+1.19*0.81+1.2*1.2</f>
        <v>27.477500000000003</v>
      </c>
      <c r="J382" s="51">
        <v>10.763999999999999</v>
      </c>
      <c r="K382" s="52"/>
    </row>
    <row r="383" spans="1:11" s="49" customFormat="1" ht="15.6" customHeight="1" x14ac:dyDescent="0.25">
      <c r="A383" s="19">
        <v>2</v>
      </c>
      <c r="B383" s="19" t="s">
        <v>191</v>
      </c>
      <c r="C383" s="19" t="s">
        <v>171</v>
      </c>
      <c r="D383" s="51">
        <f t="shared" si="33"/>
        <v>337.55903999999998</v>
      </c>
      <c r="E383" s="19">
        <v>0</v>
      </c>
      <c r="F383" s="19">
        <f t="shared" si="34"/>
        <v>506.33855999999997</v>
      </c>
      <c r="G383" s="105"/>
      <c r="H383" s="106"/>
      <c r="I383" s="50"/>
    </row>
    <row r="384" spans="1:11" s="49" customFormat="1" ht="15.75" customHeight="1" x14ac:dyDescent="0.25">
      <c r="A384" s="19">
        <v>3</v>
      </c>
      <c r="B384" s="19" t="s">
        <v>191</v>
      </c>
      <c r="C384" s="19" t="s">
        <v>171</v>
      </c>
      <c r="D384" s="51">
        <f t="shared" si="33"/>
        <v>337.55903999999998</v>
      </c>
      <c r="E384" s="19">
        <v>0</v>
      </c>
      <c r="F384" s="19">
        <f t="shared" si="34"/>
        <v>506.33855999999997</v>
      </c>
      <c r="G384" s="105"/>
      <c r="H384" s="106"/>
      <c r="I384" s="50"/>
    </row>
    <row r="385" spans="1:11" s="49" customFormat="1" ht="15.6" customHeight="1" x14ac:dyDescent="0.25">
      <c r="A385" s="19">
        <v>4</v>
      </c>
      <c r="B385" s="19" t="s">
        <v>191</v>
      </c>
      <c r="C385" s="19" t="s">
        <v>171</v>
      </c>
      <c r="D385" s="51">
        <f t="shared" si="33"/>
        <v>337.55903999999998</v>
      </c>
      <c r="E385" s="19">
        <v>0</v>
      </c>
      <c r="F385" s="19">
        <f t="shared" si="34"/>
        <v>506.33855999999997</v>
      </c>
      <c r="G385" s="105"/>
      <c r="H385" s="106"/>
      <c r="I385" s="50"/>
      <c r="K385" s="52"/>
    </row>
    <row r="386" spans="1:11" s="49" customFormat="1" ht="15.6" customHeight="1" x14ac:dyDescent="0.25">
      <c r="A386" s="19">
        <v>5</v>
      </c>
      <c r="B386" s="19" t="s">
        <v>191</v>
      </c>
      <c r="C386" s="19" t="s">
        <v>171</v>
      </c>
      <c r="D386" s="51">
        <f t="shared" si="33"/>
        <v>337.55903999999998</v>
      </c>
      <c r="E386" s="19">
        <v>0</v>
      </c>
      <c r="F386" s="19">
        <f t="shared" si="34"/>
        <v>506.33855999999997</v>
      </c>
      <c r="G386" s="105"/>
      <c r="H386" s="106"/>
      <c r="I386" s="50"/>
      <c r="J386" s="52"/>
    </row>
    <row r="387" spans="1:11" s="49" customFormat="1" ht="15.6" customHeight="1" x14ac:dyDescent="0.25">
      <c r="A387" s="19">
        <v>6</v>
      </c>
      <c r="B387" s="19" t="s">
        <v>191</v>
      </c>
      <c r="C387" s="19" t="s">
        <v>171</v>
      </c>
      <c r="D387" s="51">
        <f t="shared" si="33"/>
        <v>337.55903999999998</v>
      </c>
      <c r="E387" s="19">
        <v>0</v>
      </c>
      <c r="F387" s="19">
        <f t="shared" si="34"/>
        <v>506.33855999999997</v>
      </c>
      <c r="G387" s="105"/>
      <c r="H387" s="106"/>
      <c r="I387" s="50"/>
    </row>
    <row r="388" spans="1:11" s="49" customFormat="1" ht="15.75" customHeight="1" x14ac:dyDescent="0.25">
      <c r="A388" s="19">
        <v>7</v>
      </c>
      <c r="B388" s="19" t="s">
        <v>191</v>
      </c>
      <c r="C388" s="19" t="s">
        <v>171</v>
      </c>
      <c r="D388" s="51">
        <f t="shared" si="33"/>
        <v>337.55903999999998</v>
      </c>
      <c r="E388" s="19">
        <v>0</v>
      </c>
      <c r="F388" s="19">
        <f t="shared" si="34"/>
        <v>506.33855999999997</v>
      </c>
      <c r="G388" s="105"/>
      <c r="H388" s="106"/>
      <c r="I388" s="50"/>
    </row>
    <row r="389" spans="1:11" s="49" customFormat="1" ht="15.6" customHeight="1" x14ac:dyDescent="0.25">
      <c r="A389" s="19">
        <v>8</v>
      </c>
      <c r="B389" s="19" t="s">
        <v>191</v>
      </c>
      <c r="C389" s="19" t="s">
        <v>171</v>
      </c>
      <c r="D389" s="51">
        <f t="shared" si="33"/>
        <v>337.55903999999998</v>
      </c>
      <c r="E389" s="19">
        <v>0</v>
      </c>
      <c r="F389" s="19">
        <f t="shared" si="34"/>
        <v>506.33855999999997</v>
      </c>
      <c r="G389" s="105"/>
      <c r="H389" s="106"/>
      <c r="I389" s="50"/>
      <c r="J389" s="52"/>
    </row>
    <row r="390" spans="1:11" s="49" customFormat="1" ht="15.6" customHeight="1" x14ac:dyDescent="0.25">
      <c r="A390" s="19">
        <v>9</v>
      </c>
      <c r="B390" s="19" t="s">
        <v>191</v>
      </c>
      <c r="C390" s="19" t="s">
        <v>171</v>
      </c>
      <c r="D390" s="51">
        <f t="shared" si="33"/>
        <v>337.55903999999998</v>
      </c>
      <c r="E390" s="19">
        <v>0</v>
      </c>
      <c r="F390" s="19">
        <f t="shared" si="34"/>
        <v>506.33855999999997</v>
      </c>
      <c r="G390" s="105"/>
      <c r="H390" s="106"/>
      <c r="I390" s="50"/>
      <c r="J390" s="52"/>
    </row>
    <row r="391" spans="1:11" s="49" customFormat="1" ht="15.6" customHeight="1" x14ac:dyDescent="0.25">
      <c r="A391" s="19">
        <v>10</v>
      </c>
      <c r="B391" s="19" t="s">
        <v>191</v>
      </c>
      <c r="C391" s="19" t="s">
        <v>171</v>
      </c>
      <c r="D391" s="51">
        <f t="shared" si="33"/>
        <v>337.55903999999998</v>
      </c>
      <c r="E391" s="19">
        <v>0</v>
      </c>
      <c r="F391" s="19">
        <f t="shared" si="34"/>
        <v>506.33855999999997</v>
      </c>
      <c r="G391" s="105"/>
      <c r="H391" s="106"/>
      <c r="I391" s="50"/>
    </row>
    <row r="392" spans="1:11" s="49" customFormat="1" ht="15.75" customHeight="1" x14ac:dyDescent="0.25">
      <c r="A392" s="19">
        <v>11</v>
      </c>
      <c r="B392" s="19" t="s">
        <v>191</v>
      </c>
      <c r="C392" s="19" t="s">
        <v>171</v>
      </c>
      <c r="D392" s="51">
        <f t="shared" si="33"/>
        <v>337.55903999999998</v>
      </c>
      <c r="E392" s="19">
        <v>0</v>
      </c>
      <c r="F392" s="19">
        <f t="shared" si="34"/>
        <v>506.33855999999997</v>
      </c>
      <c r="G392" s="105"/>
      <c r="H392" s="106"/>
      <c r="I392" s="50"/>
    </row>
    <row r="393" spans="1:11" s="49" customFormat="1" ht="15.6" customHeight="1" x14ac:dyDescent="0.25">
      <c r="A393" s="19">
        <v>12</v>
      </c>
      <c r="B393" s="19" t="s">
        <v>191</v>
      </c>
      <c r="C393" s="19" t="s">
        <v>171</v>
      </c>
      <c r="D393" s="51">
        <f t="shared" si="33"/>
        <v>337.55903999999998</v>
      </c>
      <c r="E393" s="19">
        <v>0</v>
      </c>
      <c r="F393" s="19">
        <f t="shared" si="34"/>
        <v>506.33855999999997</v>
      </c>
      <c r="G393" s="107"/>
      <c r="H393" s="108"/>
      <c r="I393" s="50"/>
      <c r="K393" s="52"/>
    </row>
    <row r="394" spans="1:11" s="49" customFormat="1" ht="15.75" customHeight="1" x14ac:dyDescent="0.25">
      <c r="A394" s="112" t="s">
        <v>201</v>
      </c>
      <c r="B394" s="113"/>
      <c r="C394" s="113"/>
      <c r="D394" s="113"/>
      <c r="E394" s="113"/>
      <c r="F394" s="113"/>
      <c r="G394" s="113"/>
      <c r="H394" s="114"/>
      <c r="I394" s="50"/>
    </row>
    <row r="395" spans="1:11" s="49" customFormat="1" ht="15.6" customHeight="1" x14ac:dyDescent="0.25">
      <c r="A395" s="66">
        <v>1</v>
      </c>
      <c r="B395" s="66" t="s">
        <v>191</v>
      </c>
      <c r="C395" s="66" t="s">
        <v>171</v>
      </c>
      <c r="D395" s="51">
        <f>(27.88+0.75*(1.19+1+2.45))*10.764</f>
        <v>337.55903999999998</v>
      </c>
      <c r="E395" s="66">
        <v>0</v>
      </c>
      <c r="F395" s="66">
        <f t="shared" ref="F395:F402" si="35">D395*(($F$285)+1)+(IF(E395&lt;101,E395,IF(E395&lt;201,E395/2,IF(E395&lt;=301,E395/3,E395/4))))</f>
        <v>506.33855999999997</v>
      </c>
      <c r="G395" s="160" t="str">
        <f>A394</f>
        <v>8th, 13th 18th &amp; 23rd Floor (Part Refuge Area)</v>
      </c>
      <c r="H395" s="160"/>
      <c r="I395" s="50">
        <f>2.89*3.24+1.64*2+2.45*3.8+1.2*0.95+1.65*1.2+1.19*0.81+1.2*1.2</f>
        <v>27.477500000000003</v>
      </c>
      <c r="J395" s="51">
        <v>10.763999999999999</v>
      </c>
      <c r="K395" s="52"/>
    </row>
    <row r="396" spans="1:11" s="49" customFormat="1" ht="15.6" customHeight="1" x14ac:dyDescent="0.25">
      <c r="A396" s="66">
        <v>2</v>
      </c>
      <c r="B396" s="66" t="s">
        <v>191</v>
      </c>
      <c r="C396" s="66" t="s">
        <v>171</v>
      </c>
      <c r="D396" s="51">
        <f t="shared" ref="D396:D406" si="36">(27.88+0.75*(1.19+1+2.45))*10.764</f>
        <v>337.55903999999998</v>
      </c>
      <c r="E396" s="66">
        <v>0</v>
      </c>
      <c r="F396" s="66">
        <f t="shared" si="35"/>
        <v>506.33855999999997</v>
      </c>
      <c r="G396" s="160"/>
      <c r="H396" s="160"/>
      <c r="I396" s="50"/>
    </row>
    <row r="397" spans="1:11" s="49" customFormat="1" ht="15.75" customHeight="1" x14ac:dyDescent="0.25">
      <c r="A397" s="66">
        <v>3</v>
      </c>
      <c r="B397" s="66" t="s">
        <v>191</v>
      </c>
      <c r="C397" s="66" t="s">
        <v>171</v>
      </c>
      <c r="D397" s="51">
        <f t="shared" si="36"/>
        <v>337.55903999999998</v>
      </c>
      <c r="E397" s="66">
        <v>0</v>
      </c>
      <c r="F397" s="66">
        <f t="shared" si="35"/>
        <v>506.33855999999997</v>
      </c>
      <c r="G397" s="160"/>
      <c r="H397" s="160"/>
      <c r="I397" s="50"/>
    </row>
    <row r="398" spans="1:11" s="49" customFormat="1" ht="15.6" customHeight="1" x14ac:dyDescent="0.25">
      <c r="A398" s="66">
        <v>4</v>
      </c>
      <c r="B398" s="66" t="s">
        <v>191</v>
      </c>
      <c r="C398" s="66" t="s">
        <v>171</v>
      </c>
      <c r="D398" s="51">
        <f t="shared" si="36"/>
        <v>337.55903999999998</v>
      </c>
      <c r="E398" s="66">
        <v>0</v>
      </c>
      <c r="F398" s="66">
        <f t="shared" si="35"/>
        <v>506.33855999999997</v>
      </c>
      <c r="G398" s="160"/>
      <c r="H398" s="160"/>
      <c r="I398" s="50"/>
      <c r="K398" s="52"/>
    </row>
    <row r="399" spans="1:11" s="49" customFormat="1" ht="15.6" customHeight="1" x14ac:dyDescent="0.25">
      <c r="A399" s="66">
        <v>5</v>
      </c>
      <c r="B399" s="66" t="s">
        <v>191</v>
      </c>
      <c r="C399" s="66" t="s">
        <v>171</v>
      </c>
      <c r="D399" s="51">
        <f t="shared" si="36"/>
        <v>337.55903999999998</v>
      </c>
      <c r="E399" s="66">
        <v>0</v>
      </c>
      <c r="F399" s="66">
        <f t="shared" si="35"/>
        <v>506.33855999999997</v>
      </c>
      <c r="G399" s="160"/>
      <c r="H399" s="160"/>
      <c r="I399" s="50"/>
      <c r="J399" s="52"/>
    </row>
    <row r="400" spans="1:11" s="49" customFormat="1" ht="15.6" customHeight="1" x14ac:dyDescent="0.25">
      <c r="A400" s="66">
        <v>6</v>
      </c>
      <c r="B400" s="66" t="s">
        <v>191</v>
      </c>
      <c r="C400" s="66" t="s">
        <v>171</v>
      </c>
      <c r="D400" s="51">
        <f t="shared" si="36"/>
        <v>337.55903999999998</v>
      </c>
      <c r="E400" s="66">
        <v>0</v>
      </c>
      <c r="F400" s="66">
        <f t="shared" si="35"/>
        <v>506.33855999999997</v>
      </c>
      <c r="G400" s="160"/>
      <c r="H400" s="160"/>
      <c r="I400" s="50"/>
    </row>
    <row r="401" spans="1:11" s="49" customFormat="1" ht="15.75" customHeight="1" x14ac:dyDescent="0.25">
      <c r="A401" s="67">
        <v>7</v>
      </c>
      <c r="B401" s="67" t="s">
        <v>190</v>
      </c>
      <c r="C401" s="66" t="s">
        <v>171</v>
      </c>
      <c r="D401" s="51">
        <f t="shared" si="36"/>
        <v>337.55903999999998</v>
      </c>
      <c r="E401" s="66">
        <v>0</v>
      </c>
      <c r="F401" s="66">
        <f t="shared" si="35"/>
        <v>506.33855999999997</v>
      </c>
      <c r="G401" s="160"/>
      <c r="H401" s="160"/>
      <c r="I401" s="50"/>
    </row>
    <row r="402" spans="1:11" s="49" customFormat="1" ht="15.6" customHeight="1" x14ac:dyDescent="0.25">
      <c r="A402" s="67">
        <v>8</v>
      </c>
      <c r="B402" s="67" t="s">
        <v>190</v>
      </c>
      <c r="C402" s="66" t="s">
        <v>171</v>
      </c>
      <c r="D402" s="51">
        <f t="shared" si="36"/>
        <v>337.55903999999998</v>
      </c>
      <c r="E402" s="66">
        <v>0</v>
      </c>
      <c r="F402" s="66">
        <f t="shared" si="35"/>
        <v>506.33855999999997</v>
      </c>
      <c r="G402" s="160"/>
      <c r="H402" s="160"/>
      <c r="I402" s="50"/>
      <c r="J402" s="52"/>
    </row>
    <row r="403" spans="1:11" s="49" customFormat="1" ht="15.6" customHeight="1" x14ac:dyDescent="0.25">
      <c r="A403" s="66">
        <v>9</v>
      </c>
      <c r="B403" s="160" t="s">
        <v>175</v>
      </c>
      <c r="C403" s="160"/>
      <c r="D403" s="160"/>
      <c r="E403" s="160"/>
      <c r="F403" s="160"/>
      <c r="G403" s="160"/>
      <c r="H403" s="160"/>
      <c r="I403" s="50"/>
      <c r="J403" s="52"/>
    </row>
    <row r="404" spans="1:11" s="49" customFormat="1" ht="15.6" customHeight="1" x14ac:dyDescent="0.25">
      <c r="A404" s="66">
        <v>10</v>
      </c>
      <c r="B404" s="66" t="s">
        <v>191</v>
      </c>
      <c r="C404" s="66" t="s">
        <v>171</v>
      </c>
      <c r="D404" s="51">
        <f t="shared" si="36"/>
        <v>337.55903999999998</v>
      </c>
      <c r="E404" s="66">
        <v>0</v>
      </c>
      <c r="F404" s="66">
        <f>D404*(($F$285)+1)+(IF(E404&lt;101,E404,IF(E404&lt;201,E404/2,IF(E404&lt;=301,E404/3,E404/4))))</f>
        <v>506.33855999999997</v>
      </c>
      <c r="G404" s="160"/>
      <c r="H404" s="160"/>
      <c r="I404" s="50"/>
    </row>
    <row r="405" spans="1:11" s="49" customFormat="1" ht="15.75" customHeight="1" x14ac:dyDescent="0.25">
      <c r="A405" s="67">
        <v>11</v>
      </c>
      <c r="B405" s="67" t="s">
        <v>190</v>
      </c>
      <c r="C405" s="66" t="s">
        <v>171</v>
      </c>
      <c r="D405" s="51">
        <f t="shared" si="36"/>
        <v>337.55903999999998</v>
      </c>
      <c r="E405" s="66">
        <v>0</v>
      </c>
      <c r="F405" s="66">
        <f>D405*(($F$285)+1)+(IF(E405&lt;101,E405,IF(E405&lt;201,E405/2,IF(E405&lt;=301,E405/3,E405/4))))</f>
        <v>506.33855999999997</v>
      </c>
      <c r="G405" s="160"/>
      <c r="H405" s="160"/>
      <c r="I405" s="50"/>
    </row>
    <row r="406" spans="1:11" s="49" customFormat="1" x14ac:dyDescent="0.25">
      <c r="A406" s="67">
        <v>12</v>
      </c>
      <c r="B406" s="67" t="s">
        <v>190</v>
      </c>
      <c r="C406" s="66" t="s">
        <v>171</v>
      </c>
      <c r="D406" s="51">
        <f t="shared" si="36"/>
        <v>337.55903999999998</v>
      </c>
      <c r="E406" s="66">
        <v>0</v>
      </c>
      <c r="F406" s="66">
        <f>D406*(($F$285)+1)+(IF(E406&lt;101,E406,IF(E406&lt;201,E406/2,IF(E406&lt;=301,E406/3,E406/4))))</f>
        <v>506.33855999999997</v>
      </c>
      <c r="G406" s="160"/>
      <c r="H406" s="160"/>
      <c r="I406" s="50"/>
      <c r="K406" s="52"/>
    </row>
    <row r="407" spans="1:11" s="43" customFormat="1" x14ac:dyDescent="0.25">
      <c r="A407" s="166" t="s">
        <v>202</v>
      </c>
      <c r="B407" s="166"/>
      <c r="C407" s="166"/>
      <c r="D407" s="166"/>
      <c r="E407" s="166"/>
      <c r="F407" s="166"/>
      <c r="G407" s="166"/>
      <c r="H407" s="166"/>
    </row>
    <row r="408" spans="1:11" s="49" customFormat="1" ht="15.75" customHeight="1" x14ac:dyDescent="0.25">
      <c r="A408" s="118" t="s">
        <v>204</v>
      </c>
      <c r="B408" s="118"/>
      <c r="C408" s="118"/>
      <c r="D408" s="118"/>
      <c r="E408" s="118"/>
      <c r="F408" s="118"/>
      <c r="G408" s="118"/>
      <c r="H408" s="118"/>
      <c r="I408" s="50"/>
    </row>
    <row r="409" spans="1:11" s="49" customFormat="1" ht="15.6" customHeight="1" x14ac:dyDescent="0.25">
      <c r="A409" s="66">
        <v>5</v>
      </c>
      <c r="B409" s="66" t="s">
        <v>191</v>
      </c>
      <c r="C409" s="66" t="s">
        <v>171</v>
      </c>
      <c r="D409" s="51">
        <f>(27.88)*10.764</f>
        <v>300.10031999999995</v>
      </c>
      <c r="E409" s="66">
        <v>0</v>
      </c>
      <c r="F409" s="66">
        <f t="shared" ref="F409:F414" si="37">D409*(($F$285)+1)+(IF(E409&lt;101,E409,IF(E409&lt;201,E409/2,IF(E409&lt;=301,E409/3,E409/4))))</f>
        <v>450.1504799999999</v>
      </c>
      <c r="G409" s="160" t="str">
        <f>A408</f>
        <v>Upper Ground Floor for Residential</v>
      </c>
      <c r="H409" s="160"/>
      <c r="I409" s="50"/>
      <c r="J409" s="51">
        <v>10.763999999999999</v>
      </c>
      <c r="K409" s="52"/>
    </row>
    <row r="410" spans="1:11" s="49" customFormat="1" ht="15.6" customHeight="1" x14ac:dyDescent="0.25">
      <c r="A410" s="67">
        <v>9</v>
      </c>
      <c r="B410" s="67" t="s">
        <v>190</v>
      </c>
      <c r="C410" s="66" t="s">
        <v>171</v>
      </c>
      <c r="D410" s="51">
        <f>(27.88+0.75*(2.37+1.6))*10.764</f>
        <v>332.15012999999993</v>
      </c>
      <c r="E410" s="66">
        <v>0</v>
      </c>
      <c r="F410" s="66">
        <f t="shared" si="37"/>
        <v>498.22519499999987</v>
      </c>
      <c r="G410" s="160"/>
      <c r="H410" s="160"/>
      <c r="I410" s="50">
        <f>2.75*3.14+2*1.5+2.37*3.8+1.19*1.51+1.43*0.95+1.65*1.3+1.43*1+0.75*(2.37+1.5)</f>
        <v>30.273899999999998</v>
      </c>
    </row>
    <row r="411" spans="1:11" s="49" customFormat="1" ht="15.75" customHeight="1" x14ac:dyDescent="0.25">
      <c r="A411" s="67">
        <v>10</v>
      </c>
      <c r="B411" s="67" t="s">
        <v>190</v>
      </c>
      <c r="C411" s="66" t="s">
        <v>171</v>
      </c>
      <c r="D411" s="51">
        <f>(27.88+0.75*(2.37+1.6))*10.764</f>
        <v>332.15012999999993</v>
      </c>
      <c r="E411" s="66">
        <v>0</v>
      </c>
      <c r="F411" s="66">
        <f t="shared" si="37"/>
        <v>498.22519499999987</v>
      </c>
      <c r="G411" s="160"/>
      <c r="H411" s="160"/>
      <c r="I411" s="50"/>
    </row>
    <row r="412" spans="1:11" s="49" customFormat="1" ht="15.6" customHeight="1" x14ac:dyDescent="0.25">
      <c r="A412" s="67">
        <v>11</v>
      </c>
      <c r="B412" s="67" t="s">
        <v>190</v>
      </c>
      <c r="C412" s="66" t="s">
        <v>171</v>
      </c>
      <c r="D412" s="51">
        <f>(27.88+0.75*(2.37+1.6))*10.764</f>
        <v>332.15012999999993</v>
      </c>
      <c r="E412" s="66">
        <v>0</v>
      </c>
      <c r="F412" s="66">
        <f t="shared" si="37"/>
        <v>498.22519499999987</v>
      </c>
      <c r="G412" s="160"/>
      <c r="H412" s="160"/>
      <c r="I412" s="50"/>
      <c r="K412" s="52"/>
    </row>
    <row r="413" spans="1:11" s="49" customFormat="1" ht="15.6" customHeight="1" x14ac:dyDescent="0.25">
      <c r="A413" s="67">
        <v>12</v>
      </c>
      <c r="B413" s="67" t="s">
        <v>190</v>
      </c>
      <c r="C413" s="66" t="s">
        <v>171</v>
      </c>
      <c r="D413" s="51">
        <f>(27.88+0.75*(2.37+1.6))*10.764</f>
        <v>332.15012999999993</v>
      </c>
      <c r="E413" s="66">
        <v>0</v>
      </c>
      <c r="F413" s="66">
        <f t="shared" si="37"/>
        <v>498.22519499999987</v>
      </c>
      <c r="G413" s="160"/>
      <c r="H413" s="160"/>
      <c r="I413" s="50"/>
      <c r="J413" s="52"/>
    </row>
    <row r="414" spans="1:11" s="49" customFormat="1" ht="15.6" customHeight="1" x14ac:dyDescent="0.25">
      <c r="A414" s="67">
        <v>13</v>
      </c>
      <c r="B414" s="67" t="s">
        <v>190</v>
      </c>
      <c r="C414" s="66" t="s">
        <v>171</v>
      </c>
      <c r="D414" s="51">
        <f>(27.88+0.75*(2.37+1.6))*10.764</f>
        <v>332.15012999999993</v>
      </c>
      <c r="E414" s="66">
        <v>0</v>
      </c>
      <c r="F414" s="66">
        <f t="shared" si="37"/>
        <v>498.22519499999987</v>
      </c>
      <c r="G414" s="160"/>
      <c r="H414" s="160"/>
      <c r="I414" s="50"/>
    </row>
    <row r="415" spans="1:11" s="49" customFormat="1" ht="15.75" customHeight="1" x14ac:dyDescent="0.25">
      <c r="A415" s="112" t="s">
        <v>200</v>
      </c>
      <c r="B415" s="113"/>
      <c r="C415" s="113"/>
      <c r="D415" s="113"/>
      <c r="E415" s="113"/>
      <c r="F415" s="113"/>
      <c r="G415" s="113"/>
      <c r="H415" s="114"/>
      <c r="I415" s="50"/>
    </row>
    <row r="416" spans="1:11" s="49" customFormat="1" ht="15.6" customHeight="1" x14ac:dyDescent="0.25">
      <c r="A416" s="19">
        <v>1</v>
      </c>
      <c r="B416" s="101" t="s">
        <v>197</v>
      </c>
      <c r="C416" s="115"/>
      <c r="D416" s="115"/>
      <c r="E416" s="115"/>
      <c r="F416" s="102"/>
      <c r="G416" s="103" t="str">
        <f>A415</f>
        <v>1st Floor (Part Aminity Area)</v>
      </c>
      <c r="H416" s="104"/>
      <c r="I416" s="50"/>
      <c r="J416" s="51">
        <v>10.763999999999999</v>
      </c>
      <c r="K416" s="52"/>
    </row>
    <row r="417" spans="1:11" s="49" customFormat="1" ht="15.6" customHeight="1" x14ac:dyDescent="0.25">
      <c r="A417" s="19">
        <v>2</v>
      </c>
      <c r="B417" s="101" t="s">
        <v>197</v>
      </c>
      <c r="C417" s="115"/>
      <c r="D417" s="115"/>
      <c r="E417" s="115"/>
      <c r="F417" s="102"/>
      <c r="G417" s="105"/>
      <c r="H417" s="106"/>
      <c r="I417" s="50">
        <f>2.75*3.14+2*1.5+2.37*3.8+1.19*1.51+1.43*0.95+1.65*1.3+1.43*1+0.75*(2.37+1.5)</f>
        <v>30.273899999999998</v>
      </c>
    </row>
    <row r="418" spans="1:11" s="49" customFormat="1" ht="15.75" customHeight="1" x14ac:dyDescent="0.25">
      <c r="A418" s="19">
        <v>3</v>
      </c>
      <c r="B418" s="101" t="s">
        <v>196</v>
      </c>
      <c r="C418" s="115"/>
      <c r="D418" s="115"/>
      <c r="E418" s="115">
        <v>0</v>
      </c>
      <c r="F418" s="102">
        <f t="shared" ref="F418:F427" si="38">D418*(($F$285)+1)+(IF(E418&lt;101,E418,IF(E418&lt;201,E418/2,IF(E418&lt;=301,E418/3,E418/4))))</f>
        <v>0</v>
      </c>
      <c r="G418" s="105"/>
      <c r="H418" s="106"/>
      <c r="I418" s="50"/>
    </row>
    <row r="419" spans="1:11" s="49" customFormat="1" ht="15.6" customHeight="1" x14ac:dyDescent="0.25">
      <c r="A419" s="19">
        <v>4</v>
      </c>
      <c r="B419" s="101" t="s">
        <v>196</v>
      </c>
      <c r="C419" s="115"/>
      <c r="D419" s="115"/>
      <c r="E419" s="115">
        <v>1</v>
      </c>
      <c r="F419" s="102">
        <f t="shared" si="38"/>
        <v>1</v>
      </c>
      <c r="G419" s="105"/>
      <c r="H419" s="106"/>
      <c r="I419" s="50"/>
      <c r="K419" s="52"/>
    </row>
    <row r="420" spans="1:11" s="49" customFormat="1" ht="15.6" customHeight="1" x14ac:dyDescent="0.25">
      <c r="A420" s="19">
        <v>5</v>
      </c>
      <c r="B420" s="101" t="s">
        <v>195</v>
      </c>
      <c r="C420" s="115"/>
      <c r="D420" s="115"/>
      <c r="E420" s="115">
        <v>0</v>
      </c>
      <c r="F420" s="102">
        <f t="shared" si="38"/>
        <v>0</v>
      </c>
      <c r="G420" s="105"/>
      <c r="H420" s="106"/>
      <c r="I420" s="50"/>
      <c r="J420" s="52"/>
    </row>
    <row r="421" spans="1:11" s="49" customFormat="1" ht="15.6" customHeight="1" x14ac:dyDescent="0.25">
      <c r="A421" s="19">
        <v>6</v>
      </c>
      <c r="B421" s="101" t="s">
        <v>195</v>
      </c>
      <c r="C421" s="115"/>
      <c r="D421" s="115"/>
      <c r="E421" s="115">
        <v>1</v>
      </c>
      <c r="F421" s="102">
        <f t="shared" si="38"/>
        <v>1</v>
      </c>
      <c r="G421" s="105"/>
      <c r="H421" s="106"/>
      <c r="I421" s="50"/>
    </row>
    <row r="422" spans="1:11" s="49" customFormat="1" x14ac:dyDescent="0.25">
      <c r="A422" s="19">
        <v>7</v>
      </c>
      <c r="B422" s="19" t="s">
        <v>191</v>
      </c>
      <c r="C422" s="19" t="s">
        <v>171</v>
      </c>
      <c r="D422" s="51">
        <f>(27.88)*10.764</f>
        <v>300.10031999999995</v>
      </c>
      <c r="E422" s="19">
        <v>0</v>
      </c>
      <c r="F422" s="19">
        <f t="shared" si="38"/>
        <v>450.1504799999999</v>
      </c>
      <c r="G422" s="105"/>
      <c r="H422" s="106"/>
      <c r="I422" s="50"/>
      <c r="J422" s="51">
        <v>10.763999999999999</v>
      </c>
      <c r="K422" s="52"/>
    </row>
    <row r="423" spans="1:11" s="49" customFormat="1" x14ac:dyDescent="0.25">
      <c r="A423" s="19">
        <v>8</v>
      </c>
      <c r="B423" s="19" t="s">
        <v>191</v>
      </c>
      <c r="C423" s="19" t="s">
        <v>171</v>
      </c>
      <c r="D423" s="51">
        <f>(27.88+0.75*(2.37+1.6))*10.764</f>
        <v>332.15012999999993</v>
      </c>
      <c r="E423" s="19">
        <v>0</v>
      </c>
      <c r="F423" s="19">
        <f t="shared" si="38"/>
        <v>498.22519499999987</v>
      </c>
      <c r="G423" s="105"/>
      <c r="H423" s="106"/>
      <c r="I423" s="50">
        <f>2.75*3.14+2*1.5+2.37*3.8+1.19*1.51+1.43*0.95+1.65*1.3+1.43*1+0.75*(2.37+1.5)</f>
        <v>30.273899999999998</v>
      </c>
    </row>
    <row r="424" spans="1:11" s="49" customFormat="1" ht="15.75" customHeight="1" x14ac:dyDescent="0.25">
      <c r="A424" s="20">
        <v>9</v>
      </c>
      <c r="B424" s="20" t="s">
        <v>190</v>
      </c>
      <c r="C424" s="19" t="s">
        <v>171</v>
      </c>
      <c r="D424" s="51">
        <f>(27.88+0.75*(2.37+1.6))*10.764</f>
        <v>332.15012999999993</v>
      </c>
      <c r="E424" s="19">
        <v>0</v>
      </c>
      <c r="F424" s="19">
        <f t="shared" si="38"/>
        <v>498.22519499999987</v>
      </c>
      <c r="G424" s="105"/>
      <c r="H424" s="106"/>
      <c r="I424" s="50"/>
    </row>
    <row r="425" spans="1:11" s="49" customFormat="1" x14ac:dyDescent="0.25">
      <c r="A425" s="20">
        <v>10</v>
      </c>
      <c r="B425" s="20" t="s">
        <v>190</v>
      </c>
      <c r="C425" s="19" t="s">
        <v>171</v>
      </c>
      <c r="D425" s="51">
        <f>(27.88+0.75*(2.37+1.6))*10.764</f>
        <v>332.15012999999993</v>
      </c>
      <c r="E425" s="19">
        <v>0</v>
      </c>
      <c r="F425" s="19">
        <f t="shared" si="38"/>
        <v>498.22519499999987</v>
      </c>
      <c r="G425" s="105"/>
      <c r="H425" s="106"/>
      <c r="I425" s="50"/>
      <c r="K425" s="52"/>
    </row>
    <row r="426" spans="1:11" s="49" customFormat="1" x14ac:dyDescent="0.25">
      <c r="A426" s="20">
        <v>11</v>
      </c>
      <c r="B426" s="20" t="s">
        <v>190</v>
      </c>
      <c r="C426" s="19" t="s">
        <v>171</v>
      </c>
      <c r="D426" s="51">
        <f>(27.88+0.75*(2.37+1.6))*10.764</f>
        <v>332.15012999999993</v>
      </c>
      <c r="E426" s="19">
        <v>0</v>
      </c>
      <c r="F426" s="19">
        <f t="shared" si="38"/>
        <v>498.22519499999987</v>
      </c>
      <c r="G426" s="107"/>
      <c r="H426" s="108"/>
      <c r="I426" s="50"/>
      <c r="J426" s="52"/>
    </row>
    <row r="427" spans="1:11" s="49" customFormat="1" x14ac:dyDescent="0.25">
      <c r="A427" s="20">
        <v>12</v>
      </c>
      <c r="B427" s="20" t="s">
        <v>190</v>
      </c>
      <c r="C427" s="19" t="s">
        <v>171</v>
      </c>
      <c r="D427" s="51">
        <f>(27.88+0.75*(2.37+1.6))*10.764</f>
        <v>332.15012999999993</v>
      </c>
      <c r="E427" s="19">
        <v>0</v>
      </c>
      <c r="F427" s="19">
        <f t="shared" si="38"/>
        <v>498.22519499999987</v>
      </c>
      <c r="G427" s="101">
        <f t="shared" ref="G427" si="39">G426</f>
        <v>0</v>
      </c>
      <c r="H427" s="102"/>
      <c r="I427" s="50"/>
    </row>
    <row r="428" spans="1:11" s="49" customFormat="1" ht="15.75" customHeight="1" x14ac:dyDescent="0.25">
      <c r="A428" s="112" t="s">
        <v>206</v>
      </c>
      <c r="B428" s="113"/>
      <c r="C428" s="113"/>
      <c r="D428" s="113"/>
      <c r="E428" s="113"/>
      <c r="F428" s="113"/>
      <c r="G428" s="113"/>
      <c r="H428" s="114"/>
      <c r="I428" s="50"/>
    </row>
    <row r="429" spans="1:11" s="49" customFormat="1" ht="15.6" customHeight="1" x14ac:dyDescent="0.25">
      <c r="A429" s="19">
        <v>1</v>
      </c>
      <c r="B429" s="19" t="s">
        <v>191</v>
      </c>
      <c r="C429" s="19" t="s">
        <v>171</v>
      </c>
      <c r="D429" s="51">
        <f>(27.88+0.75*(1.19+1+2.45))*10.764</f>
        <v>337.55903999999998</v>
      </c>
      <c r="E429" s="19">
        <v>0</v>
      </c>
      <c r="F429" s="19">
        <f t="shared" ref="F429:F440" si="40">D429*(($F$285)+1)+(IF(E429&lt;101,E429,IF(E429&lt;201,E429/2,IF(E429&lt;=301,E429/3,E429/4))))</f>
        <v>506.33855999999997</v>
      </c>
      <c r="G429" s="103" t="str">
        <f>A428</f>
        <v>2nd to 6th, 8th to 11th, 13th to 16th &amp; 18th Floor</v>
      </c>
      <c r="H429" s="104"/>
      <c r="I429" s="50">
        <f>2.89*3.24+1.64*2+2.45*3.8+1.2*0.95+1.65*1.2+1.19*0.81+1.2*1.2</f>
        <v>27.477500000000003</v>
      </c>
      <c r="J429" s="51">
        <v>10.763999999999999</v>
      </c>
      <c r="K429" s="52"/>
    </row>
    <row r="430" spans="1:11" s="49" customFormat="1" ht="15.6" customHeight="1" x14ac:dyDescent="0.25">
      <c r="A430" s="19">
        <v>2</v>
      </c>
      <c r="B430" s="19" t="s">
        <v>191</v>
      </c>
      <c r="C430" s="19" t="s">
        <v>171</v>
      </c>
      <c r="D430" s="51">
        <f t="shared" ref="D430:D440" si="41">(27.88+0.75*(1.19+1+2.45))*10.764</f>
        <v>337.55903999999998</v>
      </c>
      <c r="E430" s="19">
        <v>0</v>
      </c>
      <c r="F430" s="19">
        <f t="shared" si="40"/>
        <v>506.33855999999997</v>
      </c>
      <c r="G430" s="105"/>
      <c r="H430" s="106"/>
      <c r="I430" s="50"/>
    </row>
    <row r="431" spans="1:11" s="49" customFormat="1" ht="15.75" customHeight="1" x14ac:dyDescent="0.25">
      <c r="A431" s="19">
        <v>3</v>
      </c>
      <c r="B431" s="19" t="s">
        <v>191</v>
      </c>
      <c r="C431" s="19" t="s">
        <v>171</v>
      </c>
      <c r="D431" s="51">
        <f t="shared" si="41"/>
        <v>337.55903999999998</v>
      </c>
      <c r="E431" s="19">
        <v>0</v>
      </c>
      <c r="F431" s="19">
        <f t="shared" si="40"/>
        <v>506.33855999999997</v>
      </c>
      <c r="G431" s="105"/>
      <c r="H431" s="106"/>
      <c r="I431" s="50"/>
    </row>
    <row r="432" spans="1:11" s="49" customFormat="1" ht="15.6" customHeight="1" x14ac:dyDescent="0.25">
      <c r="A432" s="19">
        <v>4</v>
      </c>
      <c r="B432" s="19" t="s">
        <v>191</v>
      </c>
      <c r="C432" s="19" t="s">
        <v>171</v>
      </c>
      <c r="D432" s="51">
        <f t="shared" si="41"/>
        <v>337.55903999999998</v>
      </c>
      <c r="E432" s="19">
        <v>0</v>
      </c>
      <c r="F432" s="19">
        <f t="shared" si="40"/>
        <v>506.33855999999997</v>
      </c>
      <c r="G432" s="105"/>
      <c r="H432" s="106"/>
      <c r="I432" s="50"/>
      <c r="K432" s="52"/>
    </row>
    <row r="433" spans="1:11" s="49" customFormat="1" ht="15.6" customHeight="1" x14ac:dyDescent="0.25">
      <c r="A433" s="19">
        <v>5</v>
      </c>
      <c r="B433" s="19" t="s">
        <v>191</v>
      </c>
      <c r="C433" s="19" t="s">
        <v>171</v>
      </c>
      <c r="D433" s="51">
        <f t="shared" si="41"/>
        <v>337.55903999999998</v>
      </c>
      <c r="E433" s="19">
        <v>0</v>
      </c>
      <c r="F433" s="19">
        <f t="shared" si="40"/>
        <v>506.33855999999997</v>
      </c>
      <c r="G433" s="105"/>
      <c r="H433" s="106"/>
      <c r="I433" s="50"/>
      <c r="J433" s="52"/>
    </row>
    <row r="434" spans="1:11" s="49" customFormat="1" ht="15.6" customHeight="1" x14ac:dyDescent="0.25">
      <c r="A434" s="19">
        <v>6</v>
      </c>
      <c r="B434" s="19" t="s">
        <v>191</v>
      </c>
      <c r="C434" s="19" t="s">
        <v>171</v>
      </c>
      <c r="D434" s="51">
        <f t="shared" si="41"/>
        <v>337.55903999999998</v>
      </c>
      <c r="E434" s="19">
        <v>0</v>
      </c>
      <c r="F434" s="19">
        <f t="shared" si="40"/>
        <v>506.33855999999997</v>
      </c>
      <c r="G434" s="105"/>
      <c r="H434" s="106"/>
      <c r="I434" s="50"/>
    </row>
    <row r="435" spans="1:11" s="49" customFormat="1" ht="15.75" customHeight="1" x14ac:dyDescent="0.25">
      <c r="A435" s="19">
        <v>7</v>
      </c>
      <c r="B435" s="19" t="s">
        <v>191</v>
      </c>
      <c r="C435" s="19" t="s">
        <v>171</v>
      </c>
      <c r="D435" s="51">
        <f t="shared" si="41"/>
        <v>337.55903999999998</v>
      </c>
      <c r="E435" s="19">
        <v>0</v>
      </c>
      <c r="F435" s="19">
        <f t="shared" si="40"/>
        <v>506.33855999999997</v>
      </c>
      <c r="G435" s="105"/>
      <c r="H435" s="106"/>
      <c r="I435" s="50"/>
    </row>
    <row r="436" spans="1:11" s="49" customFormat="1" ht="15.6" customHeight="1" x14ac:dyDescent="0.25">
      <c r="A436" s="19">
        <v>8</v>
      </c>
      <c r="B436" s="19" t="s">
        <v>191</v>
      </c>
      <c r="C436" s="19" t="s">
        <v>171</v>
      </c>
      <c r="D436" s="51">
        <f t="shared" si="41"/>
        <v>337.55903999999998</v>
      </c>
      <c r="E436" s="19">
        <v>0</v>
      </c>
      <c r="F436" s="19">
        <f t="shared" si="40"/>
        <v>506.33855999999997</v>
      </c>
      <c r="G436" s="105"/>
      <c r="H436" s="106"/>
      <c r="I436" s="50"/>
      <c r="J436" s="52"/>
    </row>
    <row r="437" spans="1:11" s="49" customFormat="1" ht="15.6" customHeight="1" x14ac:dyDescent="0.25">
      <c r="A437" s="19">
        <v>9</v>
      </c>
      <c r="B437" s="19" t="s">
        <v>191</v>
      </c>
      <c r="C437" s="19" t="s">
        <v>171</v>
      </c>
      <c r="D437" s="51">
        <f t="shared" si="41"/>
        <v>337.55903999999998</v>
      </c>
      <c r="E437" s="19">
        <v>0</v>
      </c>
      <c r="F437" s="19">
        <f t="shared" si="40"/>
        <v>506.33855999999997</v>
      </c>
      <c r="G437" s="105"/>
      <c r="H437" s="106"/>
      <c r="I437" s="50"/>
      <c r="J437" s="52"/>
    </row>
    <row r="438" spans="1:11" s="49" customFormat="1" ht="15.6" customHeight="1" x14ac:dyDescent="0.25">
      <c r="A438" s="19">
        <v>10</v>
      </c>
      <c r="B438" s="19" t="s">
        <v>191</v>
      </c>
      <c r="C438" s="19" t="s">
        <v>171</v>
      </c>
      <c r="D438" s="51">
        <f t="shared" si="41"/>
        <v>337.55903999999998</v>
      </c>
      <c r="E438" s="19">
        <v>0</v>
      </c>
      <c r="F438" s="19">
        <f t="shared" si="40"/>
        <v>506.33855999999997</v>
      </c>
      <c r="G438" s="105"/>
      <c r="H438" s="106"/>
      <c r="I438" s="50"/>
    </row>
    <row r="439" spans="1:11" s="49" customFormat="1" ht="15.75" customHeight="1" x14ac:dyDescent="0.25">
      <c r="A439" s="19">
        <v>11</v>
      </c>
      <c r="B439" s="19" t="s">
        <v>191</v>
      </c>
      <c r="C439" s="19" t="s">
        <v>171</v>
      </c>
      <c r="D439" s="51">
        <f t="shared" si="41"/>
        <v>337.55903999999998</v>
      </c>
      <c r="E439" s="19">
        <v>0</v>
      </c>
      <c r="F439" s="19">
        <f t="shared" si="40"/>
        <v>506.33855999999997</v>
      </c>
      <c r="G439" s="105"/>
      <c r="H439" s="106"/>
      <c r="I439" s="50"/>
    </row>
    <row r="440" spans="1:11" s="49" customFormat="1" ht="15.6" customHeight="1" x14ac:dyDescent="0.25">
      <c r="A440" s="19">
        <v>12</v>
      </c>
      <c r="B440" s="19" t="s">
        <v>191</v>
      </c>
      <c r="C440" s="19" t="s">
        <v>171</v>
      </c>
      <c r="D440" s="51">
        <f t="shared" si="41"/>
        <v>337.55903999999998</v>
      </c>
      <c r="E440" s="19">
        <v>0</v>
      </c>
      <c r="F440" s="19">
        <f t="shared" si="40"/>
        <v>506.33855999999997</v>
      </c>
      <c r="G440" s="107"/>
      <c r="H440" s="108"/>
      <c r="I440" s="50"/>
      <c r="J440" s="52"/>
    </row>
    <row r="441" spans="1:11" s="49" customFormat="1" ht="15.75" customHeight="1" x14ac:dyDescent="0.25">
      <c r="A441" s="118" t="s">
        <v>207</v>
      </c>
      <c r="B441" s="118"/>
      <c r="C441" s="118"/>
      <c r="D441" s="118"/>
      <c r="E441" s="118"/>
      <c r="F441" s="118"/>
      <c r="G441" s="118"/>
      <c r="H441" s="118"/>
      <c r="I441" s="50"/>
    </row>
    <row r="442" spans="1:11" s="49" customFormat="1" ht="15.6" customHeight="1" x14ac:dyDescent="0.25">
      <c r="A442" s="66">
        <v>1</v>
      </c>
      <c r="B442" s="66" t="s">
        <v>191</v>
      </c>
      <c r="C442" s="66" t="s">
        <v>171</v>
      </c>
      <c r="D442" s="51">
        <f>(27.88+0.75*(1.19+1+2.45))*10.764</f>
        <v>337.55903999999998</v>
      </c>
      <c r="E442" s="66">
        <v>0</v>
      </c>
      <c r="F442" s="66">
        <f t="shared" ref="F442:F449" si="42">D442*(($F$285)+1)+(IF(E442&lt;101,E442,IF(E442&lt;201,E442/2,IF(E442&lt;=301,E442/3,E442/4))))</f>
        <v>506.33855999999997</v>
      </c>
      <c r="G442" s="160" t="str">
        <f>A441</f>
        <v>7th, 12th, 17th Floor (Part Refuge Area)</v>
      </c>
      <c r="H442" s="160"/>
      <c r="I442" s="50">
        <f>2.89*3.24+1.64*2+2.45*3.8+1.2*0.95+1.65*1.2+1.19*0.81+1.2*1.2</f>
        <v>27.477500000000003</v>
      </c>
      <c r="J442" s="51">
        <v>10.763999999999999</v>
      </c>
      <c r="K442" s="52"/>
    </row>
    <row r="443" spans="1:11" s="49" customFormat="1" ht="15.6" customHeight="1" x14ac:dyDescent="0.25">
      <c r="A443" s="66">
        <v>2</v>
      </c>
      <c r="B443" s="66" t="s">
        <v>191</v>
      </c>
      <c r="C443" s="66" t="s">
        <v>171</v>
      </c>
      <c r="D443" s="51">
        <f t="shared" ref="D443:D453" si="43">(27.88+0.75*(1.19+1+2.45))*10.764</f>
        <v>337.55903999999998</v>
      </c>
      <c r="E443" s="66">
        <v>0</v>
      </c>
      <c r="F443" s="66">
        <f t="shared" si="42"/>
        <v>506.33855999999997</v>
      </c>
      <c r="G443" s="160"/>
      <c r="H443" s="160"/>
      <c r="I443" s="50"/>
    </row>
    <row r="444" spans="1:11" s="49" customFormat="1" ht="15.75" customHeight="1" x14ac:dyDescent="0.25">
      <c r="A444" s="66">
        <v>3</v>
      </c>
      <c r="B444" s="66" t="s">
        <v>191</v>
      </c>
      <c r="C444" s="66" t="s">
        <v>171</v>
      </c>
      <c r="D444" s="51">
        <f t="shared" si="43"/>
        <v>337.55903999999998</v>
      </c>
      <c r="E444" s="66">
        <v>0</v>
      </c>
      <c r="F444" s="66">
        <f t="shared" si="42"/>
        <v>506.33855999999997</v>
      </c>
      <c r="G444" s="160"/>
      <c r="H444" s="160"/>
      <c r="I444" s="50"/>
    </row>
    <row r="445" spans="1:11" s="49" customFormat="1" ht="15.6" customHeight="1" x14ac:dyDescent="0.25">
      <c r="A445" s="66">
        <v>4</v>
      </c>
      <c r="B445" s="66" t="s">
        <v>191</v>
      </c>
      <c r="C445" s="66" t="s">
        <v>171</v>
      </c>
      <c r="D445" s="51">
        <f t="shared" si="43"/>
        <v>337.55903999999998</v>
      </c>
      <c r="E445" s="66">
        <v>0</v>
      </c>
      <c r="F445" s="66">
        <f t="shared" si="42"/>
        <v>506.33855999999997</v>
      </c>
      <c r="G445" s="160"/>
      <c r="H445" s="160"/>
      <c r="I445" s="50"/>
      <c r="K445" s="52"/>
    </row>
    <row r="446" spans="1:11" s="49" customFormat="1" ht="15.6" customHeight="1" x14ac:dyDescent="0.25">
      <c r="A446" s="66">
        <v>5</v>
      </c>
      <c r="B446" s="66" t="s">
        <v>191</v>
      </c>
      <c r="C446" s="66" t="s">
        <v>171</v>
      </c>
      <c r="D446" s="51">
        <f t="shared" si="43"/>
        <v>337.55903999999998</v>
      </c>
      <c r="E446" s="66">
        <v>0</v>
      </c>
      <c r="F446" s="66">
        <f t="shared" si="42"/>
        <v>506.33855999999997</v>
      </c>
      <c r="G446" s="160"/>
      <c r="H446" s="160"/>
      <c r="I446" s="50"/>
      <c r="J446" s="52"/>
    </row>
    <row r="447" spans="1:11" s="49" customFormat="1" ht="15.6" customHeight="1" x14ac:dyDescent="0.25">
      <c r="A447" s="66">
        <v>6</v>
      </c>
      <c r="B447" s="66" t="s">
        <v>191</v>
      </c>
      <c r="C447" s="66" t="s">
        <v>171</v>
      </c>
      <c r="D447" s="51">
        <f t="shared" si="43"/>
        <v>337.55903999999998</v>
      </c>
      <c r="E447" s="66">
        <v>0</v>
      </c>
      <c r="F447" s="66">
        <f t="shared" si="42"/>
        <v>506.33855999999997</v>
      </c>
      <c r="G447" s="160"/>
      <c r="H447" s="160"/>
      <c r="I447" s="50"/>
    </row>
    <row r="448" spans="1:11" s="49" customFormat="1" ht="15.75" customHeight="1" x14ac:dyDescent="0.25">
      <c r="A448" s="67">
        <v>7</v>
      </c>
      <c r="B448" s="67" t="s">
        <v>190</v>
      </c>
      <c r="C448" s="66" t="s">
        <v>171</v>
      </c>
      <c r="D448" s="51">
        <f t="shared" si="43"/>
        <v>337.55903999999998</v>
      </c>
      <c r="E448" s="66">
        <v>0</v>
      </c>
      <c r="F448" s="66">
        <f t="shared" si="42"/>
        <v>506.33855999999997</v>
      </c>
      <c r="G448" s="160"/>
      <c r="H448" s="160"/>
      <c r="I448" s="50"/>
    </row>
    <row r="449" spans="1:11" s="49" customFormat="1" ht="15.6" customHeight="1" x14ac:dyDescent="0.25">
      <c r="A449" s="67">
        <v>8</v>
      </c>
      <c r="B449" s="67" t="s">
        <v>190</v>
      </c>
      <c r="C449" s="66" t="s">
        <v>171</v>
      </c>
      <c r="D449" s="51">
        <f t="shared" si="43"/>
        <v>337.55903999999998</v>
      </c>
      <c r="E449" s="66">
        <v>0</v>
      </c>
      <c r="F449" s="66">
        <f t="shared" si="42"/>
        <v>506.33855999999997</v>
      </c>
      <c r="G449" s="160"/>
      <c r="H449" s="160"/>
      <c r="I449" s="50"/>
      <c r="J449" s="52"/>
    </row>
    <row r="450" spans="1:11" s="49" customFormat="1" ht="15.6" customHeight="1" x14ac:dyDescent="0.25">
      <c r="A450" s="66">
        <v>9</v>
      </c>
      <c r="B450" s="160" t="s">
        <v>175</v>
      </c>
      <c r="C450" s="160"/>
      <c r="D450" s="160"/>
      <c r="E450" s="160"/>
      <c r="F450" s="160"/>
      <c r="G450" s="160"/>
      <c r="H450" s="160"/>
      <c r="I450" s="50"/>
      <c r="J450" s="52"/>
    </row>
    <row r="451" spans="1:11" s="49" customFormat="1" ht="15.6" customHeight="1" x14ac:dyDescent="0.25">
      <c r="A451" s="66">
        <v>10</v>
      </c>
      <c r="B451" s="66" t="s">
        <v>191</v>
      </c>
      <c r="C451" s="66" t="s">
        <v>171</v>
      </c>
      <c r="D451" s="51">
        <f t="shared" si="43"/>
        <v>337.55903999999998</v>
      </c>
      <c r="E451" s="66">
        <v>0</v>
      </c>
      <c r="F451" s="66">
        <f>D451*(($F$285)+1)+(IF(E451&lt;101,E451,IF(E451&lt;201,E451/2,IF(E451&lt;=301,E451/3,E451/4))))</f>
        <v>506.33855999999997</v>
      </c>
      <c r="G451" s="160"/>
      <c r="H451" s="160"/>
      <c r="I451" s="50"/>
    </row>
    <row r="452" spans="1:11" s="49" customFormat="1" ht="15.75" customHeight="1" x14ac:dyDescent="0.25">
      <c r="A452" s="67">
        <v>11</v>
      </c>
      <c r="B452" s="67" t="s">
        <v>190</v>
      </c>
      <c r="C452" s="66" t="s">
        <v>171</v>
      </c>
      <c r="D452" s="51">
        <f t="shared" si="43"/>
        <v>337.55903999999998</v>
      </c>
      <c r="E452" s="66">
        <v>0</v>
      </c>
      <c r="F452" s="66">
        <f>D452*(($F$285)+1)+(IF(E452&lt;101,E452,IF(E452&lt;201,E452/2,IF(E452&lt;=301,E452/3,E452/4))))</f>
        <v>506.33855999999997</v>
      </c>
      <c r="G452" s="160"/>
      <c r="H452" s="160"/>
      <c r="I452" s="50"/>
    </row>
    <row r="453" spans="1:11" s="49" customFormat="1" ht="15.6" customHeight="1" x14ac:dyDescent="0.25">
      <c r="A453" s="67">
        <v>12</v>
      </c>
      <c r="B453" s="67" t="s">
        <v>190</v>
      </c>
      <c r="C453" s="66" t="s">
        <v>171</v>
      </c>
      <c r="D453" s="51">
        <f t="shared" si="43"/>
        <v>337.55903999999998</v>
      </c>
      <c r="E453" s="66">
        <v>0</v>
      </c>
      <c r="F453" s="66">
        <f>D453*(($F$285)+1)+(IF(E453&lt;101,E453,IF(E453&lt;201,E453/2,IF(E453&lt;=301,E453/3,E453/4))))</f>
        <v>506.33855999999997</v>
      </c>
      <c r="G453" s="160"/>
      <c r="H453" s="160"/>
      <c r="I453" s="50"/>
      <c r="J453" s="52"/>
    </row>
    <row r="454" spans="1:11" s="49" customFormat="1" ht="15.75" customHeight="1" x14ac:dyDescent="0.25">
      <c r="A454" s="112" t="s">
        <v>216</v>
      </c>
      <c r="B454" s="113"/>
      <c r="C454" s="113"/>
      <c r="D454" s="113"/>
      <c r="E454" s="113"/>
      <c r="F454" s="113"/>
      <c r="G454" s="113"/>
      <c r="H454" s="114"/>
      <c r="I454" s="50"/>
    </row>
    <row r="455" spans="1:11" s="49" customFormat="1" ht="15.6" customHeight="1" x14ac:dyDescent="0.25">
      <c r="A455" s="20">
        <v>1</v>
      </c>
      <c r="B455" s="20" t="s">
        <v>210</v>
      </c>
      <c r="C455" s="19" t="s">
        <v>171</v>
      </c>
      <c r="D455" s="51">
        <f>(27.88+0.75*(1.19+1+2.45))*10.764</f>
        <v>337.55903999999998</v>
      </c>
      <c r="E455" s="19">
        <v>0</v>
      </c>
      <c r="F455" s="19">
        <f t="shared" ref="F455:F466" si="44">D455*(($F$285)+1)+(IF(E455&lt;101,E455,IF(E455&lt;201,E455/2,IF(E455&lt;=301,E455/3,E455/4))))</f>
        <v>506.33855999999997</v>
      </c>
      <c r="G455" s="103" t="str">
        <f>A454</f>
        <v>19th, 20th &amp; 21st Floor</v>
      </c>
      <c r="H455" s="104"/>
      <c r="I455" s="50">
        <f>2.89*3.24+1.64*2+2.45*3.8+1.2*0.95+1.65*1.2+1.19*0.81+1.2*1.2</f>
        <v>27.477500000000003</v>
      </c>
      <c r="J455" s="51">
        <v>10.763999999999999</v>
      </c>
      <c r="K455" s="52"/>
    </row>
    <row r="456" spans="1:11" s="49" customFormat="1" ht="15.6" customHeight="1" x14ac:dyDescent="0.25">
      <c r="A456" s="20">
        <v>2</v>
      </c>
      <c r="B456" s="20" t="s">
        <v>210</v>
      </c>
      <c r="C456" s="19" t="s">
        <v>171</v>
      </c>
      <c r="D456" s="51">
        <f t="shared" ref="D456:D466" si="45">(27.88+0.75*(1.19+1+2.45))*10.764</f>
        <v>337.55903999999998</v>
      </c>
      <c r="E456" s="19">
        <v>0</v>
      </c>
      <c r="F456" s="19">
        <f t="shared" si="44"/>
        <v>506.33855999999997</v>
      </c>
      <c r="G456" s="105"/>
      <c r="H456" s="106"/>
      <c r="I456" s="50"/>
    </row>
    <row r="457" spans="1:11" s="49" customFormat="1" ht="15.75" customHeight="1" x14ac:dyDescent="0.25">
      <c r="A457" s="20">
        <v>3</v>
      </c>
      <c r="B457" s="20" t="s">
        <v>210</v>
      </c>
      <c r="C457" s="19" t="s">
        <v>171</v>
      </c>
      <c r="D457" s="51">
        <f t="shared" si="45"/>
        <v>337.55903999999998</v>
      </c>
      <c r="E457" s="19">
        <v>0</v>
      </c>
      <c r="F457" s="19">
        <f t="shared" si="44"/>
        <v>506.33855999999997</v>
      </c>
      <c r="G457" s="105"/>
      <c r="H457" s="106"/>
      <c r="I457" s="50"/>
    </row>
    <row r="458" spans="1:11" s="49" customFormat="1" ht="15.6" customHeight="1" x14ac:dyDescent="0.25">
      <c r="A458" s="20">
        <v>4</v>
      </c>
      <c r="B458" s="20" t="s">
        <v>210</v>
      </c>
      <c r="C458" s="19" t="s">
        <v>171</v>
      </c>
      <c r="D458" s="51">
        <f t="shared" si="45"/>
        <v>337.55903999999998</v>
      </c>
      <c r="E458" s="19">
        <v>0</v>
      </c>
      <c r="F458" s="19">
        <f t="shared" si="44"/>
        <v>506.33855999999997</v>
      </c>
      <c r="G458" s="105"/>
      <c r="H458" s="106"/>
      <c r="I458" s="50"/>
      <c r="K458" s="52"/>
    </row>
    <row r="459" spans="1:11" s="49" customFormat="1" ht="15.6" customHeight="1" x14ac:dyDescent="0.25">
      <c r="A459" s="20">
        <v>5</v>
      </c>
      <c r="B459" s="20" t="s">
        <v>210</v>
      </c>
      <c r="C459" s="19" t="s">
        <v>171</v>
      </c>
      <c r="D459" s="51">
        <f t="shared" si="45"/>
        <v>337.55903999999998</v>
      </c>
      <c r="E459" s="19">
        <v>0</v>
      </c>
      <c r="F459" s="19">
        <f t="shared" si="44"/>
        <v>506.33855999999997</v>
      </c>
      <c r="G459" s="105"/>
      <c r="H459" s="106"/>
      <c r="I459" s="50"/>
      <c r="J459" s="52"/>
    </row>
    <row r="460" spans="1:11" s="49" customFormat="1" ht="15.6" customHeight="1" x14ac:dyDescent="0.25">
      <c r="A460" s="20">
        <v>6</v>
      </c>
      <c r="B460" s="20" t="s">
        <v>210</v>
      </c>
      <c r="C460" s="19" t="s">
        <v>171</v>
      </c>
      <c r="D460" s="51">
        <f t="shared" si="45"/>
        <v>337.55903999999998</v>
      </c>
      <c r="E460" s="19">
        <v>0</v>
      </c>
      <c r="F460" s="19">
        <f t="shared" si="44"/>
        <v>506.33855999999997</v>
      </c>
      <c r="G460" s="105"/>
      <c r="H460" s="106"/>
      <c r="I460" s="50"/>
    </row>
    <row r="461" spans="1:11" s="49" customFormat="1" ht="15.75" customHeight="1" x14ac:dyDescent="0.25">
      <c r="A461" s="20">
        <v>7</v>
      </c>
      <c r="B461" s="20" t="s">
        <v>210</v>
      </c>
      <c r="C461" s="19" t="s">
        <v>171</v>
      </c>
      <c r="D461" s="51">
        <f t="shared" si="45"/>
        <v>337.55903999999998</v>
      </c>
      <c r="E461" s="19">
        <v>0</v>
      </c>
      <c r="F461" s="19">
        <f t="shared" si="44"/>
        <v>506.33855999999997</v>
      </c>
      <c r="G461" s="105"/>
      <c r="H461" s="106"/>
      <c r="I461" s="50"/>
    </row>
    <row r="462" spans="1:11" s="49" customFormat="1" ht="15.75" customHeight="1" x14ac:dyDescent="0.25">
      <c r="A462" s="20">
        <v>8</v>
      </c>
      <c r="B462" s="20" t="s">
        <v>210</v>
      </c>
      <c r="C462" s="19" t="s">
        <v>171</v>
      </c>
      <c r="D462" s="51">
        <f t="shared" si="45"/>
        <v>337.55903999999998</v>
      </c>
      <c r="E462" s="19">
        <v>0</v>
      </c>
      <c r="F462" s="19">
        <f t="shared" si="44"/>
        <v>506.33855999999997</v>
      </c>
      <c r="G462" s="105"/>
      <c r="H462" s="106"/>
      <c r="I462" s="50"/>
    </row>
    <row r="463" spans="1:11" s="49" customFormat="1" ht="15.6" customHeight="1" x14ac:dyDescent="0.25">
      <c r="A463" s="20">
        <v>9</v>
      </c>
      <c r="B463" s="20" t="s">
        <v>210</v>
      </c>
      <c r="C463" s="19" t="s">
        <v>171</v>
      </c>
      <c r="D463" s="51">
        <f t="shared" si="45"/>
        <v>337.55903999999998</v>
      </c>
      <c r="E463" s="19">
        <v>0</v>
      </c>
      <c r="F463" s="19">
        <f t="shared" si="44"/>
        <v>506.33855999999997</v>
      </c>
      <c r="G463" s="105"/>
      <c r="H463" s="106"/>
      <c r="I463" s="50"/>
      <c r="K463" s="52"/>
    </row>
    <row r="464" spans="1:11" s="49" customFormat="1" ht="15.6" customHeight="1" x14ac:dyDescent="0.25">
      <c r="A464" s="20">
        <v>10</v>
      </c>
      <c r="B464" s="20" t="s">
        <v>210</v>
      </c>
      <c r="C464" s="19" t="s">
        <v>171</v>
      </c>
      <c r="D464" s="51">
        <f t="shared" si="45"/>
        <v>337.55903999999998</v>
      </c>
      <c r="E464" s="19">
        <v>0</v>
      </c>
      <c r="F464" s="19">
        <f t="shared" si="44"/>
        <v>506.33855999999997</v>
      </c>
      <c r="G464" s="105"/>
      <c r="H464" s="106"/>
      <c r="I464" s="50"/>
      <c r="J464" s="52"/>
    </row>
    <row r="465" spans="1:11" s="49" customFormat="1" ht="15.6" customHeight="1" x14ac:dyDescent="0.25">
      <c r="A465" s="20">
        <v>11</v>
      </c>
      <c r="B465" s="20" t="s">
        <v>210</v>
      </c>
      <c r="C465" s="19" t="s">
        <v>171</v>
      </c>
      <c r="D465" s="51">
        <f t="shared" si="45"/>
        <v>337.55903999999998</v>
      </c>
      <c r="E465" s="19">
        <v>0</v>
      </c>
      <c r="F465" s="19">
        <f t="shared" si="44"/>
        <v>506.33855999999997</v>
      </c>
      <c r="G465" s="105"/>
      <c r="H465" s="106"/>
      <c r="I465" s="50"/>
    </row>
    <row r="466" spans="1:11" s="49" customFormat="1" ht="15.75" customHeight="1" x14ac:dyDescent="0.25">
      <c r="A466" s="20">
        <v>12</v>
      </c>
      <c r="B466" s="20" t="s">
        <v>210</v>
      </c>
      <c r="C466" s="19" t="s">
        <v>171</v>
      </c>
      <c r="D466" s="51">
        <f t="shared" si="45"/>
        <v>337.55903999999998</v>
      </c>
      <c r="E466" s="19">
        <v>0</v>
      </c>
      <c r="F466" s="19">
        <f t="shared" si="44"/>
        <v>506.33855999999997</v>
      </c>
      <c r="G466" s="107"/>
      <c r="H466" s="108"/>
      <c r="I466" s="50"/>
    </row>
    <row r="467" spans="1:11" s="49" customFormat="1" ht="15.75" customHeight="1" x14ac:dyDescent="0.25">
      <c r="A467" s="112" t="s">
        <v>209</v>
      </c>
      <c r="B467" s="113"/>
      <c r="C467" s="113"/>
      <c r="D467" s="113"/>
      <c r="E467" s="113"/>
      <c r="F467" s="113"/>
      <c r="G467" s="113"/>
      <c r="H467" s="114"/>
      <c r="I467" s="50"/>
    </row>
    <row r="468" spans="1:11" s="49" customFormat="1" ht="15.6" customHeight="1" x14ac:dyDescent="0.25">
      <c r="A468" s="20">
        <v>1</v>
      </c>
      <c r="B468" s="20" t="s">
        <v>210</v>
      </c>
      <c r="C468" s="19" t="s">
        <v>171</v>
      </c>
      <c r="D468" s="51">
        <f>(27.88+0.75*(1.19+1+2.45))*10.764</f>
        <v>337.55903999999998</v>
      </c>
      <c r="E468" s="19">
        <v>0</v>
      </c>
      <c r="F468" s="19">
        <f t="shared" ref="F468:F475" si="46">D468*(($F$285)+1)+(IF(E468&lt;101,E468,IF(E468&lt;201,E468/2,IF(E468&lt;=301,E468/3,E468/4))))</f>
        <v>506.33855999999997</v>
      </c>
      <c r="G468" s="103" t="str">
        <f>A467</f>
        <v>22nd Floor (Part Refuge Area)</v>
      </c>
      <c r="H468" s="104"/>
      <c r="I468" s="50">
        <f>2.89*3.24+1.64*2+2.45*3.8+1.2*0.95+1.65*1.2+1.19*0.81+1.2*1.2</f>
        <v>27.477500000000003</v>
      </c>
      <c r="J468" s="51">
        <v>10.763999999999999</v>
      </c>
      <c r="K468" s="52"/>
    </row>
    <row r="469" spans="1:11" s="49" customFormat="1" ht="15.6" customHeight="1" x14ac:dyDescent="0.25">
      <c r="A469" s="20">
        <v>2</v>
      </c>
      <c r="B469" s="20" t="s">
        <v>190</v>
      </c>
      <c r="C469" s="19" t="s">
        <v>171</v>
      </c>
      <c r="D469" s="51">
        <f t="shared" ref="D469:D479" si="47">(27.88+0.75*(1.19+1+2.45))*10.764</f>
        <v>337.55903999999998</v>
      </c>
      <c r="E469" s="19">
        <v>0</v>
      </c>
      <c r="F469" s="19">
        <f t="shared" si="46"/>
        <v>506.33855999999997</v>
      </c>
      <c r="G469" s="105"/>
      <c r="H469" s="106"/>
      <c r="I469" s="50"/>
    </row>
    <row r="470" spans="1:11" s="49" customFormat="1" ht="15.75" customHeight="1" x14ac:dyDescent="0.25">
      <c r="A470" s="20">
        <v>3</v>
      </c>
      <c r="B470" s="20" t="s">
        <v>190</v>
      </c>
      <c r="C470" s="19" t="s">
        <v>171</v>
      </c>
      <c r="D470" s="51">
        <f t="shared" si="47"/>
        <v>337.55903999999998</v>
      </c>
      <c r="E470" s="19">
        <v>0</v>
      </c>
      <c r="F470" s="19">
        <f t="shared" si="46"/>
        <v>506.33855999999997</v>
      </c>
      <c r="G470" s="105"/>
      <c r="H470" s="106"/>
      <c r="I470" s="50"/>
    </row>
    <row r="471" spans="1:11" s="49" customFormat="1" ht="15.6" customHeight="1" x14ac:dyDescent="0.25">
      <c r="A471" s="20">
        <v>4</v>
      </c>
      <c r="B471" s="20" t="s">
        <v>190</v>
      </c>
      <c r="C471" s="19" t="s">
        <v>171</v>
      </c>
      <c r="D471" s="51">
        <f t="shared" si="47"/>
        <v>337.55903999999998</v>
      </c>
      <c r="E471" s="19">
        <v>0</v>
      </c>
      <c r="F471" s="19">
        <f t="shared" si="46"/>
        <v>506.33855999999997</v>
      </c>
      <c r="G471" s="105"/>
      <c r="H471" s="106"/>
      <c r="I471" s="50"/>
      <c r="K471" s="52"/>
    </row>
    <row r="472" spans="1:11" s="49" customFormat="1" ht="15.6" customHeight="1" x14ac:dyDescent="0.25">
      <c r="A472" s="20">
        <v>5</v>
      </c>
      <c r="B472" s="20" t="s">
        <v>190</v>
      </c>
      <c r="C472" s="19" t="s">
        <v>171</v>
      </c>
      <c r="D472" s="51">
        <f t="shared" si="47"/>
        <v>337.55903999999998</v>
      </c>
      <c r="E472" s="19">
        <v>0</v>
      </c>
      <c r="F472" s="19">
        <f t="shared" si="46"/>
        <v>506.33855999999997</v>
      </c>
      <c r="G472" s="105"/>
      <c r="H472" s="106"/>
      <c r="I472" s="50"/>
      <c r="J472" s="52"/>
    </row>
    <row r="473" spans="1:11" s="49" customFormat="1" ht="15.6" customHeight="1" x14ac:dyDescent="0.25">
      <c r="A473" s="20">
        <v>6</v>
      </c>
      <c r="B473" s="20" t="s">
        <v>190</v>
      </c>
      <c r="C473" s="19" t="s">
        <v>171</v>
      </c>
      <c r="D473" s="51">
        <f t="shared" si="47"/>
        <v>337.55903999999998</v>
      </c>
      <c r="E473" s="19">
        <v>0</v>
      </c>
      <c r="F473" s="19">
        <f t="shared" si="46"/>
        <v>506.33855999999997</v>
      </c>
      <c r="G473" s="105"/>
      <c r="H473" s="106"/>
      <c r="I473" s="50"/>
    </row>
    <row r="474" spans="1:11" s="49" customFormat="1" ht="15.75" customHeight="1" x14ac:dyDescent="0.25">
      <c r="A474" s="20">
        <v>7</v>
      </c>
      <c r="B474" s="20" t="s">
        <v>190</v>
      </c>
      <c r="C474" s="19" t="s">
        <v>171</v>
      </c>
      <c r="D474" s="51">
        <f t="shared" si="47"/>
        <v>337.55903999999998</v>
      </c>
      <c r="E474" s="19">
        <v>0</v>
      </c>
      <c r="F474" s="19">
        <f t="shared" si="46"/>
        <v>506.33855999999997</v>
      </c>
      <c r="G474" s="105"/>
      <c r="H474" s="106"/>
      <c r="I474" s="50"/>
    </row>
    <row r="475" spans="1:11" s="49" customFormat="1" ht="15.6" customHeight="1" x14ac:dyDescent="0.25">
      <c r="A475" s="20">
        <v>8</v>
      </c>
      <c r="B475" s="20" t="s">
        <v>190</v>
      </c>
      <c r="C475" s="19" t="s">
        <v>171</v>
      </c>
      <c r="D475" s="51">
        <f t="shared" si="47"/>
        <v>337.55903999999998</v>
      </c>
      <c r="E475" s="19">
        <v>0</v>
      </c>
      <c r="F475" s="19">
        <f t="shared" si="46"/>
        <v>506.33855999999997</v>
      </c>
      <c r="G475" s="105"/>
      <c r="H475" s="106"/>
      <c r="I475" s="50"/>
      <c r="J475" s="52"/>
    </row>
    <row r="476" spans="1:11" s="49" customFormat="1" ht="15.6" customHeight="1" x14ac:dyDescent="0.25">
      <c r="A476" s="19">
        <v>9</v>
      </c>
      <c r="B476" s="101" t="s">
        <v>175</v>
      </c>
      <c r="C476" s="115"/>
      <c r="D476" s="115"/>
      <c r="E476" s="115"/>
      <c r="F476" s="102"/>
      <c r="G476" s="105"/>
      <c r="H476" s="106"/>
      <c r="I476" s="50"/>
      <c r="J476" s="52"/>
    </row>
    <row r="477" spans="1:11" s="49" customFormat="1" ht="15.6" customHeight="1" x14ac:dyDescent="0.25">
      <c r="A477" s="19">
        <v>10</v>
      </c>
      <c r="B477" s="19" t="s">
        <v>191</v>
      </c>
      <c r="C477" s="19" t="s">
        <v>171</v>
      </c>
      <c r="D477" s="51">
        <f t="shared" si="47"/>
        <v>337.55903999999998</v>
      </c>
      <c r="E477" s="19">
        <v>0</v>
      </c>
      <c r="F477" s="19">
        <f>D477*(($F$285)+1)+(IF(E477&lt;101,E477,IF(E477&lt;201,E477/2,IF(E477&lt;=301,E477/3,E477/4))))</f>
        <v>506.33855999999997</v>
      </c>
      <c r="G477" s="105"/>
      <c r="H477" s="106"/>
      <c r="I477" s="50"/>
    </row>
    <row r="478" spans="1:11" s="49" customFormat="1" ht="15.75" customHeight="1" x14ac:dyDescent="0.25">
      <c r="A478" s="19">
        <v>11</v>
      </c>
      <c r="B478" s="20" t="s">
        <v>210</v>
      </c>
      <c r="C478" s="19" t="s">
        <v>171</v>
      </c>
      <c r="D478" s="51">
        <f t="shared" si="47"/>
        <v>337.55903999999998</v>
      </c>
      <c r="E478" s="19">
        <v>0</v>
      </c>
      <c r="F478" s="19">
        <f>D478*(($F$285)+1)+(IF(E478&lt;101,E478,IF(E478&lt;201,E478/2,IF(E478&lt;=301,E478/3,E478/4))))</f>
        <v>506.33855999999997</v>
      </c>
      <c r="G478" s="105"/>
      <c r="H478" s="106"/>
      <c r="I478" s="50"/>
    </row>
    <row r="479" spans="1:11" s="49" customFormat="1" ht="15.6" customHeight="1" x14ac:dyDescent="0.25">
      <c r="A479" s="19">
        <v>12</v>
      </c>
      <c r="B479" s="20" t="s">
        <v>210</v>
      </c>
      <c r="C479" s="19" t="s">
        <v>171</v>
      </c>
      <c r="D479" s="51">
        <f t="shared" si="47"/>
        <v>337.55903999999998</v>
      </c>
      <c r="E479" s="19">
        <v>0</v>
      </c>
      <c r="F479" s="19">
        <f>D479*(($F$285)+1)+(IF(E479&lt;101,E479,IF(E479&lt;201,E479/2,IF(E479&lt;=301,E479/3,E479/4))))</f>
        <v>506.33855999999997</v>
      </c>
      <c r="G479" s="107"/>
      <c r="H479" s="108"/>
      <c r="I479" s="50"/>
      <c r="J479" s="52"/>
    </row>
    <row r="480" spans="1:11" s="49" customFormat="1" ht="15.75" customHeight="1" x14ac:dyDescent="0.25">
      <c r="A480" s="118" t="s">
        <v>208</v>
      </c>
      <c r="B480" s="118"/>
      <c r="C480" s="118"/>
      <c r="D480" s="118"/>
      <c r="E480" s="118"/>
      <c r="F480" s="118"/>
      <c r="G480" s="118"/>
      <c r="H480" s="118"/>
      <c r="I480" s="50"/>
    </row>
    <row r="481" spans="1:11" s="49" customFormat="1" x14ac:dyDescent="0.25">
      <c r="A481" s="67">
        <v>1</v>
      </c>
      <c r="B481" s="67" t="s">
        <v>190</v>
      </c>
      <c r="C481" s="66" t="s">
        <v>171</v>
      </c>
      <c r="D481" s="51">
        <f>(27.88+0.75*(1.19+1+2.45))*10.764</f>
        <v>337.55903999999998</v>
      </c>
      <c r="E481" s="66">
        <v>0</v>
      </c>
      <c r="F481" s="66">
        <f t="shared" ref="F481:F492" si="48">D481*(($F$285)+1)+(IF(E481&lt;101,E481,IF(E481&lt;201,E481/2,IF(E481&lt;=301,E481/3,E481/4))))</f>
        <v>506.33855999999997</v>
      </c>
      <c r="G481" s="160" t="str">
        <f>A480</f>
        <v>23rd Floor</v>
      </c>
      <c r="H481" s="160"/>
      <c r="I481" s="50">
        <f>2.89*3.24+1.64*2+2.45*3.8+1.2*0.95+1.65*1.2+1.19*0.81+1.2*1.2</f>
        <v>27.477500000000003</v>
      </c>
      <c r="J481" s="51">
        <v>10.763999999999999</v>
      </c>
      <c r="K481" s="52"/>
    </row>
    <row r="482" spans="1:11" s="49" customFormat="1" x14ac:dyDescent="0.25">
      <c r="A482" s="67">
        <v>2</v>
      </c>
      <c r="B482" s="67" t="s">
        <v>190</v>
      </c>
      <c r="C482" s="66" t="s">
        <v>171</v>
      </c>
      <c r="D482" s="51">
        <f t="shared" ref="D482:D492" si="49">(27.88+0.75*(1.19+1+2.45))*10.764</f>
        <v>337.55903999999998</v>
      </c>
      <c r="E482" s="66">
        <v>0</v>
      </c>
      <c r="F482" s="66">
        <f t="shared" si="48"/>
        <v>506.33855999999997</v>
      </c>
      <c r="G482" s="160"/>
      <c r="H482" s="160"/>
      <c r="I482" s="50"/>
    </row>
    <row r="483" spans="1:11" s="49" customFormat="1" ht="15.75" customHeight="1" x14ac:dyDescent="0.25">
      <c r="A483" s="67">
        <v>3</v>
      </c>
      <c r="B483" s="67" t="s">
        <v>190</v>
      </c>
      <c r="C483" s="66" t="s">
        <v>171</v>
      </c>
      <c r="D483" s="51">
        <f t="shared" si="49"/>
        <v>337.55903999999998</v>
      </c>
      <c r="E483" s="66">
        <v>0</v>
      </c>
      <c r="F483" s="66">
        <f t="shared" si="48"/>
        <v>506.33855999999997</v>
      </c>
      <c r="G483" s="160"/>
      <c r="H483" s="160"/>
      <c r="I483" s="50"/>
    </row>
    <row r="484" spans="1:11" s="49" customFormat="1" x14ac:dyDescent="0.25">
      <c r="A484" s="67">
        <v>4</v>
      </c>
      <c r="B484" s="67" t="s">
        <v>190</v>
      </c>
      <c r="C484" s="66" t="s">
        <v>171</v>
      </c>
      <c r="D484" s="51">
        <f t="shared" si="49"/>
        <v>337.55903999999998</v>
      </c>
      <c r="E484" s="66">
        <v>0</v>
      </c>
      <c r="F484" s="66">
        <f t="shared" si="48"/>
        <v>506.33855999999997</v>
      </c>
      <c r="G484" s="160"/>
      <c r="H484" s="160"/>
      <c r="I484" s="50"/>
      <c r="K484" s="52"/>
    </row>
    <row r="485" spans="1:11" s="49" customFormat="1" x14ac:dyDescent="0.25">
      <c r="A485" s="67">
        <v>5</v>
      </c>
      <c r="B485" s="67" t="s">
        <v>190</v>
      </c>
      <c r="C485" s="66" t="s">
        <v>171</v>
      </c>
      <c r="D485" s="51">
        <f t="shared" si="49"/>
        <v>337.55903999999998</v>
      </c>
      <c r="E485" s="66">
        <v>0</v>
      </c>
      <c r="F485" s="66">
        <f t="shared" si="48"/>
        <v>506.33855999999997</v>
      </c>
      <c r="G485" s="160"/>
      <c r="H485" s="160"/>
      <c r="I485" s="50"/>
      <c r="J485" s="52"/>
    </row>
    <row r="486" spans="1:11" s="49" customFormat="1" x14ac:dyDescent="0.25">
      <c r="A486" s="67">
        <v>6</v>
      </c>
      <c r="B486" s="67" t="s">
        <v>190</v>
      </c>
      <c r="C486" s="66" t="s">
        <v>171</v>
      </c>
      <c r="D486" s="51">
        <f t="shared" si="49"/>
        <v>337.55903999999998</v>
      </c>
      <c r="E486" s="66">
        <v>0</v>
      </c>
      <c r="F486" s="66">
        <f t="shared" si="48"/>
        <v>506.33855999999997</v>
      </c>
      <c r="G486" s="160"/>
      <c r="H486" s="160"/>
      <c r="I486" s="50"/>
    </row>
    <row r="487" spans="1:11" s="49" customFormat="1" ht="15.75" customHeight="1" x14ac:dyDescent="0.25">
      <c r="A487" s="67">
        <v>7</v>
      </c>
      <c r="B487" s="67" t="s">
        <v>190</v>
      </c>
      <c r="C487" s="66" t="s">
        <v>171</v>
      </c>
      <c r="D487" s="51">
        <f t="shared" si="49"/>
        <v>337.55903999999998</v>
      </c>
      <c r="E487" s="66">
        <v>0</v>
      </c>
      <c r="F487" s="66">
        <f t="shared" si="48"/>
        <v>506.33855999999997</v>
      </c>
      <c r="G487" s="160"/>
      <c r="H487" s="160"/>
      <c r="I487" s="50"/>
    </row>
    <row r="488" spans="1:11" s="49" customFormat="1" x14ac:dyDescent="0.25">
      <c r="A488" s="67">
        <v>8</v>
      </c>
      <c r="B488" s="67" t="s">
        <v>190</v>
      </c>
      <c r="C488" s="66" t="s">
        <v>171</v>
      </c>
      <c r="D488" s="51">
        <f t="shared" si="49"/>
        <v>337.55903999999998</v>
      </c>
      <c r="E488" s="66">
        <v>0</v>
      </c>
      <c r="F488" s="66">
        <f t="shared" si="48"/>
        <v>506.33855999999997</v>
      </c>
      <c r="G488" s="160"/>
      <c r="H488" s="160"/>
      <c r="I488" s="50"/>
      <c r="J488" s="52"/>
    </row>
    <row r="489" spans="1:11" s="49" customFormat="1" x14ac:dyDescent="0.25">
      <c r="A489" s="67">
        <v>9</v>
      </c>
      <c r="B489" s="67" t="s">
        <v>190</v>
      </c>
      <c r="C489" s="66" t="s">
        <v>171</v>
      </c>
      <c r="D489" s="51">
        <f t="shared" si="49"/>
        <v>337.55903999999998</v>
      </c>
      <c r="E489" s="66">
        <v>0</v>
      </c>
      <c r="F489" s="66">
        <f t="shared" si="48"/>
        <v>506.33855999999997</v>
      </c>
      <c r="G489" s="160"/>
      <c r="H489" s="160"/>
      <c r="I489" s="50"/>
      <c r="J489" s="52"/>
    </row>
    <row r="490" spans="1:11" s="49" customFormat="1" x14ac:dyDescent="0.25">
      <c r="A490" s="67">
        <v>10</v>
      </c>
      <c r="B490" s="67" t="s">
        <v>190</v>
      </c>
      <c r="C490" s="66" t="s">
        <v>171</v>
      </c>
      <c r="D490" s="51">
        <f t="shared" si="49"/>
        <v>337.55903999999998</v>
      </c>
      <c r="E490" s="66">
        <v>0</v>
      </c>
      <c r="F490" s="66">
        <f t="shared" si="48"/>
        <v>506.33855999999997</v>
      </c>
      <c r="G490" s="160"/>
      <c r="H490" s="160"/>
      <c r="I490" s="50"/>
    </row>
    <row r="491" spans="1:11" s="49" customFormat="1" ht="15.75" customHeight="1" x14ac:dyDescent="0.25">
      <c r="A491" s="67">
        <v>11</v>
      </c>
      <c r="B491" s="67" t="s">
        <v>190</v>
      </c>
      <c r="C491" s="66" t="s">
        <v>171</v>
      </c>
      <c r="D491" s="51">
        <f t="shared" si="49"/>
        <v>337.55903999999998</v>
      </c>
      <c r="E491" s="66">
        <v>0</v>
      </c>
      <c r="F491" s="66">
        <f t="shared" si="48"/>
        <v>506.33855999999997</v>
      </c>
      <c r="G491" s="160"/>
      <c r="H491" s="160"/>
      <c r="I491" s="50"/>
    </row>
    <row r="492" spans="1:11" s="49" customFormat="1" x14ac:dyDescent="0.25">
      <c r="A492" s="67">
        <v>12</v>
      </c>
      <c r="B492" s="67" t="s">
        <v>190</v>
      </c>
      <c r="C492" s="66" t="s">
        <v>171</v>
      </c>
      <c r="D492" s="51">
        <f t="shared" si="49"/>
        <v>337.55903999999998</v>
      </c>
      <c r="E492" s="66">
        <v>0</v>
      </c>
      <c r="F492" s="66">
        <f t="shared" si="48"/>
        <v>506.33855999999997</v>
      </c>
      <c r="G492" s="160"/>
      <c r="H492" s="160"/>
      <c r="I492" s="50"/>
      <c r="J492" s="52"/>
    </row>
    <row r="493" spans="1:11" s="49" customFormat="1" ht="15.75" customHeight="1" x14ac:dyDescent="0.25">
      <c r="A493" s="112" t="s">
        <v>212</v>
      </c>
      <c r="B493" s="113"/>
      <c r="C493" s="113"/>
      <c r="D493" s="113"/>
      <c r="E493" s="113"/>
      <c r="F493" s="113"/>
      <c r="G493" s="113"/>
      <c r="H493" s="114"/>
      <c r="I493" s="50"/>
    </row>
    <row r="494" spans="1:11" s="49" customFormat="1" ht="15.6" customHeight="1" x14ac:dyDescent="0.25">
      <c r="A494" s="19">
        <v>1</v>
      </c>
      <c r="B494" s="103" t="s">
        <v>211</v>
      </c>
      <c r="C494" s="197"/>
      <c r="D494" s="197"/>
      <c r="E494" s="197"/>
      <c r="F494" s="104"/>
      <c r="G494" s="103" t="str">
        <f>A493</f>
        <v>24th Floor (Ammenity Area)</v>
      </c>
      <c r="H494" s="104"/>
      <c r="I494" s="50">
        <f>2.89*3.24+1.64*2+2.45*3.8+1.2*0.95+1.65*1.2+1.19*0.81+1.2*1.2</f>
        <v>27.477500000000003</v>
      </c>
      <c r="J494" s="51">
        <v>10.763999999999999</v>
      </c>
      <c r="K494" s="52"/>
    </row>
    <row r="495" spans="1:11" s="49" customFormat="1" ht="15.6" customHeight="1" x14ac:dyDescent="0.25">
      <c r="A495" s="19">
        <v>2</v>
      </c>
      <c r="B495" s="105"/>
      <c r="C495" s="198"/>
      <c r="D495" s="198"/>
      <c r="E495" s="198"/>
      <c r="F495" s="106"/>
      <c r="G495" s="105"/>
      <c r="H495" s="106"/>
      <c r="I495" s="50"/>
    </row>
    <row r="496" spans="1:11" s="49" customFormat="1" ht="15.75" customHeight="1" x14ac:dyDescent="0.25">
      <c r="A496" s="19">
        <v>3</v>
      </c>
      <c r="B496" s="105"/>
      <c r="C496" s="198"/>
      <c r="D496" s="198"/>
      <c r="E496" s="198"/>
      <c r="F496" s="106"/>
      <c r="G496" s="105"/>
      <c r="H496" s="106"/>
      <c r="I496" s="50"/>
    </row>
    <row r="497" spans="1:11" s="49" customFormat="1" ht="15.6" customHeight="1" x14ac:dyDescent="0.25">
      <c r="A497" s="19">
        <v>4</v>
      </c>
      <c r="B497" s="105"/>
      <c r="C497" s="198"/>
      <c r="D497" s="198"/>
      <c r="E497" s="198"/>
      <c r="F497" s="106"/>
      <c r="G497" s="105"/>
      <c r="H497" s="106"/>
      <c r="I497" s="50"/>
      <c r="K497" s="52"/>
    </row>
    <row r="498" spans="1:11" s="49" customFormat="1" ht="15.6" customHeight="1" x14ac:dyDescent="0.25">
      <c r="A498" s="19">
        <v>5</v>
      </c>
      <c r="B498" s="105"/>
      <c r="C498" s="198"/>
      <c r="D498" s="198"/>
      <c r="E498" s="198"/>
      <c r="F498" s="106"/>
      <c r="G498" s="105"/>
      <c r="H498" s="106"/>
      <c r="I498" s="50"/>
      <c r="J498" s="52"/>
    </row>
    <row r="499" spans="1:11" s="49" customFormat="1" ht="15.6" customHeight="1" x14ac:dyDescent="0.25">
      <c r="A499" s="19">
        <v>6</v>
      </c>
      <c r="B499" s="107"/>
      <c r="C499" s="199"/>
      <c r="D499" s="199"/>
      <c r="E499" s="199"/>
      <c r="F499" s="108"/>
      <c r="G499" s="105"/>
      <c r="H499" s="106"/>
      <c r="I499" s="50"/>
    </row>
    <row r="500" spans="1:11" s="49" customFormat="1" ht="15.75" customHeight="1" x14ac:dyDescent="0.25">
      <c r="A500" s="19">
        <v>7</v>
      </c>
      <c r="B500" s="103" t="s">
        <v>198</v>
      </c>
      <c r="C500" s="197"/>
      <c r="D500" s="197"/>
      <c r="E500" s="197"/>
      <c r="F500" s="104"/>
      <c r="G500" s="105"/>
      <c r="H500" s="106"/>
      <c r="I500" s="50"/>
    </row>
    <row r="501" spans="1:11" s="49" customFormat="1" ht="15.6" customHeight="1" x14ac:dyDescent="0.25">
      <c r="A501" s="19">
        <v>8</v>
      </c>
      <c r="B501" s="105"/>
      <c r="C501" s="198"/>
      <c r="D501" s="198"/>
      <c r="E501" s="198"/>
      <c r="F501" s="106"/>
      <c r="G501" s="105"/>
      <c r="H501" s="106"/>
      <c r="I501" s="50"/>
      <c r="J501" s="52"/>
    </row>
    <row r="502" spans="1:11" s="49" customFormat="1" ht="15.6" customHeight="1" x14ac:dyDescent="0.25">
      <c r="A502" s="19">
        <v>9</v>
      </c>
      <c r="B502" s="107"/>
      <c r="C502" s="199"/>
      <c r="D502" s="199"/>
      <c r="E502" s="199"/>
      <c r="F502" s="108"/>
      <c r="G502" s="105"/>
      <c r="H502" s="106"/>
      <c r="I502" s="50"/>
      <c r="J502" s="52"/>
    </row>
    <row r="503" spans="1:11" s="49" customFormat="1" ht="15.6" customHeight="1" x14ac:dyDescent="0.25">
      <c r="A503" s="19">
        <v>10</v>
      </c>
      <c r="B503" s="103" t="s">
        <v>194</v>
      </c>
      <c r="C503" s="197"/>
      <c r="D503" s="197"/>
      <c r="E503" s="197"/>
      <c r="F503" s="104"/>
      <c r="G503" s="105"/>
      <c r="H503" s="106"/>
      <c r="I503" s="50"/>
    </row>
    <row r="504" spans="1:11" s="49" customFormat="1" ht="15.75" customHeight="1" x14ac:dyDescent="0.25">
      <c r="A504" s="19">
        <v>11</v>
      </c>
      <c r="B504" s="107"/>
      <c r="C504" s="199"/>
      <c r="D504" s="199"/>
      <c r="E504" s="199"/>
      <c r="F504" s="108"/>
      <c r="G504" s="105"/>
      <c r="H504" s="106"/>
      <c r="I504" s="50"/>
    </row>
    <row r="505" spans="1:11" s="49" customFormat="1" ht="15.6" customHeight="1" x14ac:dyDescent="0.25">
      <c r="A505" s="20">
        <v>12</v>
      </c>
      <c r="B505" s="20" t="s">
        <v>210</v>
      </c>
      <c r="C505" s="19" t="s">
        <v>171</v>
      </c>
      <c r="D505" s="51">
        <f t="shared" ref="D505" si="50">(27.88+0.75*(1.19+1+2.45))*10.764</f>
        <v>337.55903999999998</v>
      </c>
      <c r="E505" s="19">
        <v>0</v>
      </c>
      <c r="F505" s="19">
        <f>D505*(($F$285)+1)+(IF(E505&lt;101,E505,IF(E505&lt;201,E505/2,IF(E505&lt;=301,E505/3,E505/4))))</f>
        <v>506.33855999999997</v>
      </c>
      <c r="G505" s="107"/>
      <c r="H505" s="108"/>
      <c r="I505" s="50"/>
      <c r="J505" s="52"/>
    </row>
    <row r="506" spans="1:11" s="44" customFormat="1" x14ac:dyDescent="0.25">
      <c r="A506" s="159" t="s">
        <v>69</v>
      </c>
      <c r="B506" s="159"/>
      <c r="C506" s="159"/>
      <c r="D506" s="159"/>
      <c r="E506" s="159"/>
      <c r="F506" s="159"/>
      <c r="G506" s="159"/>
      <c r="H506" s="159"/>
    </row>
    <row r="507" spans="1:11" s="44" customFormat="1" ht="66.75" customHeight="1" x14ac:dyDescent="0.25">
      <c r="A507" s="45" t="s">
        <v>154</v>
      </c>
      <c r="B507" s="75" t="s">
        <v>298</v>
      </c>
      <c r="C507" s="76"/>
      <c r="D507" s="76"/>
      <c r="E507" s="76"/>
      <c r="F507" s="76"/>
      <c r="G507" s="76"/>
      <c r="H507" s="77"/>
    </row>
    <row r="508" spans="1:11" s="44" customFormat="1" x14ac:dyDescent="0.25">
      <c r="A508" s="45" t="s">
        <v>154</v>
      </c>
      <c r="B508" s="75" t="str">
        <f>(IF(F284="Saleable area Loading :","We have considered Saleable area of Flats as per our Calculation.","We considered Saleable area of Flat as per Builder area Sheet."))</f>
        <v>We have considered Saleable area of Flats as per our Calculation.</v>
      </c>
      <c r="C508" s="76"/>
      <c r="D508" s="76"/>
      <c r="E508" s="76"/>
      <c r="F508" s="76"/>
      <c r="G508" s="76"/>
      <c r="H508" s="77"/>
    </row>
    <row r="509" spans="1:11" s="44" customFormat="1" x14ac:dyDescent="0.25">
      <c r="A509" s="45" t="s">
        <v>154</v>
      </c>
      <c r="B509" s="75" t="str">
        <f>(IF(F202="Saleable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09" s="76"/>
      <c r="D509" s="76"/>
      <c r="E509" s="76"/>
      <c r="F509" s="76"/>
      <c r="G509" s="76"/>
      <c r="H509" s="77"/>
    </row>
    <row r="510" spans="1:11" s="44" customFormat="1" x14ac:dyDescent="0.25">
      <c r="A510" s="45" t="s">
        <v>154</v>
      </c>
      <c r="B510" s="75" t="s">
        <v>125</v>
      </c>
      <c r="C510" s="76"/>
      <c r="D510" s="76"/>
      <c r="E510" s="76"/>
      <c r="F510" s="76"/>
      <c r="G510" s="76"/>
      <c r="H510" s="77"/>
    </row>
    <row r="511" spans="1:11" s="44" customFormat="1" x14ac:dyDescent="0.25">
      <c r="A511" s="45" t="s">
        <v>154</v>
      </c>
      <c r="B511" s="75" t="s">
        <v>269</v>
      </c>
      <c r="C511" s="76"/>
      <c r="D511" s="76"/>
      <c r="E511" s="76"/>
      <c r="F511" s="76"/>
      <c r="G511" s="76"/>
      <c r="H511" s="77"/>
    </row>
    <row r="512" spans="1:11" s="44" customFormat="1" x14ac:dyDescent="0.25">
      <c r="A512" s="45" t="s">
        <v>154</v>
      </c>
      <c r="B512" s="75" t="s">
        <v>153</v>
      </c>
      <c r="C512" s="76"/>
      <c r="D512" s="76"/>
      <c r="E512" s="76"/>
      <c r="F512" s="76"/>
      <c r="G512" s="76"/>
      <c r="H512" s="77"/>
    </row>
    <row r="513" spans="1:8" s="44" customFormat="1" x14ac:dyDescent="0.25">
      <c r="A513" s="45" t="s">
        <v>154</v>
      </c>
      <c r="B513" s="75" t="s">
        <v>126</v>
      </c>
      <c r="C513" s="76"/>
      <c r="D513" s="76"/>
      <c r="E513" s="76"/>
      <c r="F513" s="76"/>
      <c r="G513" s="76"/>
      <c r="H513" s="77"/>
    </row>
    <row r="514" spans="1:8" s="44" customFormat="1" ht="34.5" customHeight="1" x14ac:dyDescent="0.25">
      <c r="A514" s="45" t="s">
        <v>154</v>
      </c>
      <c r="B514" s="75" t="s">
        <v>156</v>
      </c>
      <c r="C514" s="76"/>
      <c r="D514" s="76"/>
      <c r="E514" s="76"/>
      <c r="F514" s="76"/>
      <c r="G514" s="76"/>
      <c r="H514" s="77"/>
    </row>
    <row r="515" spans="1:8" s="44" customFormat="1" x14ac:dyDescent="0.25">
      <c r="A515" s="45" t="s">
        <v>154</v>
      </c>
      <c r="B515" s="75" t="s">
        <v>127</v>
      </c>
      <c r="C515" s="76"/>
      <c r="D515" s="76"/>
      <c r="E515" s="76"/>
      <c r="F515" s="76"/>
      <c r="G515" s="76"/>
      <c r="H515" s="77"/>
    </row>
    <row r="516" spans="1:8" s="44" customFormat="1" hidden="1" x14ac:dyDescent="0.25">
      <c r="A516" s="45" t="s">
        <v>154</v>
      </c>
      <c r="B516" s="75" t="s">
        <v>167</v>
      </c>
      <c r="C516" s="76"/>
      <c r="D516" s="76"/>
      <c r="E516" s="76"/>
      <c r="F516" s="76"/>
      <c r="G516" s="76"/>
      <c r="H516" s="77"/>
    </row>
    <row r="517" spans="1:8" s="44" customFormat="1" x14ac:dyDescent="0.25">
      <c r="A517" s="45" t="s">
        <v>154</v>
      </c>
      <c r="B517" s="75" t="s">
        <v>225</v>
      </c>
      <c r="C517" s="76"/>
      <c r="D517" s="76"/>
      <c r="E517" s="76"/>
      <c r="F517" s="76"/>
      <c r="G517" s="76"/>
      <c r="H517" s="77"/>
    </row>
    <row r="518" spans="1:8" s="44" customFormat="1" x14ac:dyDescent="0.25">
      <c r="A518" s="45" t="s">
        <v>154</v>
      </c>
      <c r="B518" s="75" t="s">
        <v>268</v>
      </c>
      <c r="C518" s="76"/>
      <c r="D518" s="76"/>
      <c r="E518" s="76"/>
      <c r="F518" s="76"/>
      <c r="G518" s="76"/>
      <c r="H518" s="77"/>
    </row>
    <row r="519" spans="1:8" s="44" customFormat="1" ht="36.75" customHeight="1" x14ac:dyDescent="0.25">
      <c r="A519" s="45" t="s">
        <v>154</v>
      </c>
      <c r="B519" s="75" t="s">
        <v>282</v>
      </c>
      <c r="C519" s="76"/>
      <c r="D519" s="76"/>
      <c r="E519" s="76"/>
      <c r="F519" s="76"/>
      <c r="G519" s="76"/>
      <c r="H519" s="77"/>
    </row>
    <row r="520" spans="1:8" s="44" customFormat="1" x14ac:dyDescent="0.25">
      <c r="A520" s="45" t="s">
        <v>154</v>
      </c>
      <c r="B520" s="75" t="s">
        <v>296</v>
      </c>
      <c r="C520" s="76"/>
      <c r="D520" s="76"/>
      <c r="E520" s="76"/>
      <c r="F520" s="76"/>
      <c r="G520" s="76"/>
      <c r="H520" s="77"/>
    </row>
    <row r="521" spans="1:8" s="44" customFormat="1" x14ac:dyDescent="0.25">
      <c r="A521" s="45" t="s">
        <v>154</v>
      </c>
      <c r="B521" s="75" t="s">
        <v>293</v>
      </c>
      <c r="C521" s="76"/>
      <c r="D521" s="76"/>
      <c r="E521" s="76"/>
      <c r="F521" s="76"/>
      <c r="G521" s="76"/>
      <c r="H521" s="77"/>
    </row>
    <row r="522" spans="1:8" x14ac:dyDescent="0.25">
      <c r="A522" s="148" t="s">
        <v>62</v>
      </c>
      <c r="B522" s="148"/>
      <c r="C522" s="148"/>
      <c r="D522" s="148"/>
      <c r="E522" s="148"/>
      <c r="F522" s="148"/>
      <c r="G522" s="148"/>
      <c r="H522" s="148"/>
    </row>
    <row r="523" spans="1:8" x14ac:dyDescent="0.25">
      <c r="A523" s="132" t="s">
        <v>63</v>
      </c>
      <c r="B523" s="132"/>
      <c r="C523" s="132"/>
      <c r="D523" s="132"/>
      <c r="E523" s="132"/>
      <c r="F523" s="132"/>
      <c r="G523" s="132"/>
      <c r="H523" s="132"/>
    </row>
    <row r="524" spans="1:8" ht="15.75" customHeight="1" x14ac:dyDescent="0.25">
      <c r="A524" s="175" t="s">
        <v>64</v>
      </c>
      <c r="B524" s="175"/>
      <c r="C524" s="175"/>
      <c r="D524" s="175"/>
      <c r="E524" s="175"/>
      <c r="F524" s="175"/>
      <c r="G524" s="175"/>
      <c r="H524" s="175"/>
    </row>
    <row r="525" spans="1:8" x14ac:dyDescent="0.25">
      <c r="A525" s="132" t="s">
        <v>65</v>
      </c>
      <c r="B525" s="132"/>
      <c r="C525" s="132"/>
      <c r="D525" s="132"/>
      <c r="E525" s="132"/>
      <c r="F525" s="132"/>
      <c r="G525" s="132"/>
      <c r="H525" s="132"/>
    </row>
    <row r="526" spans="1:8" x14ac:dyDescent="0.25">
      <c r="A526" s="132" t="s">
        <v>66</v>
      </c>
      <c r="B526" s="132"/>
      <c r="C526" s="132"/>
      <c r="D526" s="132"/>
      <c r="E526" s="132"/>
      <c r="F526" s="132"/>
      <c r="G526" s="132"/>
      <c r="H526" s="132"/>
    </row>
    <row r="527" spans="1:8" x14ac:dyDescent="0.25">
      <c r="A527" s="132" t="s">
        <v>128</v>
      </c>
      <c r="B527" s="132"/>
      <c r="C527" s="132"/>
      <c r="D527" s="132"/>
      <c r="E527" s="132"/>
      <c r="F527" s="132"/>
      <c r="G527" s="132"/>
      <c r="H527" s="132"/>
    </row>
    <row r="528" spans="1:8" ht="35.25" customHeight="1" x14ac:dyDescent="0.25">
      <c r="A528" s="144" t="s">
        <v>129</v>
      </c>
      <c r="B528" s="144"/>
      <c r="C528" s="144"/>
      <c r="D528" s="144"/>
      <c r="E528" s="144"/>
      <c r="F528" s="144"/>
      <c r="G528" s="144"/>
      <c r="H528" s="144"/>
    </row>
    <row r="529" spans="1:8" x14ac:dyDescent="0.25">
      <c r="A529" s="165" t="s">
        <v>77</v>
      </c>
      <c r="B529" s="165"/>
      <c r="C529" s="165" t="s">
        <v>229</v>
      </c>
      <c r="D529" s="165"/>
      <c r="E529" s="165" t="s">
        <v>108</v>
      </c>
      <c r="F529" s="165"/>
      <c r="G529" s="165" t="s">
        <v>299</v>
      </c>
      <c r="H529" s="165"/>
    </row>
    <row r="530" spans="1:8" x14ac:dyDescent="0.25">
      <c r="A530" s="74" t="s">
        <v>79</v>
      </c>
      <c r="B530" s="74"/>
      <c r="C530" s="74"/>
      <c r="D530" s="74"/>
      <c r="E530" s="74"/>
      <c r="F530" s="74"/>
      <c r="G530" s="74"/>
      <c r="H530" s="74"/>
    </row>
    <row r="531" spans="1:8" x14ac:dyDescent="0.25">
      <c r="A531" s="74"/>
      <c r="B531" s="74"/>
      <c r="C531" s="74"/>
      <c r="D531" s="74"/>
      <c r="E531" s="74"/>
      <c r="F531" s="74"/>
      <c r="G531" s="74"/>
      <c r="H531" s="74"/>
    </row>
    <row r="532" spans="1:8" x14ac:dyDescent="0.25">
      <c r="A532" s="74"/>
      <c r="B532" s="74"/>
      <c r="C532" s="74"/>
      <c r="D532" s="74"/>
      <c r="E532" s="74"/>
      <c r="F532" s="74"/>
      <c r="G532" s="74"/>
      <c r="H532" s="74"/>
    </row>
    <row r="533" spans="1:8" x14ac:dyDescent="0.25">
      <c r="A533" s="74"/>
      <c r="B533" s="74"/>
      <c r="C533" s="74"/>
      <c r="D533" s="74"/>
      <c r="E533" s="74"/>
      <c r="F533" s="74"/>
      <c r="G533" s="74"/>
      <c r="H533" s="74"/>
    </row>
    <row r="534" spans="1:8" x14ac:dyDescent="0.25">
      <c r="A534" s="54" t="s">
        <v>67</v>
      </c>
      <c r="B534" s="55"/>
      <c r="C534" s="55"/>
      <c r="D534" s="54" t="str">
        <f>E8</f>
        <v>Larkins 315</v>
      </c>
      <c r="F534" s="55"/>
      <c r="G534" s="55"/>
      <c r="H534" s="55"/>
    </row>
    <row r="535" spans="1:8" x14ac:dyDescent="0.25">
      <c r="A535" s="55"/>
      <c r="B535" s="55"/>
      <c r="C535" s="55"/>
      <c r="D535" s="55"/>
      <c r="E535" s="55"/>
      <c r="F535" s="55"/>
      <c r="G535" s="55"/>
      <c r="H535" s="55"/>
    </row>
    <row r="536" spans="1:8" x14ac:dyDescent="0.25">
      <c r="A536" s="55"/>
      <c r="B536" s="55"/>
      <c r="C536" s="55"/>
      <c r="D536" s="55"/>
      <c r="E536" s="55"/>
      <c r="F536" s="55"/>
      <c r="G536" s="55"/>
      <c r="H536" s="55"/>
    </row>
    <row r="537" spans="1:8" ht="15" customHeight="1" x14ac:dyDescent="0.25"/>
    <row r="577" spans="1:1" x14ac:dyDescent="0.25">
      <c r="A577" s="57" t="s">
        <v>265</v>
      </c>
    </row>
    <row r="619" spans="1:1" x14ac:dyDescent="0.25">
      <c r="A619" s="57" t="s">
        <v>68</v>
      </c>
    </row>
  </sheetData>
  <mergeCells count="721">
    <mergeCell ref="B521:H521"/>
    <mergeCell ref="B519:H519"/>
    <mergeCell ref="C168:D168"/>
    <mergeCell ref="E168:F168"/>
    <mergeCell ref="G168:H168"/>
    <mergeCell ref="C171:D171"/>
    <mergeCell ref="E171:F171"/>
    <mergeCell ref="G171:H171"/>
    <mergeCell ref="A177:B177"/>
    <mergeCell ref="C177:D177"/>
    <mergeCell ref="E177:F177"/>
    <mergeCell ref="G177:H177"/>
    <mergeCell ref="A172:B172"/>
    <mergeCell ref="C172:D172"/>
    <mergeCell ref="E172:F172"/>
    <mergeCell ref="G172:H172"/>
    <mergeCell ref="A167:A168"/>
    <mergeCell ref="A170:A171"/>
    <mergeCell ref="C169:D169"/>
    <mergeCell ref="E169:F169"/>
    <mergeCell ref="G169:H169"/>
    <mergeCell ref="A178:B178"/>
    <mergeCell ref="A357:B357"/>
    <mergeCell ref="A358:B358"/>
    <mergeCell ref="A428:H428"/>
    <mergeCell ref="L272:M272"/>
    <mergeCell ref="L273:M273"/>
    <mergeCell ref="L276:M276"/>
    <mergeCell ref="L277:M277"/>
    <mergeCell ref="A359:B359"/>
    <mergeCell ref="A360:B360"/>
    <mergeCell ref="A341:H341"/>
    <mergeCell ref="A342:B342"/>
    <mergeCell ref="G342:H351"/>
    <mergeCell ref="A355:B355"/>
    <mergeCell ref="A343:B343"/>
    <mergeCell ref="L329:M329"/>
    <mergeCell ref="A334:B334"/>
    <mergeCell ref="A335:B335"/>
    <mergeCell ref="A336:B336"/>
    <mergeCell ref="A337:B337"/>
    <mergeCell ref="A338:B338"/>
    <mergeCell ref="A339:B339"/>
    <mergeCell ref="A340:B340"/>
    <mergeCell ref="G331:H340"/>
    <mergeCell ref="L288:M288"/>
    <mergeCell ref="A283:H283"/>
    <mergeCell ref="A284:A285"/>
    <mergeCell ref="L260:M260"/>
    <mergeCell ref="L261:M261"/>
    <mergeCell ref="L262:M262"/>
    <mergeCell ref="A294:B294"/>
    <mergeCell ref="B273:F273"/>
    <mergeCell ref="B282:F282"/>
    <mergeCell ref="A274:H274"/>
    <mergeCell ref="A275:H275"/>
    <mergeCell ref="L280:M280"/>
    <mergeCell ref="A292:H292"/>
    <mergeCell ref="A286:H286"/>
    <mergeCell ref="A287:H287"/>
    <mergeCell ref="L282:M282"/>
    <mergeCell ref="C284:C285"/>
    <mergeCell ref="G251:H273"/>
    <mergeCell ref="A290:B290"/>
    <mergeCell ref="L251:M251"/>
    <mergeCell ref="L252:M252"/>
    <mergeCell ref="L253:M253"/>
    <mergeCell ref="L281:M281"/>
    <mergeCell ref="L269:M269"/>
    <mergeCell ref="L270:M270"/>
    <mergeCell ref="L271:M271"/>
    <mergeCell ref="L266:M266"/>
    <mergeCell ref="L243:M243"/>
    <mergeCell ref="A244:B244"/>
    <mergeCell ref="L244:M244"/>
    <mergeCell ref="A245:B245"/>
    <mergeCell ref="L245:M245"/>
    <mergeCell ref="A246:B246"/>
    <mergeCell ref="L246:M246"/>
    <mergeCell ref="A247:B247"/>
    <mergeCell ref="L247:M247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L228:M228"/>
    <mergeCell ref="A225:B225"/>
    <mergeCell ref="L225:M225"/>
    <mergeCell ref="A226:B226"/>
    <mergeCell ref="L226:M226"/>
    <mergeCell ref="A227:B227"/>
    <mergeCell ref="L227:M227"/>
    <mergeCell ref="L222:M222"/>
    <mergeCell ref="A223:B223"/>
    <mergeCell ref="A228:B228"/>
    <mergeCell ref="L223:M223"/>
    <mergeCell ref="A224:B224"/>
    <mergeCell ref="L224:M224"/>
    <mergeCell ref="A222:B222"/>
    <mergeCell ref="G382:H393"/>
    <mergeCell ref="A380:B380"/>
    <mergeCell ref="C380:F380"/>
    <mergeCell ref="A381:H381"/>
    <mergeCell ref="A377:B377"/>
    <mergeCell ref="C377:F377"/>
    <mergeCell ref="A107:B107"/>
    <mergeCell ref="C107:H107"/>
    <mergeCell ref="C192:D192"/>
    <mergeCell ref="A233:B233"/>
    <mergeCell ref="A234:B234"/>
    <mergeCell ref="A235:B235"/>
    <mergeCell ref="A176:B176"/>
    <mergeCell ref="C176:D176"/>
    <mergeCell ref="E176:F176"/>
    <mergeCell ref="G176:H176"/>
    <mergeCell ref="G208:H217"/>
    <mergeCell ref="G219:H228"/>
    <mergeCell ref="A229:H229"/>
    <mergeCell ref="A230:H230"/>
    <mergeCell ref="A231:H231"/>
    <mergeCell ref="A232:B232"/>
    <mergeCell ref="G232:H236"/>
    <mergeCell ref="C191:D191"/>
    <mergeCell ref="B419:F419"/>
    <mergeCell ref="A408:H408"/>
    <mergeCell ref="A407:H407"/>
    <mergeCell ref="B403:F403"/>
    <mergeCell ref="G409:H414"/>
    <mergeCell ref="A415:H415"/>
    <mergeCell ref="B416:F416"/>
    <mergeCell ref="B417:F417"/>
    <mergeCell ref="B418:F418"/>
    <mergeCell ref="G395:H406"/>
    <mergeCell ref="B420:F420"/>
    <mergeCell ref="B421:F421"/>
    <mergeCell ref="G416:H426"/>
    <mergeCell ref="G427:H427"/>
    <mergeCell ref="G276:H282"/>
    <mergeCell ref="G289:H291"/>
    <mergeCell ref="G293:H295"/>
    <mergeCell ref="G317:H325"/>
    <mergeCell ref="A328:H328"/>
    <mergeCell ref="B276:F277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C351:F351"/>
    <mergeCell ref="A362:H362"/>
    <mergeCell ref="A329:H329"/>
    <mergeCell ref="G353:H361"/>
    <mergeCell ref="A356:B356"/>
    <mergeCell ref="G367:H367"/>
    <mergeCell ref="G468:H479"/>
    <mergeCell ref="G455:H466"/>
    <mergeCell ref="G442:H453"/>
    <mergeCell ref="A480:H480"/>
    <mergeCell ref="G481:H492"/>
    <mergeCell ref="A493:H493"/>
    <mergeCell ref="G494:H505"/>
    <mergeCell ref="B476:F476"/>
    <mergeCell ref="B494:F499"/>
    <mergeCell ref="B500:F502"/>
    <mergeCell ref="B503:F504"/>
    <mergeCell ref="A454:H454"/>
    <mergeCell ref="B450:F450"/>
    <mergeCell ref="A378:B378"/>
    <mergeCell ref="C378:F378"/>
    <mergeCell ref="A379:B379"/>
    <mergeCell ref="C379:F379"/>
    <mergeCell ref="G369:H380"/>
    <mergeCell ref="B372:F372"/>
    <mergeCell ref="C376:F376"/>
    <mergeCell ref="L366:M366"/>
    <mergeCell ref="L278:M278"/>
    <mergeCell ref="A301:B301"/>
    <mergeCell ref="A326:H326"/>
    <mergeCell ref="A327:H327"/>
    <mergeCell ref="A330:H330"/>
    <mergeCell ref="L330:M330"/>
    <mergeCell ref="A331:B331"/>
    <mergeCell ref="A332:B332"/>
    <mergeCell ref="A333:B333"/>
    <mergeCell ref="A352:H352"/>
    <mergeCell ref="A353:B353"/>
    <mergeCell ref="A354:B354"/>
    <mergeCell ref="A291:B291"/>
    <mergeCell ref="A297:B297"/>
    <mergeCell ref="A298:B298"/>
    <mergeCell ref="A299:B299"/>
    <mergeCell ref="G297:H305"/>
    <mergeCell ref="A364:H364"/>
    <mergeCell ref="G307:H315"/>
    <mergeCell ref="A309:B309"/>
    <mergeCell ref="A306:H306"/>
    <mergeCell ref="A307:B307"/>
    <mergeCell ref="A308:B308"/>
    <mergeCell ref="A311:B311"/>
    <mergeCell ref="A312:B312"/>
    <mergeCell ref="A310:B310"/>
    <mergeCell ref="A318:B318"/>
    <mergeCell ref="A313:B313"/>
    <mergeCell ref="A325:B325"/>
    <mergeCell ref="A320:B320"/>
    <mergeCell ref="A321:B321"/>
    <mergeCell ref="A363:H363"/>
    <mergeCell ref="A302:B302"/>
    <mergeCell ref="A300:B300"/>
    <mergeCell ref="A361:B361"/>
    <mergeCell ref="C307:F307"/>
    <mergeCell ref="L267:M267"/>
    <mergeCell ref="L268:M268"/>
    <mergeCell ref="L279:M279"/>
    <mergeCell ref="L265:M265"/>
    <mergeCell ref="A114:B114"/>
    <mergeCell ref="L257:M257"/>
    <mergeCell ref="L258:M258"/>
    <mergeCell ref="L259:M259"/>
    <mergeCell ref="L254:M254"/>
    <mergeCell ref="L255:M255"/>
    <mergeCell ref="L256:M256"/>
    <mergeCell ref="L263:M263"/>
    <mergeCell ref="L264:M264"/>
    <mergeCell ref="A237:H237"/>
    <mergeCell ref="A238:B238"/>
    <mergeCell ref="G238:H247"/>
    <mergeCell ref="A243:B243"/>
    <mergeCell ref="C178:D178"/>
    <mergeCell ref="E178:F178"/>
    <mergeCell ref="G178:H178"/>
    <mergeCell ref="A236:B236"/>
    <mergeCell ref="L232:M232"/>
    <mergeCell ref="L233:M233"/>
    <mergeCell ref="L234:M234"/>
    <mergeCell ref="L235:M235"/>
    <mergeCell ref="E191:F191"/>
    <mergeCell ref="G191:H191"/>
    <mergeCell ref="L236:M236"/>
    <mergeCell ref="D81:H81"/>
    <mergeCell ref="E192:F192"/>
    <mergeCell ref="G192:H192"/>
    <mergeCell ref="A248:H248"/>
    <mergeCell ref="A249:H249"/>
    <mergeCell ref="A89:C89"/>
    <mergeCell ref="A205:H205"/>
    <mergeCell ref="E110:F110"/>
    <mergeCell ref="G110:H110"/>
    <mergeCell ref="A111:B111"/>
    <mergeCell ref="A109:B109"/>
    <mergeCell ref="A120:B120"/>
    <mergeCell ref="C187:D187"/>
    <mergeCell ref="E187:F187"/>
    <mergeCell ref="G187:H187"/>
    <mergeCell ref="A119:B119"/>
    <mergeCell ref="A164:H164"/>
    <mergeCell ref="A189:H189"/>
    <mergeCell ref="A190:B190"/>
    <mergeCell ref="C190:D190"/>
    <mergeCell ref="D87:H87"/>
    <mergeCell ref="A115:B115"/>
    <mergeCell ref="A116:B116"/>
    <mergeCell ref="C95:H95"/>
    <mergeCell ref="A98:B98"/>
    <mergeCell ref="A100:B100"/>
    <mergeCell ref="E96:F96"/>
    <mergeCell ref="A90:C90"/>
    <mergeCell ref="D90:H90"/>
    <mergeCell ref="E97:F106"/>
    <mergeCell ref="G97:H106"/>
    <mergeCell ref="A105:B105"/>
    <mergeCell ref="A93:B93"/>
    <mergeCell ref="A94:B94"/>
    <mergeCell ref="C93:H93"/>
    <mergeCell ref="C94:D94"/>
    <mergeCell ref="E94:F94"/>
    <mergeCell ref="G94:H94"/>
    <mergeCell ref="C53:E53"/>
    <mergeCell ref="G49:H49"/>
    <mergeCell ref="C49:E49"/>
    <mergeCell ref="D83:H83"/>
    <mergeCell ref="G53:H53"/>
    <mergeCell ref="A84:C84"/>
    <mergeCell ref="A85:C85"/>
    <mergeCell ref="D84:H84"/>
    <mergeCell ref="D78:H78"/>
    <mergeCell ref="G70:H70"/>
    <mergeCell ref="A80:C80"/>
    <mergeCell ref="D77:H77"/>
    <mergeCell ref="D85:H85"/>
    <mergeCell ref="D80:H80"/>
    <mergeCell ref="G64:H64"/>
    <mergeCell ref="C65:H65"/>
    <mergeCell ref="A62:B63"/>
    <mergeCell ref="C62:E62"/>
    <mergeCell ref="G62:H62"/>
    <mergeCell ref="C63:H63"/>
    <mergeCell ref="A60:B61"/>
    <mergeCell ref="C60:E60"/>
    <mergeCell ref="G60:H60"/>
    <mergeCell ref="C61:H61"/>
    <mergeCell ref="D82:H82"/>
    <mergeCell ref="L216:M216"/>
    <mergeCell ref="C183:D183"/>
    <mergeCell ref="C185:D185"/>
    <mergeCell ref="E185:F185"/>
    <mergeCell ref="G185:H185"/>
    <mergeCell ref="C186:D186"/>
    <mergeCell ref="E186:F186"/>
    <mergeCell ref="G186:H186"/>
    <mergeCell ref="C109:H109"/>
    <mergeCell ref="G174:H174"/>
    <mergeCell ref="C91:H91"/>
    <mergeCell ref="G96:H96"/>
    <mergeCell ref="F155:H155"/>
    <mergeCell ref="A86:C86"/>
    <mergeCell ref="D86:H86"/>
    <mergeCell ref="E190:F190"/>
    <mergeCell ref="G190:H190"/>
    <mergeCell ref="A179:H179"/>
    <mergeCell ref="A113:B113"/>
    <mergeCell ref="A104:B104"/>
    <mergeCell ref="A95:B95"/>
    <mergeCell ref="D89:H89"/>
    <mergeCell ref="A87:C87"/>
    <mergeCell ref="L208:M208"/>
    <mergeCell ref="A206:H206"/>
    <mergeCell ref="A207:H207"/>
    <mergeCell ref="A106:B106"/>
    <mergeCell ref="A103:B103"/>
    <mergeCell ref="A96:B96"/>
    <mergeCell ref="A99:B99"/>
    <mergeCell ref="A88:C88"/>
    <mergeCell ref="D88:H88"/>
    <mergeCell ref="A110:B110"/>
    <mergeCell ref="A97:B97"/>
    <mergeCell ref="A101:B101"/>
    <mergeCell ref="E175:F175"/>
    <mergeCell ref="A199:B199"/>
    <mergeCell ref="A126:B126"/>
    <mergeCell ref="E126:F135"/>
    <mergeCell ref="A133:B133"/>
    <mergeCell ref="E111:F120"/>
    <mergeCell ref="G111:H120"/>
    <mergeCell ref="A112:B112"/>
    <mergeCell ref="F159:H159"/>
    <mergeCell ref="F157:H157"/>
    <mergeCell ref="A151:E151"/>
    <mergeCell ref="A136:B136"/>
    <mergeCell ref="L220:M220"/>
    <mergeCell ref="A221:B221"/>
    <mergeCell ref="L221:M221"/>
    <mergeCell ref="A216:B216"/>
    <mergeCell ref="L212:M212"/>
    <mergeCell ref="L211:M211"/>
    <mergeCell ref="L210:M210"/>
    <mergeCell ref="L209:M209"/>
    <mergeCell ref="A215:B215"/>
    <mergeCell ref="A210:B210"/>
    <mergeCell ref="A211:B211"/>
    <mergeCell ref="A212:B212"/>
    <mergeCell ref="L215:M215"/>
    <mergeCell ref="A217:B217"/>
    <mergeCell ref="L217:M217"/>
    <mergeCell ref="A218:H218"/>
    <mergeCell ref="A219:B219"/>
    <mergeCell ref="L214:M214"/>
    <mergeCell ref="L213:M213"/>
    <mergeCell ref="L219:M219"/>
    <mergeCell ref="E39:H39"/>
    <mergeCell ref="A39:D39"/>
    <mergeCell ref="A527:H527"/>
    <mergeCell ref="A524:H524"/>
    <mergeCell ref="A289:B289"/>
    <mergeCell ref="A174:B174"/>
    <mergeCell ref="D284:D285"/>
    <mergeCell ref="E284:E285"/>
    <mergeCell ref="G284:H285"/>
    <mergeCell ref="A130:B130"/>
    <mergeCell ref="A131:B131"/>
    <mergeCell ref="A132:B132"/>
    <mergeCell ref="A121:B121"/>
    <mergeCell ref="C121:H121"/>
    <mergeCell ref="A146:B146"/>
    <mergeCell ref="A102:B102"/>
    <mergeCell ref="F151:H151"/>
    <mergeCell ref="A150:H150"/>
    <mergeCell ref="F158:H158"/>
    <mergeCell ref="C166:D166"/>
    <mergeCell ref="F161:H161"/>
    <mergeCell ref="A220:B220"/>
    <mergeCell ref="A81:C83"/>
    <mergeCell ref="A91:B91"/>
    <mergeCell ref="C136:H136"/>
    <mergeCell ref="A140:B140"/>
    <mergeCell ref="E140:F149"/>
    <mergeCell ref="G140:H149"/>
    <mergeCell ref="A117:B117"/>
    <mergeCell ref="A118:B118"/>
    <mergeCell ref="A165:H165"/>
    <mergeCell ref="A162:E162"/>
    <mergeCell ref="F162:H162"/>
    <mergeCell ref="A163:E163"/>
    <mergeCell ref="F163:H163"/>
    <mergeCell ref="A135:B135"/>
    <mergeCell ref="A138:B138"/>
    <mergeCell ref="C138:H138"/>
    <mergeCell ref="A139:B139"/>
    <mergeCell ref="E139:F139"/>
    <mergeCell ref="G139:H139"/>
    <mergeCell ref="A157:E157"/>
    <mergeCell ref="A159:E159"/>
    <mergeCell ref="F153:H153"/>
    <mergeCell ref="A158:E158"/>
    <mergeCell ref="A143:B143"/>
    <mergeCell ref="A144:B144"/>
    <mergeCell ref="A145:B145"/>
    <mergeCell ref="C199:D199"/>
    <mergeCell ref="E199:F199"/>
    <mergeCell ref="G199:H199"/>
    <mergeCell ref="A530:H533"/>
    <mergeCell ref="A529:B529"/>
    <mergeCell ref="E529:F529"/>
    <mergeCell ref="C529:D529"/>
    <mergeCell ref="G529:H529"/>
    <mergeCell ref="A288:H288"/>
    <mergeCell ref="A317:B317"/>
    <mergeCell ref="A319:B319"/>
    <mergeCell ref="B514:H514"/>
    <mergeCell ref="B513:H513"/>
    <mergeCell ref="B509:H509"/>
    <mergeCell ref="B510:H510"/>
    <mergeCell ref="B511:H511"/>
    <mergeCell ref="A365:H365"/>
    <mergeCell ref="A366:H366"/>
    <mergeCell ref="B507:H507"/>
    <mergeCell ref="A522:H522"/>
    <mergeCell ref="A303:B303"/>
    <mergeCell ref="A304:B304"/>
    <mergeCell ref="A305:B305"/>
    <mergeCell ref="A314:B314"/>
    <mergeCell ref="A295:B295"/>
    <mergeCell ref="A525:H525"/>
    <mergeCell ref="A173:H173"/>
    <mergeCell ref="A528:H528"/>
    <mergeCell ref="A526:H526"/>
    <mergeCell ref="A506:H506"/>
    <mergeCell ref="C202:C203"/>
    <mergeCell ref="B284:B285"/>
    <mergeCell ref="A296:H296"/>
    <mergeCell ref="A523:H523"/>
    <mergeCell ref="E174:F174"/>
    <mergeCell ref="A250:H250"/>
    <mergeCell ref="E195:F195"/>
    <mergeCell ref="G195:H195"/>
    <mergeCell ref="C196:D196"/>
    <mergeCell ref="G198:H198"/>
    <mergeCell ref="C188:D188"/>
    <mergeCell ref="B517:H517"/>
    <mergeCell ref="A322:B322"/>
    <mergeCell ref="A323:B323"/>
    <mergeCell ref="A324:B324"/>
    <mergeCell ref="A315:B315"/>
    <mergeCell ref="A316:H316"/>
    <mergeCell ref="E202:E203"/>
    <mergeCell ref="A45:B45"/>
    <mergeCell ref="C45:H45"/>
    <mergeCell ref="A46:B46"/>
    <mergeCell ref="C46:E46"/>
    <mergeCell ref="G46:H46"/>
    <mergeCell ref="C50:H50"/>
    <mergeCell ref="C71:H71"/>
    <mergeCell ref="A79:C79"/>
    <mergeCell ref="D79:H79"/>
    <mergeCell ref="C68:E68"/>
    <mergeCell ref="G68:H68"/>
    <mergeCell ref="A74:B75"/>
    <mergeCell ref="C74:E74"/>
    <mergeCell ref="G74:H74"/>
    <mergeCell ref="A49:B50"/>
    <mergeCell ref="A78:C78"/>
    <mergeCell ref="A66:H66"/>
    <mergeCell ref="A67:B67"/>
    <mergeCell ref="C67:E67"/>
    <mergeCell ref="G67:H67"/>
    <mergeCell ref="A68:B69"/>
    <mergeCell ref="A51:H51"/>
    <mergeCell ref="A52:B52"/>
    <mergeCell ref="C52:E52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C75:H75"/>
    <mergeCell ref="A77:C77"/>
    <mergeCell ref="C70:E70"/>
    <mergeCell ref="A76:H76"/>
    <mergeCell ref="A47:H47"/>
    <mergeCell ref="C48:E48"/>
    <mergeCell ref="A48:B48"/>
    <mergeCell ref="G48:H48"/>
    <mergeCell ref="A64:B65"/>
    <mergeCell ref="C64:E64"/>
    <mergeCell ref="C54:H54"/>
    <mergeCell ref="A55:H55"/>
    <mergeCell ref="A56:B56"/>
    <mergeCell ref="C56:E56"/>
    <mergeCell ref="G56:H56"/>
    <mergeCell ref="A57:B57"/>
    <mergeCell ref="C57:E57"/>
    <mergeCell ref="G57:H57"/>
    <mergeCell ref="A58:B59"/>
    <mergeCell ref="C58:E58"/>
    <mergeCell ref="G58:H58"/>
    <mergeCell ref="C59:H59"/>
    <mergeCell ref="G52:H52"/>
    <mergeCell ref="A53:B5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G193:H193"/>
    <mergeCell ref="C181:D181"/>
    <mergeCell ref="E181:F181"/>
    <mergeCell ref="G181:H181"/>
    <mergeCell ref="C182:D182"/>
    <mergeCell ref="E182:F182"/>
    <mergeCell ref="G175:H175"/>
    <mergeCell ref="A166:B166"/>
    <mergeCell ref="E197:F197"/>
    <mergeCell ref="G194:H194"/>
    <mergeCell ref="C195:D195"/>
    <mergeCell ref="C175:D175"/>
    <mergeCell ref="A394:H394"/>
    <mergeCell ref="B515:H515"/>
    <mergeCell ref="B512:H512"/>
    <mergeCell ref="A141:B141"/>
    <mergeCell ref="A142:B142"/>
    <mergeCell ref="G126:H135"/>
    <mergeCell ref="A127:B127"/>
    <mergeCell ref="A128:B128"/>
    <mergeCell ref="A129:B129"/>
    <mergeCell ref="F152:H152"/>
    <mergeCell ref="A152:E152"/>
    <mergeCell ref="D202:D203"/>
    <mergeCell ref="A154:E154"/>
    <mergeCell ref="A214:B214"/>
    <mergeCell ref="A208:B208"/>
    <mergeCell ref="A209:B209"/>
    <mergeCell ref="G197:H197"/>
    <mergeCell ref="A201:H201"/>
    <mergeCell ref="G166:H166"/>
    <mergeCell ref="A160:E160"/>
    <mergeCell ref="C167:D167"/>
    <mergeCell ref="A134:B134"/>
    <mergeCell ref="A161:E161"/>
    <mergeCell ref="A213:B213"/>
    <mergeCell ref="A124:B124"/>
    <mergeCell ref="C124:D124"/>
    <mergeCell ref="G167:H167"/>
    <mergeCell ref="E166:F166"/>
    <mergeCell ref="A175:B175"/>
    <mergeCell ref="G202:H203"/>
    <mergeCell ref="C194:D194"/>
    <mergeCell ref="A200:H200"/>
    <mergeCell ref="A204:H204"/>
    <mergeCell ref="A180:H180"/>
    <mergeCell ref="A181:B181"/>
    <mergeCell ref="A147:B147"/>
    <mergeCell ref="A148:B148"/>
    <mergeCell ref="A153:E153"/>
    <mergeCell ref="F154:H154"/>
    <mergeCell ref="A156:E156"/>
    <mergeCell ref="A155:E155"/>
    <mergeCell ref="F156:H156"/>
    <mergeCell ref="A149:B149"/>
    <mergeCell ref="C197:D197"/>
    <mergeCell ref="E196:F196"/>
    <mergeCell ref="G196:H196"/>
    <mergeCell ref="C193:D193"/>
    <mergeCell ref="E193:F193"/>
    <mergeCell ref="E170:F170"/>
    <mergeCell ref="G170:H170"/>
    <mergeCell ref="B516:H516"/>
    <mergeCell ref="A375:B375"/>
    <mergeCell ref="G429:H440"/>
    <mergeCell ref="C174:D174"/>
    <mergeCell ref="G125:H125"/>
    <mergeCell ref="B518:H518"/>
    <mergeCell ref="C69:H69"/>
    <mergeCell ref="A70:B71"/>
    <mergeCell ref="B508:H508"/>
    <mergeCell ref="A368:H368"/>
    <mergeCell ref="C375:F375"/>
    <mergeCell ref="A376:B376"/>
    <mergeCell ref="A198:B198"/>
    <mergeCell ref="C198:D198"/>
    <mergeCell ref="E198:F198"/>
    <mergeCell ref="E167:F167"/>
    <mergeCell ref="B202:B203"/>
    <mergeCell ref="A202:A203"/>
    <mergeCell ref="A467:H467"/>
    <mergeCell ref="A441:H441"/>
    <mergeCell ref="A293:B293"/>
    <mergeCell ref="F160:H160"/>
    <mergeCell ref="E124:F124"/>
    <mergeCell ref="G124:H124"/>
    <mergeCell ref="B520:H520"/>
    <mergeCell ref="I85:M85"/>
    <mergeCell ref="E188:F188"/>
    <mergeCell ref="G188:H188"/>
    <mergeCell ref="A188:B188"/>
    <mergeCell ref="C72:E72"/>
    <mergeCell ref="G72:H72"/>
    <mergeCell ref="C73:H73"/>
    <mergeCell ref="A72:B73"/>
    <mergeCell ref="E194:F194"/>
    <mergeCell ref="G182:H182"/>
    <mergeCell ref="E183:F183"/>
    <mergeCell ref="G183:H183"/>
    <mergeCell ref="C184:D184"/>
    <mergeCell ref="E184:F184"/>
    <mergeCell ref="G184:H184"/>
    <mergeCell ref="A169:B169"/>
    <mergeCell ref="C170:D170"/>
    <mergeCell ref="A123:B123"/>
    <mergeCell ref="C123:H123"/>
    <mergeCell ref="A125:B125"/>
    <mergeCell ref="E125:F12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6" max="7" man="1"/>
    <brk id="533" max="16383" man="1"/>
    <brk id="576" max="7" man="1"/>
    <brk id="61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2" t="s">
        <v>109</v>
      </c>
      <c r="C3" s="212"/>
      <c r="D3" s="212"/>
      <c r="E3" s="212"/>
      <c r="F3" s="212"/>
      <c r="G3" s="212"/>
      <c r="H3" s="212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2025-07-11T14:51:32Z</cp:lastPrinted>
  <dcterms:created xsi:type="dcterms:W3CDTF">2019-07-16T09:29:46Z</dcterms:created>
  <dcterms:modified xsi:type="dcterms:W3CDTF">2025-07-16T05:42:09Z</dcterms:modified>
</cp:coreProperties>
</file>