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F15BE323-F2CE-494C-80AD-2154D8A7E0AB}" xr6:coauthVersionLast="36" xr6:coauthVersionMax="47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Report!$A$1:$H$714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5" i="1" l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C63" i="1" l="1"/>
  <c r="D76" i="1"/>
  <c r="A368" i="1"/>
  <c r="A369" i="1" s="1"/>
  <c r="A370" i="1" s="1"/>
  <c r="A371" i="1" s="1"/>
  <c r="A372" i="1" s="1"/>
  <c r="A373" i="1" s="1"/>
  <c r="A374" i="1" s="1"/>
  <c r="I346" i="1"/>
  <c r="I236" i="1"/>
  <c r="I228" i="1"/>
  <c r="I182" i="1"/>
  <c r="I177" i="1"/>
  <c r="D358" i="1"/>
  <c r="D357" i="1"/>
  <c r="D365" i="1"/>
  <c r="D360" i="1"/>
  <c r="D355" i="1"/>
  <c r="D350" i="1"/>
  <c r="D345" i="1"/>
  <c r="D340" i="1"/>
  <c r="D283" i="1"/>
  <c r="D289" i="1"/>
  <c r="D285" i="1"/>
  <c r="D281" i="1"/>
  <c r="D277" i="1"/>
  <c r="D273" i="1"/>
  <c r="D265" i="1"/>
  <c r="D261" i="1"/>
  <c r="D257" i="1"/>
  <c r="H83" i="1"/>
  <c r="I41" i="1" l="1"/>
  <c r="B111" i="1"/>
  <c r="C119" i="1"/>
  <c r="J111" i="1"/>
  <c r="F365" i="1"/>
  <c r="D364" i="1"/>
  <c r="F364" i="1" s="1"/>
  <c r="A363" i="1"/>
  <c r="A364" i="1" s="1"/>
  <c r="A365" i="1" s="1"/>
  <c r="G362" i="1"/>
  <c r="F358" i="1"/>
  <c r="F357" i="1"/>
  <c r="F360" i="1"/>
  <c r="D359" i="1"/>
  <c r="F359" i="1" s="1"/>
  <c r="A358" i="1"/>
  <c r="A359" i="1" s="1"/>
  <c r="A360" i="1" s="1"/>
  <c r="G357" i="1"/>
  <c r="D352" i="1"/>
  <c r="F352" i="1" s="1"/>
  <c r="F355" i="1"/>
  <c r="D354" i="1"/>
  <c r="F354" i="1" s="1"/>
  <c r="A353" i="1"/>
  <c r="A354" i="1" s="1"/>
  <c r="A355" i="1" s="1"/>
  <c r="G352" i="1"/>
  <c r="F350" i="1"/>
  <c r="D349" i="1"/>
  <c r="F349" i="1" s="1"/>
  <c r="D348" i="1"/>
  <c r="F348" i="1" s="1"/>
  <c r="A348" i="1"/>
  <c r="A349" i="1" s="1"/>
  <c r="A350" i="1" s="1"/>
  <c r="G347" i="1"/>
  <c r="D347" i="1"/>
  <c r="F347" i="1" s="1"/>
  <c r="F345" i="1"/>
  <c r="D344" i="1"/>
  <c r="F344" i="1" s="1"/>
  <c r="D343" i="1"/>
  <c r="F343" i="1" s="1"/>
  <c r="A343" i="1"/>
  <c r="A344" i="1" s="1"/>
  <c r="A345" i="1" s="1"/>
  <c r="G342" i="1"/>
  <c r="D342" i="1"/>
  <c r="F342" i="1" s="1"/>
  <c r="D339" i="1"/>
  <c r="F339" i="1" s="1"/>
  <c r="D338" i="1"/>
  <c r="F338" i="1" s="1"/>
  <c r="D337" i="1"/>
  <c r="F340" i="1"/>
  <c r="A338" i="1"/>
  <c r="A339" i="1" s="1"/>
  <c r="A340" i="1" s="1"/>
  <c r="G337" i="1"/>
  <c r="D334" i="1"/>
  <c r="F334" i="1" s="1"/>
  <c r="D333" i="1"/>
  <c r="F333" i="1" s="1"/>
  <c r="D332" i="1"/>
  <c r="F332" i="1" s="1"/>
  <c r="D331" i="1"/>
  <c r="F331" i="1" s="1"/>
  <c r="G331" i="1"/>
  <c r="A332" i="1"/>
  <c r="A333" i="1" s="1"/>
  <c r="A334" i="1" s="1"/>
  <c r="D68" i="1"/>
  <c r="D328" i="1"/>
  <c r="F328" i="1" s="1"/>
  <c r="D327" i="1"/>
  <c r="F327" i="1" s="1"/>
  <c r="A326" i="1"/>
  <c r="A327" i="1" s="1"/>
  <c r="A328" i="1" s="1"/>
  <c r="G325" i="1"/>
  <c r="D321" i="1"/>
  <c r="F321" i="1" s="1"/>
  <c r="D320" i="1"/>
  <c r="F320" i="1" s="1"/>
  <c r="D323" i="1"/>
  <c r="F323" i="1" s="1"/>
  <c r="D322" i="1"/>
  <c r="F322" i="1" s="1"/>
  <c r="A321" i="1"/>
  <c r="A322" i="1" s="1"/>
  <c r="A323" i="1" s="1"/>
  <c r="G320" i="1"/>
  <c r="D318" i="1"/>
  <c r="F318" i="1" s="1"/>
  <c r="D317" i="1"/>
  <c r="F317" i="1" s="1"/>
  <c r="A316" i="1"/>
  <c r="A317" i="1" s="1"/>
  <c r="A318" i="1" s="1"/>
  <c r="G315" i="1"/>
  <c r="D313" i="1"/>
  <c r="F313" i="1" s="1"/>
  <c r="D312" i="1"/>
  <c r="F312" i="1" s="1"/>
  <c r="D311" i="1"/>
  <c r="F311" i="1" s="1"/>
  <c r="A311" i="1"/>
  <c r="A312" i="1" s="1"/>
  <c r="A313" i="1" s="1"/>
  <c r="G310" i="1"/>
  <c r="D310" i="1"/>
  <c r="F310" i="1" s="1"/>
  <c r="D308" i="1"/>
  <c r="F308" i="1" s="1"/>
  <c r="D307" i="1"/>
  <c r="F307" i="1" s="1"/>
  <c r="D306" i="1"/>
  <c r="F306" i="1" s="1"/>
  <c r="A306" i="1"/>
  <c r="A307" i="1" s="1"/>
  <c r="A308" i="1" s="1"/>
  <c r="G305" i="1"/>
  <c r="D305" i="1"/>
  <c r="F305" i="1" s="1"/>
  <c r="D303" i="1"/>
  <c r="F303" i="1" s="1"/>
  <c r="D302" i="1"/>
  <c r="F302" i="1" s="1"/>
  <c r="D301" i="1"/>
  <c r="F301" i="1" s="1"/>
  <c r="D300" i="1"/>
  <c r="F300" i="1" s="1"/>
  <c r="A301" i="1"/>
  <c r="A302" i="1" s="1"/>
  <c r="A303" i="1" s="1"/>
  <c r="G300" i="1"/>
  <c r="D297" i="1"/>
  <c r="F297" i="1" s="1"/>
  <c r="D296" i="1"/>
  <c r="F296" i="1" s="1"/>
  <c r="D295" i="1"/>
  <c r="F295" i="1" s="1"/>
  <c r="D294" i="1"/>
  <c r="G294" i="1"/>
  <c r="A295" i="1"/>
  <c r="A296" i="1" s="1"/>
  <c r="A297" i="1" s="1"/>
  <c r="D287" i="1"/>
  <c r="D286" i="1"/>
  <c r="A290" i="1"/>
  <c r="A291" i="1" s="1"/>
  <c r="G289" i="1"/>
  <c r="F289" i="1"/>
  <c r="F281" i="1"/>
  <c r="D279" i="1"/>
  <c r="D278" i="1"/>
  <c r="F277" i="1"/>
  <c r="D275" i="1"/>
  <c r="D267" i="1"/>
  <c r="D274" i="1"/>
  <c r="D266" i="1"/>
  <c r="D262" i="1"/>
  <c r="F285" i="1"/>
  <c r="F273" i="1"/>
  <c r="D269" i="1"/>
  <c r="F269" i="1" s="1"/>
  <c r="F265" i="1"/>
  <c r="F261" i="1"/>
  <c r="D249" i="1"/>
  <c r="D248" i="1"/>
  <c r="D237" i="1"/>
  <c r="F237" i="1" s="1"/>
  <c r="D239" i="1"/>
  <c r="F239" i="1" s="1"/>
  <c r="D238" i="1"/>
  <c r="F238" i="1" s="1"/>
  <c r="A238" i="1"/>
  <c r="A239" i="1" s="1"/>
  <c r="G237" i="1"/>
  <c r="D234" i="1"/>
  <c r="D230" i="1"/>
  <c r="D246" i="1"/>
  <c r="D242" i="1"/>
  <c r="F242" i="1" s="1"/>
  <c r="D245" i="1"/>
  <c r="D241" i="1"/>
  <c r="F241" i="1" s="1"/>
  <c r="G241" i="1"/>
  <c r="D254" i="1"/>
  <c r="D250" i="1"/>
  <c r="D235" i="1"/>
  <c r="D231" i="1"/>
  <c r="D227" i="1"/>
  <c r="D226" i="1"/>
  <c r="D244" i="1"/>
  <c r="F244" i="1" s="1"/>
  <c r="D233" i="1"/>
  <c r="F233" i="1" s="1"/>
  <c r="D229" i="1"/>
  <c r="F229" i="1" s="1"/>
  <c r="D225" i="1"/>
  <c r="F225" i="1" s="1"/>
  <c r="E162" i="1" l="1"/>
  <c r="C162" i="1"/>
  <c r="E159" i="1"/>
  <c r="F337" i="1"/>
  <c r="G162" i="1" s="1"/>
  <c r="F294" i="1"/>
  <c r="G159" i="1" s="1"/>
  <c r="G161" i="1"/>
  <c r="G160" i="1"/>
  <c r="C160" i="1"/>
  <c r="E161" i="1"/>
  <c r="C161" i="1"/>
  <c r="C159" i="1"/>
  <c r="E160" i="1"/>
  <c r="J121" i="1"/>
  <c r="J120" i="1"/>
  <c r="J119" i="1"/>
  <c r="J118" i="1"/>
  <c r="F287" i="1"/>
  <c r="F286" i="1"/>
  <c r="F279" i="1"/>
  <c r="F278" i="1"/>
  <c r="A278" i="1"/>
  <c r="A279" i="1" s="1"/>
  <c r="G277" i="1"/>
  <c r="F283" i="1"/>
  <c r="A282" i="1"/>
  <c r="A283" i="1" s="1"/>
  <c r="G281" i="1"/>
  <c r="F275" i="1"/>
  <c r="F274" i="1"/>
  <c r="F235" i="1"/>
  <c r="F234" i="1"/>
  <c r="F231" i="1"/>
  <c r="F230" i="1"/>
  <c r="A230" i="1"/>
  <c r="A231" i="1" s="1"/>
  <c r="G229" i="1"/>
  <c r="D263" i="1"/>
  <c r="F267" i="1"/>
  <c r="F266" i="1"/>
  <c r="A266" i="1"/>
  <c r="A267" i="1" s="1"/>
  <c r="G265" i="1"/>
  <c r="D259" i="1"/>
  <c r="D258" i="1"/>
  <c r="D223" i="1"/>
  <c r="D222" i="1"/>
  <c r="D221" i="1"/>
  <c r="D217" i="1"/>
  <c r="D216" i="1"/>
  <c r="D215" i="1"/>
  <c r="D214" i="1"/>
  <c r="D186" i="1"/>
  <c r="F186" i="1" s="1"/>
  <c r="D185" i="1"/>
  <c r="F185" i="1" s="1"/>
  <c r="D184" i="1"/>
  <c r="F184" i="1" s="1"/>
  <c r="A184" i="1"/>
  <c r="A185" i="1" s="1"/>
  <c r="A186" i="1" s="1"/>
  <c r="G183" i="1"/>
  <c r="D183" i="1"/>
  <c r="F183" i="1" s="1"/>
  <c r="D213" i="1"/>
  <c r="D212" i="1"/>
  <c r="D211" i="1"/>
  <c r="D210" i="1"/>
  <c r="D209" i="1"/>
  <c r="D204" i="1"/>
  <c r="F204" i="1" s="1"/>
  <c r="A204" i="1"/>
  <c r="A205" i="1" s="1"/>
  <c r="A206" i="1" s="1"/>
  <c r="G203" i="1"/>
  <c r="D203" i="1"/>
  <c r="F203" i="1" s="1"/>
  <c r="D201" i="1"/>
  <c r="F201" i="1" s="1"/>
  <c r="D200" i="1"/>
  <c r="F200" i="1" s="1"/>
  <c r="D199" i="1"/>
  <c r="F199" i="1" s="1"/>
  <c r="A199" i="1"/>
  <c r="A200" i="1" s="1"/>
  <c r="A201" i="1" s="1"/>
  <c r="G198" i="1"/>
  <c r="D198" i="1"/>
  <c r="F198" i="1" s="1"/>
  <c r="D196" i="1"/>
  <c r="F196" i="1" s="1"/>
  <c r="D194" i="1"/>
  <c r="F194" i="1" s="1"/>
  <c r="A194" i="1"/>
  <c r="A195" i="1" s="1"/>
  <c r="A196" i="1" s="1"/>
  <c r="G193" i="1"/>
  <c r="D193" i="1"/>
  <c r="F193" i="1" s="1"/>
  <c r="D191" i="1"/>
  <c r="D189" i="1"/>
  <c r="D188" i="1"/>
  <c r="D181" i="1"/>
  <c r="D179" i="1"/>
  <c r="D178" i="1"/>
  <c r="D180" i="1"/>
  <c r="D175" i="1"/>
  <c r="D174" i="1"/>
  <c r="D173" i="1"/>
  <c r="E44" i="1"/>
  <c r="H111" i="1"/>
  <c r="C155" i="1" l="1"/>
  <c r="E155" i="1"/>
  <c r="C156" i="1"/>
  <c r="C157" i="1"/>
  <c r="E157" i="1"/>
  <c r="C154" i="1"/>
  <c r="E154" i="1"/>
  <c r="C158" i="1"/>
  <c r="E158" i="1"/>
  <c r="E156" i="1"/>
  <c r="D118" i="1"/>
  <c r="D117" i="1"/>
  <c r="D116" i="1"/>
  <c r="D115" i="1"/>
  <c r="G114" i="1"/>
  <c r="D114" i="1"/>
  <c r="D123" i="1"/>
  <c r="D122" i="1"/>
  <c r="D121" i="1"/>
  <c r="D120" i="1"/>
  <c r="D119" i="1"/>
  <c r="J115" i="1"/>
  <c r="J114" i="1"/>
  <c r="E114" i="1"/>
  <c r="J113" i="1"/>
  <c r="J110" i="1"/>
  <c r="J112" i="1" s="1"/>
  <c r="J116" i="1"/>
  <c r="J117" i="1" s="1"/>
  <c r="J122" i="1" s="1"/>
  <c r="J123" i="1" s="1"/>
  <c r="C163" i="1" l="1"/>
  <c r="E163" i="1"/>
  <c r="E164" i="1"/>
  <c r="C164" i="1"/>
  <c r="I111" i="1"/>
  <c r="I112" i="1" s="1"/>
  <c r="C124" i="1"/>
  <c r="C165" i="1" l="1"/>
  <c r="I110" i="1"/>
  <c r="C112" i="1" s="1"/>
  <c r="C133" i="1" l="1"/>
  <c r="F263" i="1" l="1"/>
  <c r="F259" i="1"/>
  <c r="F258" i="1"/>
  <c r="F257" i="1"/>
  <c r="F254" i="1"/>
  <c r="F250" i="1"/>
  <c r="F249" i="1"/>
  <c r="F248" i="1"/>
  <c r="F246" i="1"/>
  <c r="F245" i="1"/>
  <c r="F227" i="1"/>
  <c r="F226" i="1"/>
  <c r="F223" i="1"/>
  <c r="F222" i="1"/>
  <c r="F221" i="1"/>
  <c r="F217" i="1"/>
  <c r="F216" i="1"/>
  <c r="F214" i="1"/>
  <c r="F213" i="1"/>
  <c r="F212" i="1"/>
  <c r="F211" i="1"/>
  <c r="F210" i="1"/>
  <c r="F215" i="1"/>
  <c r="A210" i="1"/>
  <c r="A211" i="1" s="1"/>
  <c r="A212" i="1" s="1"/>
  <c r="A213" i="1" s="1"/>
  <c r="A214" i="1" s="1"/>
  <c r="A215" i="1" s="1"/>
  <c r="A216" i="1" s="1"/>
  <c r="A217" i="1" s="1"/>
  <c r="G209" i="1"/>
  <c r="A286" i="1"/>
  <c r="A287" i="1" s="1"/>
  <c r="G285" i="1"/>
  <c r="A253" i="1"/>
  <c r="A254" i="1" s="1"/>
  <c r="G252" i="1"/>
  <c r="A249" i="1"/>
  <c r="A250" i="1" s="1"/>
  <c r="G248" i="1"/>
  <c r="A274" i="1"/>
  <c r="A275" i="1" s="1"/>
  <c r="G273" i="1"/>
  <c r="A245" i="1"/>
  <c r="A246" i="1" s="1"/>
  <c r="G244" i="1"/>
  <c r="A270" i="1"/>
  <c r="A271" i="1" s="1"/>
  <c r="G269" i="1"/>
  <c r="A234" i="1"/>
  <c r="A235" i="1" s="1"/>
  <c r="G233" i="1"/>
  <c r="F262" i="1"/>
  <c r="A262" i="1"/>
  <c r="A263" i="1" s="1"/>
  <c r="G261" i="1"/>
  <c r="A226" i="1"/>
  <c r="A227" i="1" s="1"/>
  <c r="G225" i="1"/>
  <c r="A258" i="1"/>
  <c r="A259" i="1" s="1"/>
  <c r="G257" i="1"/>
  <c r="G221" i="1"/>
  <c r="A222" i="1"/>
  <c r="A223" i="1" s="1"/>
  <c r="G157" i="1" l="1"/>
  <c r="G158" i="1"/>
  <c r="F209" i="1"/>
  <c r="G156" i="1" s="1"/>
  <c r="F174" i="1" l="1"/>
  <c r="A189" i="1"/>
  <c r="A190" i="1" s="1"/>
  <c r="A191" i="1" s="1"/>
  <c r="E7" i="1" l="1"/>
  <c r="E165" i="1" l="1"/>
  <c r="E31" i="1"/>
  <c r="B368" i="1"/>
  <c r="B83" i="1"/>
  <c r="E26" i="1"/>
  <c r="E28" i="1" l="1"/>
  <c r="C16" i="1"/>
  <c r="E45" i="1" l="1"/>
  <c r="F175" i="1" l="1"/>
  <c r="F173" i="1"/>
  <c r="A174" i="1"/>
  <c r="A175" i="1" s="1"/>
  <c r="G173" i="1"/>
  <c r="G154" i="1" l="1"/>
  <c r="G164" i="1" s="1"/>
  <c r="F151" i="1"/>
  <c r="F191" i="1" l="1"/>
  <c r="F189" i="1"/>
  <c r="F188" i="1"/>
  <c r="F181" i="1"/>
  <c r="F179" i="1"/>
  <c r="F178" i="1"/>
  <c r="F180" i="1"/>
  <c r="G155" i="1" l="1"/>
  <c r="G163" i="1" s="1"/>
  <c r="G165" i="1" s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98" i="1"/>
  <c r="G188" i="1"/>
  <c r="G178" i="1"/>
  <c r="A179" i="1"/>
  <c r="A180" i="1" s="1"/>
  <c r="A181" i="1" s="1"/>
  <c r="E3" i="1"/>
  <c r="D95" i="1" l="1"/>
  <c r="D93" i="1"/>
  <c r="D92" i="1"/>
  <c r="D91" i="1"/>
  <c r="D89" i="1"/>
  <c r="J82" i="1"/>
  <c r="D94" i="1"/>
  <c r="D90" i="1"/>
  <c r="J86" i="1"/>
  <c r="J87" i="1"/>
  <c r="C86" i="1" s="1"/>
  <c r="J85" i="1"/>
  <c r="J88" i="1"/>
  <c r="J89" i="1" l="1"/>
  <c r="J90" i="1"/>
  <c r="J91" i="1" s="1"/>
  <c r="J92" i="1" s="1"/>
  <c r="J93" i="1" s="1"/>
  <c r="D88" i="1"/>
  <c r="J84" i="1"/>
  <c r="D86" i="1"/>
  <c r="J94" i="1" l="1"/>
  <c r="J95" i="1" s="1"/>
  <c r="C87" i="1" s="1"/>
  <c r="B97" i="1"/>
  <c r="H97" i="1"/>
  <c r="G86" i="1" l="1"/>
  <c r="D80" i="1" s="1"/>
  <c r="D81" i="1" s="1"/>
  <c r="D109" i="1"/>
  <c r="D107" i="1"/>
  <c r="D105" i="1"/>
  <c r="D103" i="1"/>
  <c r="D108" i="1"/>
  <c r="D106" i="1"/>
  <c r="D104" i="1"/>
  <c r="D102" i="1"/>
  <c r="J100" i="1"/>
  <c r="J101" i="1"/>
  <c r="C100" i="1" s="1"/>
  <c r="J99" i="1"/>
  <c r="J96" i="1"/>
  <c r="J98" i="1" s="1"/>
  <c r="J105" i="1"/>
  <c r="J106" i="1"/>
  <c r="J104" i="1"/>
  <c r="J102" i="1"/>
  <c r="J107" i="1"/>
  <c r="J83" i="1"/>
  <c r="D87" i="1"/>
  <c r="E86" i="1"/>
  <c r="I83" i="1" l="1"/>
  <c r="I84" i="1" s="1"/>
  <c r="I82" i="1" s="1"/>
  <c r="C84" i="1" s="1"/>
  <c r="D100" i="1"/>
  <c r="J103" i="1"/>
  <c r="J108" i="1" s="1"/>
  <c r="J109" i="1" s="1"/>
  <c r="C101" i="1" s="1"/>
  <c r="F81" i="1"/>
  <c r="D101" i="1" l="1"/>
  <c r="I97" i="1" s="1"/>
  <c r="I98" i="1" s="1"/>
  <c r="B125" i="1"/>
  <c r="J97" i="1"/>
  <c r="G100" i="1"/>
  <c r="E100" i="1"/>
  <c r="H125" i="1"/>
  <c r="D130" i="1" l="1"/>
  <c r="D136" i="1"/>
  <c r="D129" i="1"/>
  <c r="D135" i="1"/>
  <c r="J128" i="1"/>
  <c r="D131" i="1"/>
  <c r="D137" i="1"/>
  <c r="D133" i="1"/>
  <c r="J124" i="1"/>
  <c r="J126" i="1" s="1"/>
  <c r="J129" i="1"/>
  <c r="D128" i="1" s="1"/>
  <c r="D134" i="1"/>
  <c r="J127" i="1"/>
  <c r="D132" i="1"/>
  <c r="E128" i="1"/>
  <c r="J133" i="1"/>
  <c r="J132" i="1"/>
  <c r="J130" i="1"/>
  <c r="J131" i="1" s="1"/>
  <c r="J136" i="1" s="1"/>
  <c r="J137" i="1" s="1"/>
  <c r="J135" i="1"/>
  <c r="J134" i="1"/>
  <c r="I96" i="1"/>
  <c r="C98" i="1" s="1"/>
  <c r="I125" i="1" l="1"/>
  <c r="I126" i="1" s="1"/>
  <c r="G128" i="1"/>
  <c r="J125" i="1"/>
  <c r="I124" i="1" l="1"/>
  <c r="C126" i="1" s="1"/>
</calcChain>
</file>

<file path=xl/sharedStrings.xml><?xml version="1.0" encoding="utf-8"?>
<sst xmlns="http://schemas.openxmlformats.org/spreadsheetml/2006/main" count="769" uniqueCount="313">
  <si>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</si>
  <si>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</si>
  <si>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</si>
  <si>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</si>
  <si>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</si>
  <si>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</si>
  <si>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</si>
  <si>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</si>
  <si>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</si>
  <si>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</si>
  <si>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</si>
  <si>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</si>
  <si>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</si>
  <si>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</si>
  <si>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</si>
  <si>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</si>
  <si>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</si>
  <si>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</si>
  <si>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</si>
  <si>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</si>
  <si>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</si>
  <si>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</si>
  <si>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</si>
  <si>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</si>
  <si>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</si>
  <si>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</si>
  <si>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</si>
  <si>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</si>
  <si>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</si>
  <si>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</si>
  <si>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</si>
  <si>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</si>
  <si>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</si>
  <si>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</si>
  <si>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</si>
  <si>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</si>
  <si>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</si>
  <si>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</si>
  <si>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</si>
  <si>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</si>
  <si>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</si>
  <si>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</si>
  <si>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</si>
  <si>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</si>
  <si>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</si>
  <si>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</si>
  <si>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</si>
  <si>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</si>
  <si>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</si>
  <si>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</si>
  <si>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</si>
  <si>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</si>
  <si>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</si>
  <si>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</si>
  <si>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</si>
  <si>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</si>
  <si>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</si>
  <si>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</si>
  <si>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</si>
  <si>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</si>
  <si>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</si>
  <si>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</si>
  <si>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</si>
  <si>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</si>
  <si>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</si>
  <si>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</si>
  <si>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</si>
  <si>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</si>
  <si>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</si>
  <si>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</si>
  <si>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</si>
  <si>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</si>
  <si>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</si>
  <si>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</si>
  <si>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</si>
  <si>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</si>
  <si>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</si>
  <si>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</si>
  <si>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</si>
  <si>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</si>
  <si>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</si>
  <si>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</si>
  <si>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</si>
  <si>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</si>
  <si>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</si>
  <si>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</si>
  <si>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</si>
  <si>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</si>
  <si>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</si>
  <si>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</si>
  <si>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</si>
  <si>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</si>
  <si>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</si>
  <si>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</si>
  <si>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</si>
  <si>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</si>
  <si>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</si>
  <si>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</si>
  <si>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</si>
  <si>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</si>
  <si>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</si>
  <si>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</si>
  <si>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</si>
  <si>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</si>
  <si>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</si>
  <si>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</si>
  <si>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</si>
  <si>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</si>
  <si>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</si>
  <si>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</si>
  <si>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</si>
  <si>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</si>
  <si>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</si>
  <si>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</si>
  <si>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</si>
  <si>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</si>
  <si>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</si>
  <si>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</si>
  <si>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</si>
  <si>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</si>
  <si>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</si>
  <si>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</si>
  <si>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</si>
  <si>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</si>
  <si>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</si>
  <si>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</si>
  <si>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</si>
  <si>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</si>
  <si>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</si>
  <si>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</si>
  <si>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</si>
  <si>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</si>
  <si>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</si>
  <si>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</si>
  <si>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</si>
  <si>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</si>
  <si>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</si>
  <si>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</si>
  <si>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</si>
  <si>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</si>
  <si>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</si>
  <si>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</si>
  <si>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</si>
  <si>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</si>
  <si>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</si>
  <si>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</si>
  <si>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</si>
  <si>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</si>
  <si>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</si>
  <si>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</si>
  <si>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</si>
  <si>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</si>
  <si>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</si>
  <si>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</si>
  <si>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</si>
  <si>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</si>
  <si>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</si>
  <si>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</si>
  <si>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</si>
  <si>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</si>
  <si>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</si>
  <si>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</si>
  <si>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</si>
  <si>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Provided Contact Details (Name &amp; Contact No.)</t>
  </si>
  <si>
    <t>Site Person - Contact Details (Name &amp; Contact No.)</t>
  </si>
  <si>
    <t>Macrotech Developers Limited</t>
  </si>
  <si>
    <t>Mr.Rajendra Giri - 9820248856</t>
  </si>
  <si>
    <t>Mumbai</t>
  </si>
  <si>
    <t>Ward Fnorth</t>
  </si>
  <si>
    <t>CHE/CTY/1323/F/N/337(NEW)/CC/2
Amend</t>
  </si>
  <si>
    <t>Name / No of the Existing Building</t>
  </si>
  <si>
    <t>Sion</t>
  </si>
  <si>
    <t>Ground Floor For Entrance Lobby, Meter Room, Parcel Room, Fire Control, CCTV Room, Security Cabin, OWC Room &amp; Residential</t>
  </si>
  <si>
    <t>M.P Room</t>
  </si>
  <si>
    <t>Service Floor For BMS Room &amp; Services</t>
  </si>
  <si>
    <t>Sale</t>
  </si>
  <si>
    <t>1st Floor For Residential</t>
  </si>
  <si>
    <t>2BHK</t>
  </si>
  <si>
    <t>Refuge Area</t>
  </si>
  <si>
    <t>-</t>
  </si>
  <si>
    <t>We considered Gross carpet area = Net carpet + Deck Area+ Utility Area.</t>
  </si>
  <si>
    <t>Flats</t>
  </si>
  <si>
    <t>3.5BHK</t>
  </si>
  <si>
    <t>https://goo.gl/maps/kVT2Kd75r3Kd1JfHA</t>
  </si>
  <si>
    <t>Dr Baba Saheb Ambedkar Road</t>
  </si>
  <si>
    <t>Internal Road</t>
  </si>
  <si>
    <t>Midas CHS</t>
  </si>
  <si>
    <t>Nehru Nagar</t>
  </si>
  <si>
    <t>Approved Plans, CC</t>
  </si>
  <si>
    <t>0.27KM from Kings Circle Railway Station</t>
  </si>
  <si>
    <t>Kings Circle</t>
  </si>
  <si>
    <t>CTS No</t>
  </si>
  <si>
    <t>Valet Parking, Temple, Swimming Pool, Conference room, Volley Ball Court, Aerobics Centre, Barbecue, Visitors Parking, Terrace Garden etc.</t>
  </si>
  <si>
    <t>Bellissimo Matunga</t>
  </si>
  <si>
    <t>P51900049433</t>
  </si>
  <si>
    <t>P51900051742</t>
  </si>
  <si>
    <t>P51900051743</t>
  </si>
  <si>
    <t>T1</t>
  </si>
  <si>
    <t>T2</t>
  </si>
  <si>
    <t>T3</t>
  </si>
  <si>
    <t>4.5BHK</t>
  </si>
  <si>
    <t>3BHK</t>
  </si>
  <si>
    <t>Plinth CC endorsed as per amended IOD dated 26/05/2023.</t>
  </si>
  <si>
    <t>19.033494,72.858467</t>
  </si>
  <si>
    <t>Recommended rate of the Pent House Per Sq. Ft.</t>
  </si>
  <si>
    <t>In Tower T1 (38th Floor as per Builder),  with reference to documents provided by bank officials i.e. index2 &amp; builder cost sheet, Flat No. 3803 should be considered as Penthouse (Flat No. 3803 + Flat No. 3903 + Terrace Area) with index2 Carpet Area of 189.52 sqmtr (2040 sqft).
Saleable Area of this penthouse should be considered as 3060 sqft (50% Loading).
Documents attached below.</t>
  </si>
  <si>
    <t xml:space="preserve">Recommended Rates / Other charges of the Property have been revised on 03/08/2024.
</t>
  </si>
  <si>
    <t>Name of the Project As per Builder</t>
  </si>
  <si>
    <t>Lodha Divino</t>
  </si>
  <si>
    <t>Bellissimo Matunga T1 - P51900049433
Bellissimo Matunga T2 - P51900051742
Bellissimo Matunga T3 - P51900051743
Bellissimo Matunga T4 &amp; T5 - P51900078502</t>
  </si>
  <si>
    <t xml:space="preserve"> </t>
  </si>
  <si>
    <t>Tower 1, 2 &amp; 3</t>
  </si>
  <si>
    <t>Tower 4 &amp; 5</t>
  </si>
  <si>
    <t xml:space="preserve">Slum Rehabilitation Authority (SRA)
</t>
  </si>
  <si>
    <t>F-N/MCGM/0015/20200623/AP/S-4</t>
  </si>
  <si>
    <t>This C.C is extended for Plinth level of T4 &amp; T5 of Sale Building No. 4, as per the approved amended plans dtd. 28/06/2024.</t>
  </si>
  <si>
    <t xml:space="preserve">Sale Building No.4 - T1, T2, T3, T4 &amp; T5
</t>
  </si>
  <si>
    <t>9 M W Road</t>
  </si>
  <si>
    <t>Other Plot</t>
  </si>
  <si>
    <t>Building No.7</t>
  </si>
  <si>
    <t>Houses/Building</t>
  </si>
  <si>
    <t>05 Buildings</t>
  </si>
  <si>
    <t>As per RERA - Sale Building T1, T2 &amp; T3 = 31/12/2027
Sale Building T4 &amp; T5 = 31/03/2030</t>
  </si>
  <si>
    <t>Ground Floor For Entrance Lobby, Meter Room, Parcel Room, Panel Room, BMC Room &amp; Parking</t>
  </si>
  <si>
    <t>Service Floor</t>
  </si>
  <si>
    <t>Ground Floor For Entrance Lobby, Meter Room, Parcel Room, FMS Room &amp; Parking</t>
  </si>
  <si>
    <t>Approved Plans does not consist of an approved plan number, So we referred approved plan number from approved plan letter provided by bank official.</t>
  </si>
  <si>
    <t>6 (pt), 7 &amp; 41 Redevlopement of "Barracks No. T/57, T/58, T/59" Known As Rahat Plaza CHS, "Barracks No.T/70, T/71, T/72 &amp; T/6" Known As Matunga Sindhi Colony Panchayat CHS</t>
  </si>
  <si>
    <t>Barracks No. T/57, T/58, T/59, Known As Rahat Plaza CHS
Barracks No.T/70, T/71, T/72 &amp; T/6, Known As Matunga Sindhi Colony Panchayat CHS</t>
  </si>
  <si>
    <t>Please provide Environmental clearance Certificate &amp; Fire Noc.</t>
  </si>
  <si>
    <t>Building T2</t>
  </si>
  <si>
    <t>Building T3</t>
  </si>
  <si>
    <t>Building T4</t>
  </si>
  <si>
    <t>Building T5</t>
  </si>
  <si>
    <t xml:space="preserve">Building T1  </t>
  </si>
  <si>
    <t>Bellissimo Matunga (Sale Building No. 4)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</si>
  <si>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</si>
  <si>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Commencement-CC No
Valid Up to: </t>
  </si>
  <si>
    <t>Total Flats</t>
  </si>
  <si>
    <t>Total M.P Room</t>
  </si>
  <si>
    <t>Grand Total</t>
  </si>
  <si>
    <t>This Post-fact CC is Extended upto 33rd Floor of T1 &amp; Upto 24th Floor of T2 &amp; T3. This CC is also further extended Upto 36th Floor of T1 for RCC work only and Upto 28th Floor of T2 &amp; T3 for RCC work only, As per Amended plan dtd. 28/06/2024.</t>
  </si>
  <si>
    <t>This CC is now re-endorse and further CC is extended from 38th and 39th Floor + LMR + OHT  for T1 for RCC work only and from 30th to 39th floor + LMR + OHT of T2 &amp; T3 for RCC work only as per approved Amended plans dtd. 11/04/2025</t>
  </si>
  <si>
    <t>36-3839 28-30to39</t>
  </si>
  <si>
    <t>Slum Rehabilitation Authority (SRA)</t>
  </si>
  <si>
    <t>F-N/MCGM/0015/20200623/AP/ S-4 (T1 to T5)</t>
  </si>
  <si>
    <t xml:space="preserve"> - </t>
  </si>
  <si>
    <t>1st to 6th, 8th to 12th Floor For Residential</t>
  </si>
  <si>
    <t>2nd to 6th, 8th to 12th Floor</t>
  </si>
  <si>
    <t>6.5BHK</t>
  </si>
  <si>
    <t>1+2</t>
  </si>
  <si>
    <t>2.5BHK</t>
  </si>
  <si>
    <t>4BHK</t>
  </si>
  <si>
    <t>Building T1</t>
  </si>
  <si>
    <t>Tower 2 &amp; 3 = Gr + Service Floor + 1st to 39th Floor</t>
  </si>
  <si>
    <t>Tower 4 = Gr + Service Floor + 1st to 39th Floor</t>
  </si>
  <si>
    <t>Tower 5 = Gr + Service Floor + 1st to 39th Floor</t>
  </si>
  <si>
    <t xml:space="preserve">Layout Approval Letter No     </t>
  </si>
  <si>
    <t>38th Floor</t>
  </si>
  <si>
    <t>7th, 15th, 22nd &amp; 29th Floor</t>
  </si>
  <si>
    <t>36th Floor as per Builder</t>
  </si>
  <si>
    <t>1BHK</t>
  </si>
  <si>
    <t>39th Floor</t>
  </si>
  <si>
    <t>3BHK
(Duplex with 39th Floor)</t>
  </si>
  <si>
    <t>Duplex with 38th Floor</t>
  </si>
  <si>
    <t>Building T2 + T3</t>
  </si>
  <si>
    <t>14th, 16th to 21st, 23rd to 28th, 30th to 34th &amp; 37th Floor</t>
  </si>
  <si>
    <t>14th, 16th to 21st, 23rd to 28th, 30th &amp; 31st Floor</t>
  </si>
  <si>
    <t>7th, 15th, 22nd, 29th Floor</t>
  </si>
  <si>
    <t>35th Floor</t>
  </si>
  <si>
    <t>32nd to 34th &amp; 37th Floor</t>
  </si>
  <si>
    <t>36th Floor</t>
  </si>
  <si>
    <t>7th, 15th, 22nd, 29th Floor (Part Refuge Area)</t>
  </si>
  <si>
    <t>36th Floor (Part Refuge Area)</t>
  </si>
  <si>
    <t>5.5BHK
(Duplex with 39th Floor)</t>
  </si>
  <si>
    <t>5BHK
(Duplex with 39th Floor)</t>
  </si>
  <si>
    <t>14th, 16th to 21st, 23rd to 28th, 30th to 35th &amp; 37th Floor</t>
  </si>
  <si>
    <t>7th, 15th, 22nd, 29th &amp; 36th Floor</t>
  </si>
  <si>
    <t>4.5BHK
(Duplex with 39th Floor)</t>
  </si>
  <si>
    <t>Flat No. 35 &amp; 36 not Drafted</t>
  </si>
  <si>
    <t>5+5</t>
  </si>
  <si>
    <t>Flats - 637, M.P Room - 20</t>
  </si>
  <si>
    <t>15th, 22nd, 29th &amp; 36th Floor (Part Refuge Area)</t>
  </si>
  <si>
    <t>Building T1, T2 &amp; T3 = Construction work is in process at the time of visit.(Internal visit not allowed). Details taken from Mr. Rajendra Giri.
Building T4 &amp; T5 = Work Not yet Started.</t>
  </si>
  <si>
    <t>As per approved floor plans In Tower 1 "35th Floor" plan is refleted twice. 
On Sheet No. 04, 35th Floor Flat No 1 &amp; 2 are not combined
On Sheet No. 05, 35th Floor Flat No 1 &amp; 2 are combined.
Floor plan attached Below.
Therefore we have not mentioned any residential area on Tower 1 = 35th Floor.
Please Guide us in above Query.</t>
  </si>
  <si>
    <t>As per approved floor plans In Tower 1 "36th Floor" plan is refleted twice. 
On Sheet No. 04, Flat No 3 is shown as 2BHK Flat.
On Sheet No. 06, Flat No 3 is given for Refuge area.
Floor plan attached Below.
Therefore we have not mentioned any residential area on Tower 1 = 36th Floor.
Please Guide us in above Query.</t>
  </si>
  <si>
    <t>As per approved floor plans In Tower 5  "8th Floor" plan is refleted twice. 
On Sheet No. 21, Flat No 2 is given for Refuge area.
On Sheet No. 22, Flat No 2 is shown as 3BHK Flat.
Floor plan attached Below.
Therefore we have not mentioned any residential area on Tower  5 = 8th Floor.
Please Guide us in above Query.</t>
  </si>
  <si>
    <t xml:space="preserve">Approved no of Floors
</t>
  </si>
  <si>
    <t>Sale Building No.4 = Tower 1 to 5 = Gr + Service Floor + 1st to 12th +14th to 39th Floor</t>
  </si>
  <si>
    <t>Proposed no of Floors</t>
  </si>
  <si>
    <t>Please check approved CC permission  for 37th Floor of Tower 1 &amp; 29th Floor of Tower 2 &amp; 3.</t>
  </si>
  <si>
    <t xml:space="preserve">Tower 1  = Gr + Service Floor + 1st to 12th +14th to 39th Floor
</t>
  </si>
  <si>
    <t>Tower 2 &amp; 3  = Gr + Service Floor + 1st to 12th +14th to 39th Floor</t>
  </si>
  <si>
    <t>Tower 4 &amp; 5  = Gr + Service Floor + 1st to 12th +14th to 39th Floor</t>
  </si>
  <si>
    <t>13th Floor is not considered for nomenclature in approved plans. Photo Attached Below.</t>
  </si>
  <si>
    <t xml:space="preserve">Index2 of Flat No. 3803 Tower T1 : </t>
  </si>
  <si>
    <t>We have updated Tower 4 &amp; Tower 5 on 29/01/2025.</t>
  </si>
  <si>
    <t>We have updated revised approved CC for Tower 1, 2 &amp; 3(On 25/04/2025).</t>
  </si>
  <si>
    <t>28500 to 30000</t>
  </si>
  <si>
    <t>Nilesh &amp; Bhargav</t>
  </si>
  <si>
    <t>As per market</t>
  </si>
  <si>
    <t>28500 to 32000</t>
  </si>
  <si>
    <t>Case T1 5CR loan on 50% LTV Index2 area is more check remark</t>
  </si>
  <si>
    <t>Axis Thane</t>
  </si>
  <si>
    <t>Remark No. 13</t>
  </si>
  <si>
    <t>Remark No 14</t>
  </si>
  <si>
    <t>Remark No. 18 Query For Tower 1 = 35th Floor plan</t>
  </si>
  <si>
    <t>Remark No. 19 Query For Tower 1 = 36th Floor plan</t>
  </si>
  <si>
    <t>Remark No. 20 Query For Tower 5 = 8th Floor plan</t>
  </si>
  <si>
    <t>Office No. 1031, Wing J, Akshar Business Park, Plot No. 03 Sector 25, Near APMC Market,  
Vashi, Navi Mumbai, Maharashtra 400703 TEL: 022-46090378/79/80 
E mail : vsjcapf@gmail.com. Web site : www.vsjadon.com</t>
  </si>
  <si>
    <t>We have updated approved plans For Tower 1 to 5 (On 08/05/2025).</t>
  </si>
  <si>
    <t>Gaurav Panchal</t>
  </si>
  <si>
    <t>Akash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</si>
</sst>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24" xfId="1" applyFont="1" applyBorder="1" applyAlignment="1">
      <alignment vertical="center"/>
    </xf>
    <xf numFmtId="0" fontId="7" fillId="0" borderId="0" xfId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164" fontId="7" fillId="0" borderId="0" xfId="1" applyNumberFormat="1" applyFont="1"/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24" fillId="2" borderId="14" xfId="0" applyFont="1" applyFill="1" applyBorder="1"/>
    <xf numFmtId="0" fontId="25" fillId="0" borderId="8" xfId="0" applyFont="1" applyBorder="1"/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34" xfId="1" applyFont="1" applyBorder="1" applyAlignment="1" applyProtection="1">
      <alignment horizontal="left" vertical="top" wrapText="1"/>
      <protection locked="0"/>
    </xf>
    <xf numFmtId="0" fontId="8" fillId="0" borderId="35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7" xfId="0" applyNumberFormat="1" applyFont="1" applyBorder="1" applyAlignment="1" applyProtection="1">
      <alignment horizontal="center" vertical="center" wrapText="1"/>
      <protection locked="0"/>
    </xf>
    <xf numFmtId="1" fontId="7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20" xfId="1" applyNumberFormat="1" applyFont="1" applyBorder="1" applyAlignment="1" applyProtection="1">
      <alignment horizontal="center" vertical="center" wrapText="1"/>
      <protection locked="0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8" fillId="0" borderId="29" xfId="1" applyFont="1" applyBorder="1" applyAlignment="1" applyProtection="1">
      <alignment horizontal="left" vertical="top" wrapText="1"/>
      <protection locked="0"/>
    </xf>
    <xf numFmtId="0" fontId="8" fillId="0" borderId="3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7" fillId="0" borderId="24" xfId="1" applyNumberFormat="1" applyFont="1" applyBorder="1" applyAlignment="1" applyProtection="1">
      <alignment horizontal="center" vertical="center" wrapText="1"/>
      <protection locked="0"/>
    </xf>
    <xf numFmtId="1" fontId="7" fillId="0" borderId="25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7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361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10" Type="http://schemas.openxmlformats.org/officeDocument/2006/relationships/image" Target="../media/image10.emf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233287</xdr:colOff>
      <xdr:row>4</xdr:row>
      <xdr:rowOff>63158</xdr:rowOff>
    </xdr:from>
    <xdr:to>
      <xdr:col>15</xdr:col>
      <xdr:colOff>765047</xdr:colOff>
      <xdr:row>12</xdr:row>
      <xdr:rowOff>61227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8875" y="1273393"/>
          <a:ext cx="6213143" cy="1622922"/>
        </a:xfrm>
        <a:prstGeom prst="rect">
          <a:avLst/>
        </a:prstGeom>
      </xdr:spPr>
    </xdr:pic>
    <xdr:clientData/>
  </xdr:twoCellAnchor>
  <xdr:twoCellAnchor editAs="oneCell">
    <xdr:from>
      <xdr:col>11</xdr:col>
      <xdr:colOff>253885</xdr:colOff>
      <xdr:row>46</xdr:row>
      <xdr:rowOff>47106</xdr:rowOff>
    </xdr:from>
    <xdr:to>
      <xdr:col>15</xdr:col>
      <xdr:colOff>584070</xdr:colOff>
      <xdr:row>49</xdr:row>
      <xdr:rowOff>414823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385" y="12056226"/>
          <a:ext cx="3462005" cy="962077"/>
        </a:xfrm>
        <a:prstGeom prst="rect">
          <a:avLst/>
        </a:prstGeom>
      </xdr:spPr>
    </xdr:pic>
    <xdr:clientData/>
  </xdr:twoCellAnchor>
  <xdr:twoCellAnchor editAs="oneCell">
    <xdr:from>
      <xdr:col>8</xdr:col>
      <xdr:colOff>301684</xdr:colOff>
      <xdr:row>52</xdr:row>
      <xdr:rowOff>90403</xdr:rowOff>
    </xdr:from>
    <xdr:to>
      <xdr:col>13</xdr:col>
      <xdr:colOff>188147</xdr:colOff>
      <xdr:row>53</xdr:row>
      <xdr:rowOff>402385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2084" y="13516843"/>
          <a:ext cx="4184143" cy="715842"/>
        </a:xfrm>
        <a:prstGeom prst="rect">
          <a:avLst/>
        </a:prstGeom>
      </xdr:spPr>
    </xdr:pic>
    <xdr:clientData/>
  </xdr:twoCellAnchor>
  <xdr:twoCellAnchor editAs="oneCell">
    <xdr:from>
      <xdr:col>8</xdr:col>
      <xdr:colOff>229721</xdr:colOff>
      <xdr:row>12</xdr:row>
      <xdr:rowOff>113588</xdr:rowOff>
    </xdr:from>
    <xdr:to>
      <xdr:col>16</xdr:col>
      <xdr:colOff>24689</xdr:colOff>
      <xdr:row>13</xdr:row>
      <xdr:rowOff>168796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65309" y="2948676"/>
          <a:ext cx="6260762" cy="868195"/>
        </a:xfrm>
        <a:prstGeom prst="rect">
          <a:avLst/>
        </a:prstGeom>
      </xdr:spPr>
    </xdr:pic>
    <xdr:clientData/>
  </xdr:twoCellAnchor>
  <xdr:twoCellAnchor editAs="oneCell">
    <xdr:from>
      <xdr:col>8</xdr:col>
      <xdr:colOff>121228</xdr:colOff>
      <xdr:row>16</xdr:row>
      <xdr:rowOff>147204</xdr:rowOff>
    </xdr:from>
    <xdr:to>
      <xdr:col>15</xdr:col>
      <xdr:colOff>652988</xdr:colOff>
      <xdr:row>18</xdr:row>
      <xdr:rowOff>83900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41523" y="3965863"/>
          <a:ext cx="6190476" cy="742857"/>
        </a:xfrm>
        <a:prstGeom prst="rect">
          <a:avLst/>
        </a:prstGeom>
      </xdr:spPr>
    </xdr:pic>
    <xdr:clientData/>
  </xdr:twoCellAnchor>
  <xdr:twoCellAnchor editAs="oneCell">
    <xdr:from>
      <xdr:col>8</xdr:col>
      <xdr:colOff>121226</xdr:colOff>
      <xdr:row>20</xdr:row>
      <xdr:rowOff>173184</xdr:rowOff>
    </xdr:from>
    <xdr:to>
      <xdr:col>14</xdr:col>
      <xdr:colOff>15839</xdr:colOff>
      <xdr:row>24</xdr:row>
      <xdr:rowOff>38854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41521" y="4788479"/>
          <a:ext cx="4895238" cy="9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330778</xdr:colOff>
      <xdr:row>441</xdr:row>
      <xdr:rowOff>84860</xdr:rowOff>
    </xdr:from>
    <xdr:to>
      <xdr:col>12</xdr:col>
      <xdr:colOff>269571</xdr:colOff>
      <xdr:row>459</xdr:row>
      <xdr:rowOff>99997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60203" y="86543285"/>
          <a:ext cx="3320168" cy="361558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95250</xdr:colOff>
      <xdr:row>676</xdr:row>
      <xdr:rowOff>18183</xdr:rowOff>
    </xdr:from>
    <xdr:to>
      <xdr:col>7</xdr:col>
      <xdr:colOff>95250</xdr:colOff>
      <xdr:row>691</xdr:row>
      <xdr:rowOff>184159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50" y="102878658"/>
          <a:ext cx="4933950" cy="3166351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8</xdr:col>
      <xdr:colOff>472081</xdr:colOff>
      <xdr:row>460</xdr:row>
      <xdr:rowOff>107905</xdr:rowOff>
    </xdr:from>
    <xdr:to>
      <xdr:col>12</xdr:col>
      <xdr:colOff>109218</xdr:colOff>
      <xdr:row>478</xdr:row>
      <xdr:rowOff>123042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7301506" y="105806830"/>
          <a:ext cx="3018512" cy="3615587"/>
          <a:chOff x="7406281" y="90576355"/>
          <a:chExt cx="3018512" cy="3615587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406281" y="90576355"/>
            <a:ext cx="3018512" cy="3615587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9600334" y="92081639"/>
            <a:ext cx="322118" cy="374073"/>
          </a:xfrm>
          <a:prstGeom prst="rect">
            <a:avLst/>
          </a:prstGeom>
          <a:noFill/>
          <a:ln w="38100">
            <a:solidFill>
              <a:srgbClr val="361BD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>
            <a:stCxn id="15" idx="0"/>
          </xdr:cNvCxnSpPr>
        </xdr:nvCxnSpPr>
        <xdr:spPr>
          <a:xfrm flipV="1">
            <a:off x="9764857" y="92455714"/>
            <a:ext cx="8660" cy="521275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9106766" y="92976989"/>
            <a:ext cx="1317914" cy="2615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600" b="1"/>
              <a:t>Building T1</a:t>
            </a:r>
          </a:p>
        </xdr:txBody>
      </xdr:sp>
      <xdr:sp macro="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253971" y="91394106"/>
            <a:ext cx="755073" cy="670214"/>
          </a:xfrm>
          <a:prstGeom prst="round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8163791" y="90655487"/>
            <a:ext cx="1315316" cy="260639"/>
          </a:xfrm>
          <a:prstGeom prst="rect">
            <a:avLst/>
          </a:prstGeom>
          <a:solidFill>
            <a:srgbClr val="FFFF00"/>
          </a:solidFill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Building T2</a:t>
            </a:r>
            <a:r>
              <a:rPr lang="en-IN" sz="1200" b="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 &amp; T3</a:t>
            </a:r>
            <a:endParaRPr lang="en-IN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>
            <a:stCxn id="26" idx="2"/>
          </xdr:cNvCxnSpPr>
        </xdr:nvCxnSpPr>
        <xdr:spPr>
          <a:xfrm>
            <a:off x="8821882" y="90916126"/>
            <a:ext cx="414770" cy="617392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733425</xdr:colOff>
      <xdr:row>486</xdr:row>
      <xdr:rowOff>47625</xdr:rowOff>
    </xdr:from>
    <xdr:to>
      <xdr:col>16</xdr:col>
      <xdr:colOff>44233</xdr:colOff>
      <xdr:row>518</xdr:row>
      <xdr:rowOff>171450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0165" y="115429665"/>
          <a:ext cx="4751488" cy="64636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762000</xdr:colOff>
      <xdr:row>459</xdr:row>
      <xdr:rowOff>142875</xdr:rowOff>
    </xdr:from>
    <xdr:to>
      <xdr:col>6</xdr:col>
      <xdr:colOff>352425</xdr:colOff>
      <xdr:row>483</xdr:row>
      <xdr:rowOff>27629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524000" y="105641775"/>
          <a:ext cx="3743325" cy="4685354"/>
          <a:chOff x="1524000" y="90201750"/>
          <a:chExt cx="3743325" cy="4685354"/>
        </a:xfrm>
      </xdr:grpSpPr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1524000" y="90201750"/>
            <a:ext cx="3743325" cy="46853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3019425" y="91182825"/>
            <a:ext cx="1019175" cy="60960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609975" y="91744800"/>
            <a:ext cx="47625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FF0000"/>
                </a:solidFill>
              </a:rPr>
              <a:t>T</a:t>
            </a:r>
            <a:r>
              <a:rPr lang="en-IN" sz="1600" b="1" baseline="0">
                <a:solidFill>
                  <a:srgbClr val="FF0000"/>
                </a:solidFill>
              </a:rPr>
              <a:t>4</a:t>
            </a:r>
            <a:endParaRPr lang="en-IN" sz="1600" b="1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3038475" y="91754325"/>
            <a:ext cx="47625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FF0000"/>
                </a:solidFill>
              </a:rPr>
              <a:t>T</a:t>
            </a:r>
            <a:r>
              <a:rPr lang="en-IN" sz="1600" b="1" baseline="0">
                <a:solidFill>
                  <a:srgbClr val="FF0000"/>
                </a:solidFill>
              </a:rPr>
              <a:t>5</a:t>
            </a:r>
            <a:endParaRPr lang="en-IN" sz="1600" b="1">
              <a:solidFill>
                <a:srgbClr val="FF0000"/>
              </a:solidFill>
            </a:endParaRP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4048125" y="91135200"/>
            <a:ext cx="542925" cy="771526"/>
          </a:xfrm>
          <a:prstGeom prst="rect">
            <a:avLst/>
          </a:prstGeom>
          <a:noFill/>
          <a:ln w="38100">
            <a:solidFill>
              <a:srgbClr val="7030A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/>
        </xdr:nvSpPr>
        <xdr:spPr>
          <a:xfrm>
            <a:off x="3943350" y="90811350"/>
            <a:ext cx="8763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7030A0"/>
                </a:solidFill>
              </a:rPr>
              <a:t>T</a:t>
            </a:r>
            <a:r>
              <a:rPr lang="en-IN" sz="1600" b="1" baseline="0">
                <a:solidFill>
                  <a:srgbClr val="7030A0"/>
                </a:solidFill>
              </a:rPr>
              <a:t>2 &amp; T3</a:t>
            </a:r>
            <a:endParaRPr lang="en-IN" sz="1600" b="1">
              <a:solidFill>
                <a:srgbClr val="7030A0"/>
              </a:solidFill>
            </a:endParaRP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4057650" y="91906725"/>
            <a:ext cx="523875" cy="438150"/>
          </a:xfrm>
          <a:prstGeom prst="rect">
            <a:avLst/>
          </a:prstGeom>
          <a:noFill/>
          <a:ln w="28575">
            <a:solidFill>
              <a:srgbClr val="00206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4133850" y="92344875"/>
            <a:ext cx="47625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600" b="1">
                <a:solidFill>
                  <a:srgbClr val="002060"/>
                </a:solidFill>
              </a:rPr>
              <a:t>T</a:t>
            </a:r>
            <a:r>
              <a:rPr lang="en-IN" sz="1600" b="1" baseline="0">
                <a:solidFill>
                  <a:srgbClr val="002060"/>
                </a:solidFill>
              </a:rPr>
              <a:t>1</a:t>
            </a:r>
            <a:endParaRPr lang="en-IN" sz="1600" b="1">
              <a:solidFill>
                <a:srgbClr val="002060"/>
              </a:solidFill>
            </a:endParaRPr>
          </a:p>
        </xdr:txBody>
      </xdr:sp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2533650" y="94297500"/>
            <a:ext cx="552381" cy="51428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466725</xdr:colOff>
      <xdr:row>441</xdr:row>
      <xdr:rowOff>9524</xdr:rowOff>
    </xdr:from>
    <xdr:to>
      <xdr:col>7</xdr:col>
      <xdr:colOff>47625</xdr:colOff>
      <xdr:row>459</xdr:row>
      <xdr:rowOff>38099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228725" y="101907974"/>
          <a:ext cx="4514850" cy="3629025"/>
          <a:chOff x="1228725" y="86467949"/>
          <a:chExt cx="4514850" cy="3629025"/>
        </a:xfrm>
      </xdr:grpSpPr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228725" y="86467949"/>
            <a:ext cx="4514850" cy="362902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 rot="1350752">
            <a:off x="3251965" y="87294026"/>
            <a:ext cx="734149" cy="678098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1</xdr:col>
      <xdr:colOff>314325</xdr:colOff>
      <xdr:row>692</xdr:row>
      <xdr:rowOff>76201</xdr:rowOff>
    </xdr:from>
    <xdr:to>
      <xdr:col>6</xdr:col>
      <xdr:colOff>581025</xdr:colOff>
      <xdr:row>712</xdr:row>
      <xdr:rowOff>190501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1076325" y="152180926"/>
          <a:ext cx="4419600" cy="4114800"/>
          <a:chOff x="1076325" y="106137076"/>
          <a:chExt cx="4419600" cy="4114800"/>
        </a:xfrm>
      </xdr:grpSpPr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1076325" y="106137076"/>
            <a:ext cx="4419600" cy="41148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2" name="Freeform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2343150" y="106918125"/>
            <a:ext cx="1533525" cy="2686050"/>
          </a:xfrm>
          <a:custGeom>
            <a:avLst/>
            <a:gdLst>
              <a:gd name="connsiteX0" fmla="*/ 285750 w 1533525"/>
              <a:gd name="connsiteY0" fmla="*/ 400050 h 2686050"/>
              <a:gd name="connsiteX1" fmla="*/ 457200 w 1533525"/>
              <a:gd name="connsiteY1" fmla="*/ 0 h 2686050"/>
              <a:gd name="connsiteX2" fmla="*/ 1533525 w 1533525"/>
              <a:gd name="connsiteY2" fmla="*/ 381000 h 2686050"/>
              <a:gd name="connsiteX3" fmla="*/ 1390650 w 1533525"/>
              <a:gd name="connsiteY3" fmla="*/ 828675 h 2686050"/>
              <a:gd name="connsiteX4" fmla="*/ 1524000 w 1533525"/>
              <a:gd name="connsiteY4" fmla="*/ 876300 h 2686050"/>
              <a:gd name="connsiteX5" fmla="*/ 1209675 w 1533525"/>
              <a:gd name="connsiteY5" fmla="*/ 1571625 h 2686050"/>
              <a:gd name="connsiteX6" fmla="*/ 923925 w 1533525"/>
              <a:gd name="connsiteY6" fmla="*/ 1485900 h 2686050"/>
              <a:gd name="connsiteX7" fmla="*/ 657225 w 1533525"/>
              <a:gd name="connsiteY7" fmla="*/ 2333625 h 2686050"/>
              <a:gd name="connsiteX8" fmla="*/ 1123950 w 1533525"/>
              <a:gd name="connsiteY8" fmla="*/ 2600325 h 2686050"/>
              <a:gd name="connsiteX9" fmla="*/ 1047750 w 1533525"/>
              <a:gd name="connsiteY9" fmla="*/ 2686050 h 2686050"/>
              <a:gd name="connsiteX10" fmla="*/ 0 w 1533525"/>
              <a:gd name="connsiteY10" fmla="*/ 1990725 h 2686050"/>
              <a:gd name="connsiteX11" fmla="*/ 447675 w 1533525"/>
              <a:gd name="connsiteY11" fmla="*/ 1285875 h 2686050"/>
              <a:gd name="connsiteX12" fmla="*/ 104775 w 1533525"/>
              <a:gd name="connsiteY12" fmla="*/ 1152525 h 2686050"/>
              <a:gd name="connsiteX13" fmla="*/ 419100 w 1533525"/>
              <a:gd name="connsiteY13" fmla="*/ 457200 h 2686050"/>
              <a:gd name="connsiteX14" fmla="*/ 285750 w 1533525"/>
              <a:gd name="connsiteY14" fmla="*/ 400050 h 26860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533525" h="2686050">
                <a:moveTo>
                  <a:pt x="285750" y="400050"/>
                </a:moveTo>
                <a:lnTo>
                  <a:pt x="457200" y="0"/>
                </a:lnTo>
                <a:lnTo>
                  <a:pt x="1533525" y="381000"/>
                </a:lnTo>
                <a:lnTo>
                  <a:pt x="1390650" y="828675"/>
                </a:lnTo>
                <a:lnTo>
                  <a:pt x="1524000" y="876300"/>
                </a:lnTo>
                <a:lnTo>
                  <a:pt x="1209675" y="1571625"/>
                </a:lnTo>
                <a:lnTo>
                  <a:pt x="923925" y="1485900"/>
                </a:lnTo>
                <a:lnTo>
                  <a:pt x="657225" y="2333625"/>
                </a:lnTo>
                <a:lnTo>
                  <a:pt x="1123950" y="2600325"/>
                </a:lnTo>
                <a:lnTo>
                  <a:pt x="1047750" y="2686050"/>
                </a:lnTo>
                <a:lnTo>
                  <a:pt x="0" y="1990725"/>
                </a:lnTo>
                <a:lnTo>
                  <a:pt x="447675" y="1285875"/>
                </a:lnTo>
                <a:lnTo>
                  <a:pt x="104775" y="1152525"/>
                </a:lnTo>
                <a:lnTo>
                  <a:pt x="419100" y="457200"/>
                </a:lnTo>
                <a:lnTo>
                  <a:pt x="285750" y="400050"/>
                </a:lnTo>
                <a:close/>
              </a:path>
            </a:pathLst>
          </a:cu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8</xdr:col>
      <xdr:colOff>377190</xdr:colOff>
      <xdr:row>58</xdr:row>
      <xdr:rowOff>150495</xdr:rowOff>
    </xdr:from>
    <xdr:to>
      <xdr:col>13</xdr:col>
      <xdr:colOff>767145</xdr:colOff>
      <xdr:row>62</xdr:row>
      <xdr:rowOff>289381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87590" y="14407515"/>
          <a:ext cx="4687635" cy="1419046"/>
        </a:xfrm>
        <a:prstGeom prst="rect">
          <a:avLst/>
        </a:prstGeom>
      </xdr:spPr>
    </xdr:pic>
    <xdr:clientData/>
  </xdr:twoCellAnchor>
  <xdr:twoCellAnchor>
    <xdr:from>
      <xdr:col>8</xdr:col>
      <xdr:colOff>216532</xdr:colOff>
      <xdr:row>398</xdr:row>
      <xdr:rowOff>57150</xdr:rowOff>
    </xdr:from>
    <xdr:to>
      <xdr:col>15</xdr:col>
      <xdr:colOff>171635</xdr:colOff>
      <xdr:row>439</xdr:row>
      <xdr:rowOff>33404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7045957" y="93364050"/>
          <a:ext cx="5622478" cy="8167754"/>
          <a:chOff x="492757" y="83981925"/>
          <a:chExt cx="5622478" cy="8167754"/>
        </a:xfrm>
      </xdr:grpSpPr>
      <xdr:pic>
        <xdr:nvPicPr>
          <xdr:cNvPr id="45" name="Picture 44" descr="https://vsjcllp.vsjadon.com/upload/insp-214960-1525.jpg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34796" y="90006488"/>
            <a:ext cx="2872291" cy="21431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7" name="Picture 46" descr="https://vsjcllp.vsjadon.com/upload/insp-214960-845.jpg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39814" y="87760549"/>
            <a:ext cx="1616632" cy="21431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8" name="Picture 47" descr="https://vsjcllp.vsjadon.com/upload/insp-214960-844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86653" y="87767272"/>
            <a:ext cx="1622795" cy="21431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48" descr="https://vsjcllp.vsjadon.com/upload/insp-214960-847.jpg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77286" y="87762789"/>
            <a:ext cx="1611590" cy="21431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0" name="Picture 49" descr="https://vsjcllp.vsjadon.com/upload/insp-214960-1512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01807" y="90003407"/>
            <a:ext cx="1618873" cy="214319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75" name="Group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GrpSpPr/>
        </xdr:nvGrpSpPr>
        <xdr:grpSpPr>
          <a:xfrm>
            <a:off x="492757" y="84003214"/>
            <a:ext cx="2757696" cy="3651439"/>
            <a:chOff x="492757" y="78326314"/>
            <a:chExt cx="2757696" cy="3651439"/>
          </a:xfrm>
        </xdr:grpSpPr>
        <xdr:pic>
          <xdr:nvPicPr>
            <xdr:cNvPr id="51" name="Picture 50" descr="https://vsjcllp.vsjadon.com/upload/insp-214960-880.jpg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2757" y="78326314"/>
              <a:ext cx="2757696" cy="365143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9" name="Rectangle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/>
          </xdr:nvSpPr>
          <xdr:spPr>
            <a:xfrm>
              <a:off x="1038225" y="78400275"/>
              <a:ext cx="590550" cy="5715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2000" b="1">
                  <a:solidFill>
                    <a:srgbClr val="C00000"/>
                  </a:solidFill>
                </a:rPr>
                <a:t>T1</a:t>
              </a:r>
            </a:p>
          </xdr:txBody>
        </xdr:sp>
        <xdr:sp macro="" textlink="">
          <xdr:nvSpPr>
            <xdr:cNvPr id="71" name="Rectangle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SpPr/>
          </xdr:nvSpPr>
          <xdr:spPr>
            <a:xfrm>
              <a:off x="1743075" y="78476475"/>
              <a:ext cx="590550" cy="5715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2000" b="1">
                  <a:solidFill>
                    <a:srgbClr val="C00000"/>
                  </a:solidFill>
                </a:rPr>
                <a:t>T2</a:t>
              </a:r>
            </a:p>
          </xdr:txBody>
        </xdr:sp>
      </xdr:grpSp>
      <xdr:grpSp>
        <xdr:nvGrpSpPr>
          <xdr:cNvPr id="74" name="Group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GrpSpPr/>
        </xdr:nvGrpSpPr>
        <xdr:grpSpPr>
          <a:xfrm>
            <a:off x="3368184" y="83981925"/>
            <a:ext cx="2747051" cy="3688418"/>
            <a:chOff x="3368184" y="78305025"/>
            <a:chExt cx="2747051" cy="3688418"/>
          </a:xfrm>
        </xdr:grpSpPr>
        <xdr:pic>
          <xdr:nvPicPr>
            <xdr:cNvPr id="46" name="Picture 45" descr="https://vsjcllp.vsjadon.com/upload/insp-214960-843.jpg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368184" y="78342004"/>
              <a:ext cx="2747051" cy="365143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3" name="Rectangle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SpPr/>
          </xdr:nvSpPr>
          <xdr:spPr>
            <a:xfrm>
              <a:off x="4981575" y="78305025"/>
              <a:ext cx="590550" cy="57150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en-IN" sz="2000" b="1">
                  <a:solidFill>
                    <a:srgbClr val="C00000"/>
                  </a:solidFill>
                </a:rPr>
                <a:t>T3</a:t>
              </a:r>
            </a:p>
          </xdr:txBody>
        </xdr:sp>
      </xdr:grpSp>
    </xdr:grpSp>
    <xdr:clientData/>
  </xdr:twoCellAnchor>
  <xdr:oneCellAnchor>
    <xdr:from>
      <xdr:col>1</xdr:col>
      <xdr:colOff>754380</xdr:colOff>
      <xdr:row>555</xdr:row>
      <xdr:rowOff>30480</xdr:rowOff>
    </xdr:from>
    <xdr:ext cx="789575" cy="311496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539240" y="115656360"/>
          <a:ext cx="78957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Tower 4</a:t>
          </a:r>
        </a:p>
      </xdr:txBody>
    </xdr:sp>
    <xdr:clientData/>
  </xdr:oneCellAnchor>
  <xdr:twoCellAnchor editAs="oneCell">
    <xdr:from>
      <xdr:col>9</xdr:col>
      <xdr:colOff>769620</xdr:colOff>
      <xdr:row>53</xdr:row>
      <xdr:rowOff>38100</xdr:rowOff>
    </xdr:from>
    <xdr:to>
      <xdr:col>18</xdr:col>
      <xdr:colOff>450132</xdr:colOff>
      <xdr:row>60</xdr:row>
      <xdr:rowOff>383157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BBB31A5-26BC-1ABA-0EE8-21E5514FF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976360" y="14302740"/>
          <a:ext cx="6370872" cy="2905377"/>
        </a:xfrm>
        <a:prstGeom prst="rect">
          <a:avLst/>
        </a:prstGeom>
      </xdr:spPr>
    </xdr:pic>
    <xdr:clientData/>
  </xdr:twoCellAnchor>
  <xdr:twoCellAnchor editAs="oneCell">
    <xdr:from>
      <xdr:col>8</xdr:col>
      <xdr:colOff>579120</xdr:colOff>
      <xdr:row>48</xdr:row>
      <xdr:rowOff>38100</xdr:rowOff>
    </xdr:from>
    <xdr:to>
      <xdr:col>13</xdr:col>
      <xdr:colOff>221321</xdr:colOff>
      <xdr:row>53</xdr:row>
      <xdr:rowOff>404053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FC0B06E-ED20-6DF5-B7FB-7C2092831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589520" y="12443460"/>
          <a:ext cx="3939881" cy="2225233"/>
        </a:xfrm>
        <a:prstGeom prst="rect">
          <a:avLst/>
        </a:prstGeom>
      </xdr:spPr>
    </xdr:pic>
    <xdr:clientData/>
  </xdr:twoCellAnchor>
  <xdr:twoCellAnchor>
    <xdr:from>
      <xdr:col>1</xdr:col>
      <xdr:colOff>617220</xdr:colOff>
      <xdr:row>524</xdr:row>
      <xdr:rowOff>22860</xdr:rowOff>
    </xdr:from>
    <xdr:to>
      <xdr:col>6</xdr:col>
      <xdr:colOff>388692</xdr:colOff>
      <xdr:row>557</xdr:row>
      <xdr:rowOff>145981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59EACFCA-A832-BD82-DF59-85804CD08AEF}"/>
            </a:ext>
          </a:extLst>
        </xdr:cNvPr>
        <xdr:cNvGrpSpPr/>
      </xdr:nvGrpSpPr>
      <xdr:grpSpPr>
        <a:xfrm>
          <a:off x="1379220" y="118523385"/>
          <a:ext cx="3924372" cy="6723946"/>
          <a:chOff x="3178661" y="666308"/>
          <a:chExt cx="4031052" cy="6661081"/>
        </a:xfrm>
      </xdr:grpSpPr>
      <xdr:sp macro="" textlink="">
        <xdr:nvSpPr>
          <xdr:cNvPr id="85" name="TextBox 19">
            <a:extLst>
              <a:ext uri="{FF2B5EF4-FFF2-40B4-BE49-F238E27FC236}">
                <a16:creationId xmlns:a16="http://schemas.microsoft.com/office/drawing/2014/main" id="{9E21707A-4D4D-2A22-9827-40CFA1CE0221}"/>
              </a:ext>
            </a:extLst>
          </xdr:cNvPr>
          <xdr:cNvSpPr txBox="1"/>
        </xdr:nvSpPr>
        <xdr:spPr>
          <a:xfrm>
            <a:off x="3178661" y="3489860"/>
            <a:ext cx="896399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35</a:t>
            </a:r>
            <a:r>
              <a:rPr lang="en-IN" sz="1400" b="1" baseline="30000">
                <a:solidFill>
                  <a:srgbClr val="FF0000"/>
                </a:solidFill>
              </a:rPr>
              <a:t>th</a:t>
            </a:r>
            <a:r>
              <a:rPr lang="en-IN" sz="1400" b="1">
                <a:solidFill>
                  <a:srgbClr val="FF0000"/>
                </a:solidFill>
              </a:rPr>
              <a:t> Floor</a:t>
            </a:r>
          </a:p>
        </xdr:txBody>
      </xdr:sp>
      <xdr:pic>
        <xdr:nvPicPr>
          <xdr:cNvPr id="86" name="Picture 85">
            <a:extLst>
              <a:ext uri="{FF2B5EF4-FFF2-40B4-BE49-F238E27FC236}">
                <a16:creationId xmlns:a16="http://schemas.microsoft.com/office/drawing/2014/main" id="{BF373334-B4EC-F3AB-1539-B44C533419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4187" y="4161401"/>
            <a:ext cx="3960000" cy="316598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44C79651-575C-31F4-8A56-7F2E522026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14187" y="666308"/>
            <a:ext cx="3960000" cy="32745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45C2ED71-BBBF-FE34-6830-9A2AF417767F}"/>
              </a:ext>
            </a:extLst>
          </xdr:cNvPr>
          <xdr:cNvSpPr/>
        </xdr:nvSpPr>
        <xdr:spPr>
          <a:xfrm>
            <a:off x="3307974" y="7105650"/>
            <a:ext cx="862706" cy="193288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DE325E15-D105-265E-51DC-71067B74905F}"/>
              </a:ext>
            </a:extLst>
          </xdr:cNvPr>
          <xdr:cNvSpPr/>
        </xdr:nvSpPr>
        <xdr:spPr>
          <a:xfrm>
            <a:off x="3357880" y="4226560"/>
            <a:ext cx="3586480" cy="124968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0F160B41-EBBB-7FA7-312D-5A4C89215FAA}"/>
              </a:ext>
            </a:extLst>
          </xdr:cNvPr>
          <xdr:cNvSpPr/>
        </xdr:nvSpPr>
        <xdr:spPr>
          <a:xfrm>
            <a:off x="3429000" y="787400"/>
            <a:ext cx="3296920" cy="1116354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F6FF315B-BF38-BAF5-EF51-BDAC77644E29}"/>
              </a:ext>
            </a:extLst>
          </xdr:cNvPr>
          <xdr:cNvSpPr/>
        </xdr:nvSpPr>
        <xdr:spPr>
          <a:xfrm>
            <a:off x="6466840" y="3643749"/>
            <a:ext cx="670560" cy="204676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2" name="TextBox 20">
            <a:extLst>
              <a:ext uri="{FF2B5EF4-FFF2-40B4-BE49-F238E27FC236}">
                <a16:creationId xmlns:a16="http://schemas.microsoft.com/office/drawing/2014/main" id="{7F670D71-B26A-7767-7CB4-AA774E308453}"/>
              </a:ext>
            </a:extLst>
          </xdr:cNvPr>
          <xdr:cNvSpPr txBox="1"/>
        </xdr:nvSpPr>
        <xdr:spPr>
          <a:xfrm>
            <a:off x="6270901" y="6951761"/>
            <a:ext cx="896399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35</a:t>
            </a:r>
            <a:r>
              <a:rPr lang="en-IN" sz="1400" b="1" baseline="30000">
                <a:solidFill>
                  <a:srgbClr val="FF0000"/>
                </a:solidFill>
              </a:rPr>
              <a:t>th</a:t>
            </a:r>
            <a:r>
              <a:rPr lang="en-IN" sz="1400" b="1">
                <a:solidFill>
                  <a:srgbClr val="FF0000"/>
                </a:solidFill>
              </a:rPr>
              <a:t> Floor</a:t>
            </a:r>
          </a:p>
        </xdr:txBody>
      </xdr:sp>
      <xdr:sp macro="" textlink="">
        <xdr:nvSpPr>
          <xdr:cNvPr id="93" name="TextBox 43">
            <a:extLst>
              <a:ext uri="{FF2B5EF4-FFF2-40B4-BE49-F238E27FC236}">
                <a16:creationId xmlns:a16="http://schemas.microsoft.com/office/drawing/2014/main" id="{D474D805-FC82-86EE-8CA0-6F5B6E504CE2}"/>
              </a:ext>
            </a:extLst>
          </xdr:cNvPr>
          <xdr:cNvSpPr txBox="1"/>
        </xdr:nvSpPr>
        <xdr:spPr>
          <a:xfrm>
            <a:off x="6264551" y="3329677"/>
            <a:ext cx="822661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00" b="1">
                <a:solidFill>
                  <a:srgbClr val="FF0000"/>
                </a:solidFill>
              </a:rPr>
              <a:t>Sheet No 04</a:t>
            </a:r>
          </a:p>
        </xdr:txBody>
      </xdr:sp>
      <xdr:sp macro="" textlink="">
        <xdr:nvSpPr>
          <xdr:cNvPr id="94" name="TextBox 44">
            <a:extLst>
              <a:ext uri="{FF2B5EF4-FFF2-40B4-BE49-F238E27FC236}">
                <a16:creationId xmlns:a16="http://schemas.microsoft.com/office/drawing/2014/main" id="{2B8366BC-50D4-3D88-D948-92DA77F52DD3}"/>
              </a:ext>
            </a:extLst>
          </xdr:cNvPr>
          <xdr:cNvSpPr txBox="1"/>
        </xdr:nvSpPr>
        <xdr:spPr>
          <a:xfrm>
            <a:off x="6307769" y="6760799"/>
            <a:ext cx="83067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00" b="1">
                <a:solidFill>
                  <a:srgbClr val="FF0000"/>
                </a:solidFill>
              </a:rPr>
              <a:t>Sheet No 05</a:t>
            </a:r>
          </a:p>
        </xdr:txBody>
      </xdr:sp>
      <xdr:sp macro="" textlink="">
        <xdr:nvSpPr>
          <xdr:cNvPr id="95" name="TextBox 47">
            <a:extLst>
              <a:ext uri="{FF2B5EF4-FFF2-40B4-BE49-F238E27FC236}">
                <a16:creationId xmlns:a16="http://schemas.microsoft.com/office/drawing/2014/main" id="{E09FC9C8-72A6-BED7-699D-01C3A17C7697}"/>
              </a:ext>
            </a:extLst>
          </xdr:cNvPr>
          <xdr:cNvSpPr txBox="1"/>
        </xdr:nvSpPr>
        <xdr:spPr>
          <a:xfrm>
            <a:off x="6641929" y="2856055"/>
            <a:ext cx="567784" cy="52322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35</a:t>
            </a:r>
            <a:r>
              <a:rPr lang="en-IN" sz="1400" b="1" baseline="30000">
                <a:solidFill>
                  <a:srgbClr val="FF0000"/>
                </a:solidFill>
              </a:rPr>
              <a:t>th</a:t>
            </a:r>
            <a:r>
              <a:rPr lang="en-IN" sz="1400" b="1">
                <a:solidFill>
                  <a:srgbClr val="FF0000"/>
                </a:solidFill>
              </a:rPr>
              <a:t> </a:t>
            </a:r>
          </a:p>
          <a:p>
            <a:r>
              <a:rPr lang="en-IN" sz="1400" b="1">
                <a:solidFill>
                  <a:srgbClr val="FF0000"/>
                </a:solidFill>
              </a:rPr>
              <a:t>Floor</a:t>
            </a:r>
          </a:p>
        </xdr:txBody>
      </xdr:sp>
    </xdr:grpSp>
    <xdr:clientData/>
  </xdr:twoCellAnchor>
  <xdr:oneCellAnchor>
    <xdr:from>
      <xdr:col>1</xdr:col>
      <xdr:colOff>276225</xdr:colOff>
      <xdr:row>638</xdr:row>
      <xdr:rowOff>24765</xdr:rowOff>
    </xdr:from>
    <xdr:ext cx="4751488" cy="6463665"/>
    <xdr:pic>
      <xdr:nvPicPr>
        <xdr:cNvPr id="96" name="Picture 95">
          <a:extLst>
            <a:ext uri="{FF2B5EF4-FFF2-40B4-BE49-F238E27FC236}">
              <a16:creationId xmlns:a16="http://schemas.microsoft.com/office/drawing/2014/main" id="{3DA60590-9904-415F-ADB8-0B9F20ED7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1085" y="140095605"/>
          <a:ext cx="4751488" cy="64636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1</xdr:col>
      <xdr:colOff>754380</xdr:colOff>
      <xdr:row>593</xdr:row>
      <xdr:rowOff>30480</xdr:rowOff>
    </xdr:from>
    <xdr:ext cx="789575" cy="311496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3C08893-D6D7-402C-ACD3-DDE8D0AE50A9}"/>
            </a:ext>
          </a:extLst>
        </xdr:cNvPr>
        <xdr:cNvSpPr txBox="1"/>
      </xdr:nvSpPr>
      <xdr:spPr>
        <a:xfrm>
          <a:off x="1539240" y="112219740"/>
          <a:ext cx="78957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Tower 4</a:t>
          </a:r>
        </a:p>
      </xdr:txBody>
    </xdr:sp>
    <xdr:clientData/>
  </xdr:oneCellAnchor>
  <xdr:twoCellAnchor>
    <xdr:from>
      <xdr:col>1</xdr:col>
      <xdr:colOff>556260</xdr:colOff>
      <xdr:row>561</xdr:row>
      <xdr:rowOff>190500</xdr:rowOff>
    </xdr:from>
    <xdr:to>
      <xdr:col>6</xdr:col>
      <xdr:colOff>364524</xdr:colOff>
      <xdr:row>595</xdr:row>
      <xdr:rowOff>166376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5FE79205-88D3-7F3E-7952-3D2B0E86CEEB}"/>
            </a:ext>
          </a:extLst>
        </xdr:cNvPr>
        <xdr:cNvGrpSpPr/>
      </xdr:nvGrpSpPr>
      <xdr:grpSpPr>
        <a:xfrm>
          <a:off x="1318260" y="126091950"/>
          <a:ext cx="3961164" cy="6776726"/>
          <a:chOff x="-1013605" y="615434"/>
          <a:chExt cx="4067844" cy="6711956"/>
        </a:xfrm>
      </xdr:grpSpPr>
      <xdr:pic>
        <xdr:nvPicPr>
          <xdr:cNvPr id="111" name="Picture 110">
            <a:extLst>
              <a:ext uri="{FF2B5EF4-FFF2-40B4-BE49-F238E27FC236}">
                <a16:creationId xmlns:a16="http://schemas.microsoft.com/office/drawing/2014/main" id="{69DA678F-A8C8-4AB4-7F73-8AFB03DBB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969824" y="4161401"/>
            <a:ext cx="3960000" cy="316598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2" name="Picture 111">
            <a:extLst>
              <a:ext uri="{FF2B5EF4-FFF2-40B4-BE49-F238E27FC236}">
                <a16:creationId xmlns:a16="http://schemas.microsoft.com/office/drawing/2014/main" id="{375ECAFB-D0D5-F090-C884-34DC5C45E2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969824" y="666308"/>
            <a:ext cx="3960000" cy="327452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3" name="Rectangle 112">
            <a:extLst>
              <a:ext uri="{FF2B5EF4-FFF2-40B4-BE49-F238E27FC236}">
                <a16:creationId xmlns:a16="http://schemas.microsoft.com/office/drawing/2014/main" id="{C42EF7E9-E907-BE44-44AA-8F1031D1F8A6}"/>
              </a:ext>
            </a:extLst>
          </xdr:cNvPr>
          <xdr:cNvSpPr/>
        </xdr:nvSpPr>
        <xdr:spPr>
          <a:xfrm>
            <a:off x="-742950" y="3749040"/>
            <a:ext cx="1710690" cy="14859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14" name="Rectangle 113">
            <a:extLst>
              <a:ext uri="{FF2B5EF4-FFF2-40B4-BE49-F238E27FC236}">
                <a16:creationId xmlns:a16="http://schemas.microsoft.com/office/drawing/2014/main" id="{F693CA3C-BA2E-49C0-63B5-846B51A2A7E0}"/>
              </a:ext>
            </a:extLst>
          </xdr:cNvPr>
          <xdr:cNvSpPr/>
        </xdr:nvSpPr>
        <xdr:spPr>
          <a:xfrm>
            <a:off x="994410" y="2346960"/>
            <a:ext cx="1474470" cy="125349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15" name="Rectangle 114">
            <a:extLst>
              <a:ext uri="{FF2B5EF4-FFF2-40B4-BE49-F238E27FC236}">
                <a16:creationId xmlns:a16="http://schemas.microsoft.com/office/drawing/2014/main" id="{244EB882-3C67-FDA4-C0FA-799A6802F801}"/>
              </a:ext>
            </a:extLst>
          </xdr:cNvPr>
          <xdr:cNvSpPr/>
        </xdr:nvSpPr>
        <xdr:spPr>
          <a:xfrm>
            <a:off x="1131570" y="5825490"/>
            <a:ext cx="1474470" cy="125349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E26FCE26-493C-37A4-9C29-26C3FD1EE7AB}"/>
              </a:ext>
            </a:extLst>
          </xdr:cNvPr>
          <xdr:cNvSpPr/>
        </xdr:nvSpPr>
        <xdr:spPr>
          <a:xfrm>
            <a:off x="-742950" y="7105650"/>
            <a:ext cx="1032510" cy="18669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17" name="TextBox 17">
            <a:extLst>
              <a:ext uri="{FF2B5EF4-FFF2-40B4-BE49-F238E27FC236}">
                <a16:creationId xmlns:a16="http://schemas.microsoft.com/office/drawing/2014/main" id="{B3D86D96-4DE2-B56B-7B94-A576D44AD861}"/>
              </a:ext>
            </a:extLst>
          </xdr:cNvPr>
          <xdr:cNvSpPr txBox="1"/>
        </xdr:nvSpPr>
        <xdr:spPr>
          <a:xfrm>
            <a:off x="2129303" y="615434"/>
            <a:ext cx="896399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36</a:t>
            </a:r>
            <a:r>
              <a:rPr lang="en-IN" sz="1400" b="1" baseline="30000">
                <a:solidFill>
                  <a:srgbClr val="FF0000"/>
                </a:solidFill>
              </a:rPr>
              <a:t>th</a:t>
            </a:r>
            <a:r>
              <a:rPr lang="en-IN" sz="1400" b="1">
                <a:solidFill>
                  <a:srgbClr val="FF0000"/>
                </a:solidFill>
              </a:rPr>
              <a:t> Floor</a:t>
            </a:r>
          </a:p>
        </xdr:txBody>
      </xdr:sp>
      <xdr:sp macro="" textlink="">
        <xdr:nvSpPr>
          <xdr:cNvPr id="118" name="TextBox 18">
            <a:extLst>
              <a:ext uri="{FF2B5EF4-FFF2-40B4-BE49-F238E27FC236}">
                <a16:creationId xmlns:a16="http://schemas.microsoft.com/office/drawing/2014/main" id="{EE175C58-9636-789E-8C43-FECF22CA2D63}"/>
              </a:ext>
            </a:extLst>
          </xdr:cNvPr>
          <xdr:cNvSpPr txBox="1"/>
        </xdr:nvSpPr>
        <xdr:spPr>
          <a:xfrm>
            <a:off x="2157840" y="4264223"/>
            <a:ext cx="896399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36</a:t>
            </a:r>
            <a:r>
              <a:rPr lang="en-IN" sz="1400" b="1" baseline="30000">
                <a:solidFill>
                  <a:srgbClr val="FF0000"/>
                </a:solidFill>
              </a:rPr>
              <a:t>th</a:t>
            </a:r>
            <a:r>
              <a:rPr lang="en-IN" sz="1400" b="1">
                <a:solidFill>
                  <a:srgbClr val="FF0000"/>
                </a:solidFill>
              </a:rPr>
              <a:t> Floor</a:t>
            </a:r>
          </a:p>
        </xdr:txBody>
      </xdr:sp>
      <xdr:sp macro="" textlink="">
        <xdr:nvSpPr>
          <xdr:cNvPr id="119" name="TextBox 24">
            <a:extLst>
              <a:ext uri="{FF2B5EF4-FFF2-40B4-BE49-F238E27FC236}">
                <a16:creationId xmlns:a16="http://schemas.microsoft.com/office/drawing/2014/main" id="{9F0D8132-EE47-9BE5-005B-AF3BA5503B96}"/>
              </a:ext>
            </a:extLst>
          </xdr:cNvPr>
          <xdr:cNvSpPr txBox="1"/>
        </xdr:nvSpPr>
        <xdr:spPr>
          <a:xfrm>
            <a:off x="-1005350" y="631258"/>
            <a:ext cx="822661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00" b="1">
                <a:solidFill>
                  <a:srgbClr val="FF0000"/>
                </a:solidFill>
              </a:rPr>
              <a:t>Sheet No 04</a:t>
            </a:r>
          </a:p>
        </xdr:txBody>
      </xdr:sp>
      <xdr:sp macro="" textlink="">
        <xdr:nvSpPr>
          <xdr:cNvPr id="120" name="TextBox 42">
            <a:extLst>
              <a:ext uri="{FF2B5EF4-FFF2-40B4-BE49-F238E27FC236}">
                <a16:creationId xmlns:a16="http://schemas.microsoft.com/office/drawing/2014/main" id="{3F192863-2E3F-7097-0F72-9A11D72C389B}"/>
              </a:ext>
            </a:extLst>
          </xdr:cNvPr>
          <xdr:cNvSpPr txBox="1"/>
        </xdr:nvSpPr>
        <xdr:spPr>
          <a:xfrm>
            <a:off x="-1013605" y="4219450"/>
            <a:ext cx="830677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000" b="1">
                <a:solidFill>
                  <a:srgbClr val="FF0000"/>
                </a:solidFill>
              </a:rPr>
              <a:t>Sheet No 06</a:t>
            </a:r>
          </a:p>
        </xdr:txBody>
      </xdr:sp>
    </xdr:grpSp>
    <xdr:clientData/>
  </xdr:twoCellAnchor>
  <xdr:oneCellAnchor>
    <xdr:from>
      <xdr:col>1</xdr:col>
      <xdr:colOff>754380</xdr:colOff>
      <xdr:row>631</xdr:row>
      <xdr:rowOff>30480</xdr:rowOff>
    </xdr:from>
    <xdr:ext cx="789575" cy="311496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57754787-E773-4C7D-8A92-3529FEC203DC}"/>
            </a:ext>
          </a:extLst>
        </xdr:cNvPr>
        <xdr:cNvSpPr txBox="1"/>
      </xdr:nvSpPr>
      <xdr:spPr>
        <a:xfrm>
          <a:off x="1539240" y="119748300"/>
          <a:ext cx="78957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FF0000"/>
              </a:solidFill>
            </a:rPr>
            <a:t>Tower 4</a:t>
          </a:r>
        </a:p>
      </xdr:txBody>
    </xdr:sp>
    <xdr:clientData/>
  </xdr:oneCellAnchor>
  <xdr:twoCellAnchor>
    <xdr:from>
      <xdr:col>1</xdr:col>
      <xdr:colOff>609600</xdr:colOff>
      <xdr:row>600</xdr:row>
      <xdr:rowOff>45721</xdr:rowOff>
    </xdr:from>
    <xdr:to>
      <xdr:col>6</xdr:col>
      <xdr:colOff>388620</xdr:colOff>
      <xdr:row>635</xdr:row>
      <xdr:rowOff>68581</xdr:rowOff>
    </xdr:to>
    <xdr:grpSp>
      <xdr:nvGrpSpPr>
        <xdr:cNvPr id="133" name="Group 132">
          <a:extLst>
            <a:ext uri="{FF2B5EF4-FFF2-40B4-BE49-F238E27FC236}">
              <a16:creationId xmlns:a16="http://schemas.microsoft.com/office/drawing/2014/main" id="{B1A7D9E9-0B8B-B060-3A09-EFABF50AE3F7}"/>
            </a:ext>
          </a:extLst>
        </xdr:cNvPr>
        <xdr:cNvGrpSpPr/>
      </xdr:nvGrpSpPr>
      <xdr:grpSpPr>
        <a:xfrm>
          <a:off x="1371600" y="133748146"/>
          <a:ext cx="3931920" cy="7023735"/>
          <a:chOff x="1682975" y="222909"/>
          <a:chExt cx="3998104" cy="7272975"/>
        </a:xfrm>
      </xdr:grpSpPr>
      <xdr:pic>
        <xdr:nvPicPr>
          <xdr:cNvPr id="134" name="Picture 133">
            <a:extLst>
              <a:ext uri="{FF2B5EF4-FFF2-40B4-BE49-F238E27FC236}">
                <a16:creationId xmlns:a16="http://schemas.microsoft.com/office/drawing/2014/main" id="{622D3490-4A2F-2083-7F69-1F0B3EBA50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82975" y="222909"/>
            <a:ext cx="3960000" cy="3535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5" name="Picture 134">
            <a:extLst>
              <a:ext uri="{FF2B5EF4-FFF2-40B4-BE49-F238E27FC236}">
                <a16:creationId xmlns:a16="http://schemas.microsoft.com/office/drawing/2014/main" id="{577F7F25-D157-0A1B-7E36-ED8120E8C6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82975" y="3894800"/>
            <a:ext cx="3998104" cy="356901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id="{AD5C12A7-4699-35A3-045B-565710A0929B}"/>
              </a:ext>
            </a:extLst>
          </xdr:cNvPr>
          <xdr:cNvSpPr/>
        </xdr:nvSpPr>
        <xdr:spPr>
          <a:xfrm>
            <a:off x="3040380" y="3455670"/>
            <a:ext cx="613410" cy="2057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id="{37989F8E-2A9F-147C-71F3-A5F8D6FDB12C}"/>
              </a:ext>
            </a:extLst>
          </xdr:cNvPr>
          <xdr:cNvSpPr/>
        </xdr:nvSpPr>
        <xdr:spPr>
          <a:xfrm>
            <a:off x="2866072" y="7227570"/>
            <a:ext cx="1125855" cy="2057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id="{5118078A-BD7F-61AA-E28E-F862AF79A0DB}"/>
              </a:ext>
            </a:extLst>
          </xdr:cNvPr>
          <xdr:cNvSpPr/>
        </xdr:nvSpPr>
        <xdr:spPr>
          <a:xfrm>
            <a:off x="3653790" y="3954780"/>
            <a:ext cx="1931670" cy="14249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id="{752922BB-B458-6065-142B-685133B3F038}"/>
              </a:ext>
            </a:extLst>
          </xdr:cNvPr>
          <xdr:cNvSpPr/>
        </xdr:nvSpPr>
        <xdr:spPr>
          <a:xfrm>
            <a:off x="3653790" y="272391"/>
            <a:ext cx="1931670" cy="1424940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40" name="TextBox 9">
            <a:extLst>
              <a:ext uri="{FF2B5EF4-FFF2-40B4-BE49-F238E27FC236}">
                <a16:creationId xmlns:a16="http://schemas.microsoft.com/office/drawing/2014/main" id="{51EBA66E-7872-8526-873B-9E76A6A8B8A0}"/>
              </a:ext>
            </a:extLst>
          </xdr:cNvPr>
          <xdr:cNvSpPr txBox="1"/>
        </xdr:nvSpPr>
        <xdr:spPr>
          <a:xfrm>
            <a:off x="1682975" y="272391"/>
            <a:ext cx="1123995" cy="3256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Sheet No 22</a:t>
            </a:r>
          </a:p>
        </xdr:txBody>
      </xdr:sp>
      <xdr:sp macro="" textlink="">
        <xdr:nvSpPr>
          <xdr:cNvPr id="141" name="TextBox 10">
            <a:extLst>
              <a:ext uri="{FF2B5EF4-FFF2-40B4-BE49-F238E27FC236}">
                <a16:creationId xmlns:a16="http://schemas.microsoft.com/office/drawing/2014/main" id="{344FEA58-BBE9-3AAA-B5EF-F0D4A597AE43}"/>
              </a:ext>
            </a:extLst>
          </xdr:cNvPr>
          <xdr:cNvSpPr txBox="1"/>
        </xdr:nvSpPr>
        <xdr:spPr>
          <a:xfrm>
            <a:off x="1682975" y="3894800"/>
            <a:ext cx="1154170" cy="32564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>
                <a:solidFill>
                  <a:srgbClr val="FF0000"/>
                </a:solidFill>
              </a:rPr>
              <a:t>Sheet No 21</a:t>
            </a:r>
          </a:p>
        </xdr:txBody>
      </xdr:sp>
      <xdr:sp macro="" textlink="">
        <xdr:nvSpPr>
          <xdr:cNvPr id="142" name="TextBox 11">
            <a:extLst>
              <a:ext uri="{FF2B5EF4-FFF2-40B4-BE49-F238E27FC236}">
                <a16:creationId xmlns:a16="http://schemas.microsoft.com/office/drawing/2014/main" id="{67CD6F24-F940-E1F6-8ADA-E0F066CDB7BE}"/>
              </a:ext>
            </a:extLst>
          </xdr:cNvPr>
          <xdr:cNvSpPr txBox="1"/>
        </xdr:nvSpPr>
        <xdr:spPr>
          <a:xfrm>
            <a:off x="4849168" y="7188107"/>
            <a:ext cx="79380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>
                <a:solidFill>
                  <a:srgbClr val="FF0000"/>
                </a:solidFill>
              </a:rPr>
              <a:t>8</a:t>
            </a:r>
            <a:r>
              <a:rPr lang="en-IN" sz="1400" baseline="30000">
                <a:solidFill>
                  <a:srgbClr val="FF0000"/>
                </a:solidFill>
              </a:rPr>
              <a:t>th</a:t>
            </a:r>
            <a:r>
              <a:rPr lang="en-IN" sz="1400">
                <a:solidFill>
                  <a:srgbClr val="FF0000"/>
                </a:solidFill>
              </a:rPr>
              <a:t> Floor</a:t>
            </a:r>
          </a:p>
        </xdr:txBody>
      </xdr:sp>
      <xdr:sp macro="" textlink="">
        <xdr:nvSpPr>
          <xdr:cNvPr id="143" name="TextBox 14">
            <a:extLst>
              <a:ext uri="{FF2B5EF4-FFF2-40B4-BE49-F238E27FC236}">
                <a16:creationId xmlns:a16="http://schemas.microsoft.com/office/drawing/2014/main" id="{38F08DF3-0D78-8F9E-77B5-13B340755D22}"/>
              </a:ext>
            </a:extLst>
          </xdr:cNvPr>
          <xdr:cNvSpPr txBox="1"/>
        </xdr:nvSpPr>
        <xdr:spPr>
          <a:xfrm>
            <a:off x="4795017" y="3166724"/>
            <a:ext cx="793807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>
                <a:solidFill>
                  <a:srgbClr val="FF0000"/>
                </a:solidFill>
              </a:rPr>
              <a:t>8</a:t>
            </a:r>
            <a:r>
              <a:rPr lang="en-IN" sz="1400" baseline="30000">
                <a:solidFill>
                  <a:srgbClr val="FF0000"/>
                </a:solidFill>
              </a:rPr>
              <a:t>th</a:t>
            </a:r>
            <a:r>
              <a:rPr lang="en-IN" sz="1400">
                <a:solidFill>
                  <a:srgbClr val="FF0000"/>
                </a:solidFill>
              </a:rPr>
              <a:t> Floor</a:t>
            </a:r>
          </a:p>
        </xdr:txBody>
      </xdr:sp>
    </xdr:grpSp>
    <xdr:clientData/>
  </xdr:twoCellAnchor>
  <xdr:twoCellAnchor>
    <xdr:from>
      <xdr:col>8</xdr:col>
      <xdr:colOff>57150</xdr:colOff>
      <xdr:row>396</xdr:row>
      <xdr:rowOff>40005</xdr:rowOff>
    </xdr:from>
    <xdr:to>
      <xdr:col>15</xdr:col>
      <xdr:colOff>224214</xdr:colOff>
      <xdr:row>434</xdr:row>
      <xdr:rowOff>162800</xdr:rowOff>
    </xdr:to>
    <xdr:grpSp>
      <xdr:nvGrpSpPr>
        <xdr:cNvPr id="144" name="Group 143">
          <a:extLst>
            <a:ext uri="{FF2B5EF4-FFF2-40B4-BE49-F238E27FC236}">
              <a16:creationId xmlns:a16="http://schemas.microsoft.com/office/drawing/2014/main" id="{0DD85546-A128-B532-E436-23F6EDF47C78}"/>
            </a:ext>
          </a:extLst>
        </xdr:cNvPr>
        <xdr:cNvGrpSpPr/>
      </xdr:nvGrpSpPr>
      <xdr:grpSpPr>
        <a:xfrm>
          <a:off x="6886575" y="92946855"/>
          <a:ext cx="5834439" cy="7714220"/>
          <a:chOff x="254928" y="108712"/>
          <a:chExt cx="5983029" cy="7641830"/>
        </a:xfrm>
      </xdr:grpSpPr>
      <xdr:pic>
        <xdr:nvPicPr>
          <xdr:cNvPr id="145" name="Picture 144">
            <a:extLst>
              <a:ext uri="{FF2B5EF4-FFF2-40B4-BE49-F238E27FC236}">
                <a16:creationId xmlns:a16="http://schemas.microsoft.com/office/drawing/2014/main" id="{7FC4C164-FA2C-531C-6A06-12B01D169C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9926" y="188324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6" name="Picture 145">
            <a:extLst>
              <a:ext uri="{FF2B5EF4-FFF2-40B4-BE49-F238E27FC236}">
                <a16:creationId xmlns:a16="http://schemas.microsoft.com/office/drawing/2014/main" id="{F07C6D89-E5FA-A211-B8EB-6363B237CC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4928" y="174193"/>
            <a:ext cx="3910921" cy="52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47" name="Picture 146">
            <a:extLst>
              <a:ext uri="{FF2B5EF4-FFF2-40B4-BE49-F238E27FC236}">
                <a16:creationId xmlns:a16="http://schemas.microsoft.com/office/drawing/2014/main" id="{224D1D59-E7A0-B18B-FB48-282058788A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49925" y="2889433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48" name="Group 147">
            <a:extLst>
              <a:ext uri="{FF2B5EF4-FFF2-40B4-BE49-F238E27FC236}">
                <a16:creationId xmlns:a16="http://schemas.microsoft.com/office/drawing/2014/main" id="{D301E54C-A76F-C76B-A864-99FDD20D3443}"/>
              </a:ext>
            </a:extLst>
          </xdr:cNvPr>
          <xdr:cNvGrpSpPr/>
        </xdr:nvGrpSpPr>
        <xdr:grpSpPr>
          <a:xfrm>
            <a:off x="745148" y="5590542"/>
            <a:ext cx="5223090" cy="2160000"/>
            <a:chOff x="745148" y="5590542"/>
            <a:chExt cx="5223090" cy="2160000"/>
          </a:xfrm>
        </xdr:grpSpPr>
        <xdr:pic>
          <xdr:nvPicPr>
            <xdr:cNvPr id="156" name="Picture 155">
              <a:extLst>
                <a:ext uri="{FF2B5EF4-FFF2-40B4-BE49-F238E27FC236}">
                  <a16:creationId xmlns:a16="http://schemas.microsoft.com/office/drawing/2014/main" id="{84431772-4DCD-0923-9657-3E801B2EEA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47536" y="5590542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7" name="Picture 156">
              <a:extLst>
                <a:ext uri="{FF2B5EF4-FFF2-40B4-BE49-F238E27FC236}">
                  <a16:creationId xmlns:a16="http://schemas.microsoft.com/office/drawing/2014/main" id="{B5EBE390-423F-A174-739E-B6B17734FC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49925" y="5590542"/>
              <a:ext cx="161831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8" name="Picture 157">
              <a:extLst>
                <a:ext uri="{FF2B5EF4-FFF2-40B4-BE49-F238E27FC236}">
                  <a16:creationId xmlns:a16="http://schemas.microsoft.com/office/drawing/2014/main" id="{75A4A77C-FFEA-081C-6897-F53E9D94DF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5148" y="5590542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49" name="TextBox 21">
            <a:extLst>
              <a:ext uri="{FF2B5EF4-FFF2-40B4-BE49-F238E27FC236}">
                <a16:creationId xmlns:a16="http://schemas.microsoft.com/office/drawing/2014/main" id="{7DB3F477-0DE8-9818-1384-72D3F253BCF7}"/>
              </a:ext>
            </a:extLst>
          </xdr:cNvPr>
          <xdr:cNvSpPr txBox="1"/>
        </xdr:nvSpPr>
        <xdr:spPr>
          <a:xfrm>
            <a:off x="2627376" y="1063752"/>
            <a:ext cx="41389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T2</a:t>
            </a:r>
            <a:endParaRPr lang="en-IN" b="1"/>
          </a:p>
        </xdr:txBody>
      </xdr:sp>
      <xdr:sp macro="" textlink="">
        <xdr:nvSpPr>
          <xdr:cNvPr id="150" name="TextBox 22">
            <a:extLst>
              <a:ext uri="{FF2B5EF4-FFF2-40B4-BE49-F238E27FC236}">
                <a16:creationId xmlns:a16="http://schemas.microsoft.com/office/drawing/2014/main" id="{D6832302-2C4B-4B32-A37D-FB21300F870B}"/>
              </a:ext>
            </a:extLst>
          </xdr:cNvPr>
          <xdr:cNvSpPr txBox="1"/>
        </xdr:nvSpPr>
        <xdr:spPr>
          <a:xfrm>
            <a:off x="3352035" y="1339527"/>
            <a:ext cx="41389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T1</a:t>
            </a:r>
            <a:endParaRPr lang="en-IN" b="1"/>
          </a:p>
        </xdr:txBody>
      </xdr:sp>
      <xdr:sp macro="" textlink="">
        <xdr:nvSpPr>
          <xdr:cNvPr id="151" name="TextBox 23">
            <a:extLst>
              <a:ext uri="{FF2B5EF4-FFF2-40B4-BE49-F238E27FC236}">
                <a16:creationId xmlns:a16="http://schemas.microsoft.com/office/drawing/2014/main" id="{D89A30DC-2211-628F-4140-1E741A27C63C}"/>
              </a:ext>
            </a:extLst>
          </xdr:cNvPr>
          <xdr:cNvSpPr txBox="1"/>
        </xdr:nvSpPr>
        <xdr:spPr>
          <a:xfrm>
            <a:off x="1737360" y="970195"/>
            <a:ext cx="41389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T3</a:t>
            </a:r>
            <a:endParaRPr lang="en-IN" b="1"/>
          </a:p>
        </xdr:txBody>
      </xdr:sp>
      <xdr:sp macro="" textlink="">
        <xdr:nvSpPr>
          <xdr:cNvPr id="152" name="TextBox 25">
            <a:extLst>
              <a:ext uri="{FF2B5EF4-FFF2-40B4-BE49-F238E27FC236}">
                <a16:creationId xmlns:a16="http://schemas.microsoft.com/office/drawing/2014/main" id="{33B64995-F1CE-5774-F0C3-AC33FA7D3944}"/>
              </a:ext>
            </a:extLst>
          </xdr:cNvPr>
          <xdr:cNvSpPr txBox="1"/>
        </xdr:nvSpPr>
        <xdr:spPr>
          <a:xfrm>
            <a:off x="4349925" y="188324"/>
            <a:ext cx="41389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T1</a:t>
            </a:r>
            <a:endParaRPr lang="en-IN" b="1"/>
          </a:p>
        </xdr:txBody>
      </xdr:sp>
      <xdr:sp macro="" textlink="">
        <xdr:nvSpPr>
          <xdr:cNvPr id="153" name="TextBox 27">
            <a:extLst>
              <a:ext uri="{FF2B5EF4-FFF2-40B4-BE49-F238E27FC236}">
                <a16:creationId xmlns:a16="http://schemas.microsoft.com/office/drawing/2014/main" id="{A3FE196F-4972-FA6B-D7BA-2EB8A3FF7194}"/>
              </a:ext>
            </a:extLst>
          </xdr:cNvPr>
          <xdr:cNvSpPr txBox="1"/>
        </xdr:nvSpPr>
        <xdr:spPr>
          <a:xfrm>
            <a:off x="5228336" y="108712"/>
            <a:ext cx="41389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T2</a:t>
            </a:r>
            <a:endParaRPr lang="en-IN" b="1"/>
          </a:p>
        </xdr:txBody>
      </xdr:sp>
      <xdr:sp macro="" textlink="">
        <xdr:nvSpPr>
          <xdr:cNvPr id="154" name="TextBox 28">
            <a:extLst>
              <a:ext uri="{FF2B5EF4-FFF2-40B4-BE49-F238E27FC236}">
                <a16:creationId xmlns:a16="http://schemas.microsoft.com/office/drawing/2014/main" id="{EEA29871-7449-7CF0-986F-6B461C857555}"/>
              </a:ext>
            </a:extLst>
          </xdr:cNvPr>
          <xdr:cNvSpPr txBox="1"/>
        </xdr:nvSpPr>
        <xdr:spPr>
          <a:xfrm>
            <a:off x="4591200" y="3281595"/>
            <a:ext cx="41389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T3</a:t>
            </a:r>
            <a:endParaRPr lang="en-IN" b="1"/>
          </a:p>
        </xdr:txBody>
      </xdr:sp>
      <xdr:sp macro="" textlink="">
        <xdr:nvSpPr>
          <xdr:cNvPr id="155" name="TextBox 29">
            <a:extLst>
              <a:ext uri="{FF2B5EF4-FFF2-40B4-BE49-F238E27FC236}">
                <a16:creationId xmlns:a16="http://schemas.microsoft.com/office/drawing/2014/main" id="{B0AE6D6B-8B56-13A5-36A1-07292B8EFD97}"/>
              </a:ext>
            </a:extLst>
          </xdr:cNvPr>
          <xdr:cNvSpPr txBox="1"/>
        </xdr:nvSpPr>
        <xdr:spPr>
          <a:xfrm>
            <a:off x="5039423" y="3545755"/>
            <a:ext cx="413896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/>
              <a:t>T2</a:t>
            </a:r>
            <a:endParaRPr lang="en-IN" b="1"/>
          </a:p>
        </xdr:txBody>
      </xdr:sp>
    </xdr:grpSp>
    <xdr:clientData/>
  </xdr:twoCellAnchor>
  <xdr:twoCellAnchor editAs="oneCell">
    <xdr:from>
      <xdr:col>1</xdr:col>
      <xdr:colOff>167640</xdr:colOff>
      <xdr:row>487</xdr:row>
      <xdr:rowOff>38100</xdr:rowOff>
    </xdr:from>
    <xdr:to>
      <xdr:col>6</xdr:col>
      <xdr:colOff>693420</xdr:colOff>
      <xdr:row>503</xdr:row>
      <xdr:rowOff>107052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895C408-5559-4193-AD7C-B441BA559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52500" y="109392720"/>
          <a:ext cx="4785360" cy="32388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129541</xdr:colOff>
      <xdr:row>508</xdr:row>
      <xdr:rowOff>163065</xdr:rowOff>
    </xdr:from>
    <xdr:to>
      <xdr:col>7</xdr:col>
      <xdr:colOff>807721</xdr:colOff>
      <xdr:row>511</xdr:row>
      <xdr:rowOff>53417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4C69A5F-E23B-A620-EC48-BF6CA5F55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1" y="112878105"/>
          <a:ext cx="6522720" cy="48471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180976</xdr:colOff>
      <xdr:row>398</xdr:row>
      <xdr:rowOff>38100</xdr:rowOff>
    </xdr:from>
    <xdr:to>
      <xdr:col>7</xdr:col>
      <xdr:colOff>1000125</xdr:colOff>
      <xdr:row>436</xdr:row>
      <xdr:rowOff>135902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F8071FB9-5E7C-4FDE-8049-9909347C433E}"/>
            </a:ext>
          </a:extLst>
        </xdr:cNvPr>
        <xdr:cNvGrpSpPr/>
      </xdr:nvGrpSpPr>
      <xdr:grpSpPr>
        <a:xfrm>
          <a:off x="180976" y="93345000"/>
          <a:ext cx="6515099" cy="7689227"/>
          <a:chOff x="1" y="253353"/>
          <a:chExt cx="6854702" cy="7860677"/>
        </a:xfrm>
      </xdr:grpSpPr>
      <xdr:grpSp>
        <xdr:nvGrpSpPr>
          <xdr:cNvPr id="107" name="Group 106">
            <a:extLst>
              <a:ext uri="{FF2B5EF4-FFF2-40B4-BE49-F238E27FC236}">
                <a16:creationId xmlns:a16="http://schemas.microsoft.com/office/drawing/2014/main" id="{5B3202E7-4CA1-4819-BEA6-EEB2AF13B101}"/>
              </a:ext>
            </a:extLst>
          </xdr:cNvPr>
          <xdr:cNvGrpSpPr/>
        </xdr:nvGrpSpPr>
        <xdr:grpSpPr>
          <a:xfrm>
            <a:off x="1" y="326696"/>
            <a:ext cx="6854702" cy="7787334"/>
            <a:chOff x="-197644" y="268941"/>
            <a:chExt cx="7046703" cy="7787334"/>
          </a:xfrm>
        </xdr:grpSpPr>
        <xdr:pic>
          <xdr:nvPicPr>
            <xdr:cNvPr id="125" name="Picture 124">
              <a:extLst>
                <a:ext uri="{FF2B5EF4-FFF2-40B4-BE49-F238E27FC236}">
                  <a16:creationId xmlns:a16="http://schemas.microsoft.com/office/drawing/2014/main" id="{7F209D30-AD4D-4617-951E-81094F2076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8999" y="268941"/>
              <a:ext cx="2824422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6" name="Picture 125">
              <a:extLst>
                <a:ext uri="{FF2B5EF4-FFF2-40B4-BE49-F238E27FC236}">
                  <a16:creationId xmlns:a16="http://schemas.microsoft.com/office/drawing/2014/main" id="{B9F547DA-DF91-442D-A1A1-DB14EC4C6B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1238" y="268941"/>
              <a:ext cx="2824422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7" name="Picture 126">
              <a:extLst>
                <a:ext uri="{FF2B5EF4-FFF2-40B4-BE49-F238E27FC236}">
                  <a16:creationId xmlns:a16="http://schemas.microsoft.com/office/drawing/2014/main" id="{D41894B2-E68A-41F1-A2AE-EB81BD0CF1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97644" y="3731333"/>
              <a:ext cx="1755000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8" name="Picture 127">
              <a:extLst>
                <a:ext uri="{FF2B5EF4-FFF2-40B4-BE49-F238E27FC236}">
                  <a16:creationId xmlns:a16="http://schemas.microsoft.com/office/drawing/2014/main" id="{BE6803BD-28A5-465B-9DFD-473D8186E22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25707" y="3712608"/>
              <a:ext cx="1755000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9" name="Picture 128">
              <a:extLst>
                <a:ext uri="{FF2B5EF4-FFF2-40B4-BE49-F238E27FC236}">
                  <a16:creationId xmlns:a16="http://schemas.microsoft.com/office/drawing/2014/main" id="{C602266C-11A9-484C-A472-39DC60FF18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49059" y="3712608"/>
              <a:ext cx="3200000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0" name="Picture 129">
              <a:extLst>
                <a:ext uri="{FF2B5EF4-FFF2-40B4-BE49-F238E27FC236}">
                  <a16:creationId xmlns:a16="http://schemas.microsoft.com/office/drawing/2014/main" id="{19046BF1-EA1F-44D1-A866-760735907DE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86287" y="6256275"/>
              <a:ext cx="133432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1" name="Picture 130">
              <a:extLst>
                <a:ext uri="{FF2B5EF4-FFF2-40B4-BE49-F238E27FC236}">
                  <a16:creationId xmlns:a16="http://schemas.microsoft.com/office/drawing/2014/main" id="{17F666A5-B216-4E51-849B-077A3420E4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59000" y="6256275"/>
              <a:ext cx="320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08" name="TextBox 53">
            <a:extLst>
              <a:ext uri="{FF2B5EF4-FFF2-40B4-BE49-F238E27FC236}">
                <a16:creationId xmlns:a16="http://schemas.microsoft.com/office/drawing/2014/main" id="{873FBA82-8026-4156-B8D6-C0B14C086E94}"/>
              </a:ext>
            </a:extLst>
          </xdr:cNvPr>
          <xdr:cNvSpPr txBox="1"/>
        </xdr:nvSpPr>
        <xdr:spPr>
          <a:xfrm>
            <a:off x="931999" y="453408"/>
            <a:ext cx="487458" cy="4144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T1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109" name="TextBox 54">
            <a:extLst>
              <a:ext uri="{FF2B5EF4-FFF2-40B4-BE49-F238E27FC236}">
                <a16:creationId xmlns:a16="http://schemas.microsoft.com/office/drawing/2014/main" id="{0A3056C5-D503-4489-AA32-459138DA3B0D}"/>
              </a:ext>
            </a:extLst>
          </xdr:cNvPr>
          <xdr:cNvSpPr txBox="1"/>
        </xdr:nvSpPr>
        <xdr:spPr>
          <a:xfrm>
            <a:off x="1944170" y="253353"/>
            <a:ext cx="492181" cy="4144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T2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122" name="TextBox 55">
            <a:extLst>
              <a:ext uri="{FF2B5EF4-FFF2-40B4-BE49-F238E27FC236}">
                <a16:creationId xmlns:a16="http://schemas.microsoft.com/office/drawing/2014/main" id="{43D0B5FD-9DE8-47BA-AA4E-9F478DD5DF3E}"/>
              </a:ext>
            </a:extLst>
          </xdr:cNvPr>
          <xdr:cNvSpPr txBox="1"/>
        </xdr:nvSpPr>
        <xdr:spPr>
          <a:xfrm>
            <a:off x="4559780" y="253353"/>
            <a:ext cx="562353" cy="4144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T2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123" name="TextBox 56">
            <a:extLst>
              <a:ext uri="{FF2B5EF4-FFF2-40B4-BE49-F238E27FC236}">
                <a16:creationId xmlns:a16="http://schemas.microsoft.com/office/drawing/2014/main" id="{6572AECD-F67E-4F55-8440-D3C29BC45A29}"/>
              </a:ext>
            </a:extLst>
          </xdr:cNvPr>
          <xdr:cNvSpPr txBox="1"/>
        </xdr:nvSpPr>
        <xdr:spPr>
          <a:xfrm>
            <a:off x="204701" y="5402735"/>
            <a:ext cx="1098093" cy="4144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T2 &amp; T3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124" name="TextBox 57">
            <a:extLst>
              <a:ext uri="{FF2B5EF4-FFF2-40B4-BE49-F238E27FC236}">
                <a16:creationId xmlns:a16="http://schemas.microsoft.com/office/drawing/2014/main" id="{9C98E6EC-1A0E-44AA-9FB7-6AB6E67EA760}"/>
              </a:ext>
            </a:extLst>
          </xdr:cNvPr>
          <xdr:cNvSpPr txBox="1"/>
        </xdr:nvSpPr>
        <xdr:spPr>
          <a:xfrm>
            <a:off x="2283388" y="3736093"/>
            <a:ext cx="462501" cy="4144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T3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VT2Kd75r3Kd1JfH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676"/>
  <sheetViews>
    <sheetView tabSelected="1" view="pageBreakPreview" topLeftCell="A96" zoomScaleNormal="100" zoomScaleSheetLayoutView="100" workbookViewId="0">
      <selection activeCell="M100" sqref="M100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7" style="39" customWidth="1"/>
    <col min="9" max="9" width="17.42578125" style="20" customWidth="1"/>
    <col min="10" max="10" width="11.42578125" style="20" customWidth="1"/>
    <col min="11" max="11" width="10.5703125" style="20" bestFit="1" customWidth="1"/>
    <col min="12" max="12" width="11.28515625" style="20" bestFit="1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16" ht="46.5" customHeight="1" x14ac:dyDescent="0.25">
      <c r="A1" s="183" t="s">
        <v>309</v>
      </c>
      <c r="B1" s="183"/>
      <c r="C1" s="183"/>
      <c r="D1" s="183"/>
      <c r="E1" s="183"/>
      <c r="F1" s="183"/>
      <c r="G1" s="183"/>
      <c r="H1" s="183"/>
    </row>
    <row r="2" spans="1:16" ht="16.5" customHeight="1" x14ac:dyDescent="0.25">
      <c r="A2" s="109" t="s">
        <v>0</v>
      </c>
      <c r="B2" s="109"/>
      <c r="C2" s="109"/>
      <c r="D2" s="109"/>
      <c r="E2" s="109"/>
      <c r="F2" s="109"/>
      <c r="G2" s="109"/>
      <c r="H2" s="109"/>
      <c r="I2" s="36" t="s">
        <v>197</v>
      </c>
      <c r="J2" s="20" t="s">
        <v>194</v>
      </c>
    </row>
    <row r="3" spans="1:16" x14ac:dyDescent="0.25">
      <c r="A3" s="164" t="s">
        <v>1</v>
      </c>
      <c r="B3" s="164"/>
      <c r="C3" s="164"/>
      <c r="D3" s="164"/>
      <c r="E3" s="164" t="str">
        <f ca="1">TEXT(TODAY(),"DD/MM/YYYY")</f>
        <v>14/07/2025</v>
      </c>
      <c r="F3" s="164"/>
      <c r="G3" s="164"/>
      <c r="H3" s="164"/>
      <c r="I3" s="36" t="s">
        <v>198</v>
      </c>
      <c r="J3" s="20" t="s">
        <v>195</v>
      </c>
      <c r="P3" s="20" t="s">
        <v>210</v>
      </c>
    </row>
    <row r="4" spans="1:16" x14ac:dyDescent="0.25">
      <c r="A4" s="164" t="s">
        <v>2</v>
      </c>
      <c r="B4" s="164"/>
      <c r="C4" s="164"/>
      <c r="D4" s="164"/>
      <c r="E4" s="164" t="s">
        <v>303</v>
      </c>
      <c r="F4" s="164"/>
      <c r="G4" s="164"/>
      <c r="H4" s="164"/>
      <c r="I4" s="36" t="s">
        <v>199</v>
      </c>
      <c r="J4" s="20" t="s">
        <v>196</v>
      </c>
    </row>
    <row r="5" spans="1:16" x14ac:dyDescent="0.25">
      <c r="A5" s="164" t="s">
        <v>3</v>
      </c>
      <c r="B5" s="164"/>
      <c r="C5" s="164"/>
      <c r="D5" s="164"/>
      <c r="E5" s="181">
        <v>45849</v>
      </c>
      <c r="F5" s="164"/>
      <c r="G5" s="164"/>
      <c r="H5" s="164"/>
    </row>
    <row r="6" spans="1:16" ht="16.5" customHeight="1" x14ac:dyDescent="0.25">
      <c r="A6" s="164" t="s">
        <v>4</v>
      </c>
      <c r="B6" s="164"/>
      <c r="C6" s="164"/>
      <c r="D6" s="164"/>
      <c r="E6" s="164" t="s">
        <v>165</v>
      </c>
      <c r="F6" s="164"/>
      <c r="G6" s="164"/>
      <c r="H6" s="164"/>
    </row>
    <row r="7" spans="1:16" x14ac:dyDescent="0.25">
      <c r="A7" s="164" t="s">
        <v>5</v>
      </c>
      <c r="B7" s="164"/>
      <c r="C7" s="164"/>
      <c r="D7" s="164"/>
      <c r="E7" s="164" t="str">
        <f>E6</f>
        <v>Macrotech Developers Limited</v>
      </c>
      <c r="F7" s="164"/>
      <c r="G7" s="164"/>
      <c r="H7" s="164"/>
    </row>
    <row r="8" spans="1:16" x14ac:dyDescent="0.25">
      <c r="A8" s="164" t="s">
        <v>6</v>
      </c>
      <c r="B8" s="164"/>
      <c r="C8" s="164"/>
      <c r="D8" s="164"/>
      <c r="E8" s="184" t="s">
        <v>193</v>
      </c>
      <c r="F8" s="185"/>
      <c r="G8" s="185"/>
      <c r="H8" s="186"/>
    </row>
    <row r="9" spans="1:16" x14ac:dyDescent="0.25">
      <c r="A9" s="164" t="s">
        <v>207</v>
      </c>
      <c r="B9" s="164"/>
      <c r="C9" s="164"/>
      <c r="D9" s="164"/>
      <c r="E9" s="184" t="s">
        <v>208</v>
      </c>
      <c r="F9" s="185"/>
      <c r="G9" s="185"/>
      <c r="H9" s="186"/>
    </row>
    <row r="10" spans="1:16" x14ac:dyDescent="0.25">
      <c r="A10" s="164" t="s">
        <v>163</v>
      </c>
      <c r="B10" s="164"/>
      <c r="C10" s="164"/>
      <c r="D10" s="164"/>
      <c r="E10" s="164" t="s">
        <v>166</v>
      </c>
      <c r="F10" s="164"/>
      <c r="G10" s="164"/>
      <c r="H10" s="164"/>
    </row>
    <row r="11" spans="1:16" x14ac:dyDescent="0.25">
      <c r="A11" s="164" t="s">
        <v>164</v>
      </c>
      <c r="B11" s="164"/>
      <c r="C11" s="164"/>
      <c r="D11" s="164"/>
      <c r="E11" s="181" t="s">
        <v>166</v>
      </c>
      <c r="F11" s="164"/>
      <c r="G11" s="164"/>
      <c r="H11" s="164"/>
    </row>
    <row r="12" spans="1:16" x14ac:dyDescent="0.25">
      <c r="A12" s="164" t="s">
        <v>7</v>
      </c>
      <c r="B12" s="164"/>
      <c r="C12" s="164"/>
      <c r="D12" s="164"/>
      <c r="E12" s="165" t="s">
        <v>216</v>
      </c>
      <c r="F12" s="164"/>
      <c r="G12" s="164"/>
      <c r="H12" s="164"/>
    </row>
    <row r="13" spans="1:16" ht="63.75" customHeight="1" x14ac:dyDescent="0.25">
      <c r="A13" s="164" t="s">
        <v>170</v>
      </c>
      <c r="B13" s="164"/>
      <c r="C13" s="164"/>
      <c r="D13" s="164"/>
      <c r="E13" s="165" t="s">
        <v>228</v>
      </c>
      <c r="F13" s="165"/>
      <c r="G13" s="165"/>
      <c r="H13" s="165"/>
    </row>
    <row r="14" spans="1:16" x14ac:dyDescent="0.25">
      <c r="A14" s="117" t="s">
        <v>8</v>
      </c>
      <c r="B14" s="117"/>
      <c r="C14" s="117"/>
      <c r="D14" s="117"/>
      <c r="E14" s="165" t="s">
        <v>188</v>
      </c>
      <c r="F14" s="165"/>
      <c r="G14" s="165"/>
      <c r="H14" s="165"/>
    </row>
    <row r="15" spans="1:16" ht="66" customHeight="1" x14ac:dyDescent="0.25">
      <c r="A15" s="117" t="s">
        <v>9</v>
      </c>
      <c r="B15" s="117"/>
      <c r="C15" s="117"/>
      <c r="D15" s="117"/>
      <c r="E15" s="165" t="s">
        <v>209</v>
      </c>
      <c r="F15" s="164"/>
      <c r="G15" s="164"/>
      <c r="H15" s="164"/>
    </row>
    <row r="16" spans="1:16" ht="64.5" customHeight="1" x14ac:dyDescent="0.25">
      <c r="A16" s="158" t="s">
        <v>10</v>
      </c>
      <c r="B16" s="158"/>
      <c r="C16" s="158" t="str">
        <f>CONCATENATE((IF(OR(E8="",E8="NA"),"",E8)),",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Bellissimo Matunga, CTS No.6 (pt), 7 &amp; 41 Redevlopement of "Barracks No. T/57, T/58, T/59" Known As Rahat Plaza CHS, "Barracks No.T/70, T/71, T/72 &amp; T/6" Known As Matunga Sindhi Colony Panchayat CHS, near Midas CHS, Dr Baba Saheb Ambedkar Road, Nehru Nagar, Sion, Kings Circle, Ward Fnorth, Mumbai - 400022.</v>
      </c>
      <c r="D16" s="158"/>
      <c r="E16" s="158"/>
      <c r="F16" s="158"/>
      <c r="G16" s="158"/>
      <c r="H16" s="158"/>
    </row>
    <row r="17" spans="1:8" ht="48" customHeight="1" x14ac:dyDescent="0.25">
      <c r="A17" s="165" t="s">
        <v>191</v>
      </c>
      <c r="B17" s="165"/>
      <c r="C17" s="165" t="s">
        <v>227</v>
      </c>
      <c r="D17" s="165"/>
      <c r="E17" s="165"/>
      <c r="F17" s="165"/>
      <c r="G17" s="165"/>
      <c r="H17" s="165"/>
    </row>
    <row r="18" spans="1:8" ht="15.75" customHeight="1" x14ac:dyDescent="0.25">
      <c r="A18" s="165" t="s">
        <v>160</v>
      </c>
      <c r="B18" s="165"/>
      <c r="C18" s="165" t="s">
        <v>187</v>
      </c>
      <c r="D18" s="165"/>
      <c r="E18" s="165"/>
      <c r="F18" s="165"/>
      <c r="G18" s="165"/>
      <c r="H18" s="165"/>
    </row>
    <row r="19" spans="1:8" ht="15.75" customHeight="1" x14ac:dyDescent="0.25">
      <c r="A19" s="158" t="s">
        <v>11</v>
      </c>
      <c r="B19" s="158"/>
      <c r="C19" s="164" t="s">
        <v>184</v>
      </c>
      <c r="D19" s="164"/>
      <c r="E19" s="158" t="s">
        <v>73</v>
      </c>
      <c r="F19" s="158"/>
      <c r="G19" s="165" t="s">
        <v>171</v>
      </c>
      <c r="H19" s="165"/>
    </row>
    <row r="20" spans="1:8" x14ac:dyDescent="0.25">
      <c r="A20" s="117" t="s">
        <v>13</v>
      </c>
      <c r="B20" s="117"/>
      <c r="C20" s="165" t="s">
        <v>190</v>
      </c>
      <c r="D20" s="165"/>
      <c r="E20" s="158" t="s">
        <v>12</v>
      </c>
      <c r="F20" s="158"/>
      <c r="G20" s="182" t="s">
        <v>167</v>
      </c>
      <c r="H20" s="182"/>
    </row>
    <row r="21" spans="1:8" x14ac:dyDescent="0.25">
      <c r="A21" s="117" t="s">
        <v>74</v>
      </c>
      <c r="B21" s="117"/>
      <c r="C21" s="165" t="s">
        <v>168</v>
      </c>
      <c r="D21" s="165"/>
      <c r="E21" s="158" t="s">
        <v>14</v>
      </c>
      <c r="F21" s="158"/>
      <c r="G21" s="165">
        <v>400022</v>
      </c>
      <c r="H21" s="165"/>
    </row>
    <row r="22" spans="1:8" ht="32.25" customHeight="1" x14ac:dyDescent="0.25">
      <c r="A22" s="117" t="s">
        <v>121</v>
      </c>
      <c r="B22" s="117"/>
      <c r="C22" s="165" t="s">
        <v>186</v>
      </c>
      <c r="D22" s="165"/>
      <c r="E22" s="158" t="s">
        <v>15</v>
      </c>
      <c r="F22" s="158"/>
      <c r="G22" s="165" t="s">
        <v>189</v>
      </c>
      <c r="H22" s="165"/>
    </row>
    <row r="23" spans="1:8" ht="15" customHeight="1" x14ac:dyDescent="0.25">
      <c r="A23" s="158" t="s">
        <v>75</v>
      </c>
      <c r="B23" s="158"/>
      <c r="C23" s="158"/>
      <c r="D23" s="158"/>
      <c r="E23" s="164" t="s">
        <v>16</v>
      </c>
      <c r="F23" s="164"/>
      <c r="G23" s="164"/>
      <c r="H23" s="164"/>
    </row>
    <row r="24" spans="1:8" ht="18.75" customHeight="1" x14ac:dyDescent="0.25">
      <c r="A24" s="158"/>
      <c r="B24" s="158"/>
      <c r="C24" s="158"/>
      <c r="D24" s="158"/>
      <c r="E24" s="164"/>
      <c r="F24" s="164"/>
      <c r="G24" s="164"/>
      <c r="H24" s="164"/>
    </row>
    <row r="25" spans="1:8" ht="15" customHeight="1" x14ac:dyDescent="0.25">
      <c r="A25" s="158" t="s">
        <v>17</v>
      </c>
      <c r="B25" s="158"/>
      <c r="C25" s="158"/>
      <c r="D25" s="158"/>
      <c r="E25" s="165" t="s">
        <v>18</v>
      </c>
      <c r="F25" s="165"/>
      <c r="G25" s="165"/>
      <c r="H25" s="165"/>
    </row>
    <row r="26" spans="1:8" ht="15" customHeight="1" x14ac:dyDescent="0.25">
      <c r="A26" s="117" t="s">
        <v>19</v>
      </c>
      <c r="B26" s="117"/>
      <c r="C26" s="117"/>
      <c r="D26" s="117"/>
      <c r="E26" s="165" t="str">
        <f>IF(AND(G20="Mumbai"),"Upper Class","Middle Class")</f>
        <v>Upper Class</v>
      </c>
      <c r="F26" s="165"/>
      <c r="G26" s="165"/>
      <c r="H26" s="165"/>
    </row>
    <row r="27" spans="1:8" x14ac:dyDescent="0.25">
      <c r="A27" s="117" t="s">
        <v>20</v>
      </c>
      <c r="B27" s="117"/>
      <c r="C27" s="117"/>
      <c r="D27" s="117"/>
      <c r="E27" s="165" t="s">
        <v>21</v>
      </c>
      <c r="F27" s="165"/>
      <c r="G27" s="165"/>
      <c r="H27" s="165"/>
    </row>
    <row r="28" spans="1:8" ht="15.75" customHeight="1" x14ac:dyDescent="0.25">
      <c r="A28" s="117" t="s">
        <v>22</v>
      </c>
      <c r="B28" s="117"/>
      <c r="C28" s="117"/>
      <c r="D28" s="117"/>
      <c r="E28" s="165" t="str">
        <f>IF(AND(G20="Mumbai"),"Developed","Developing")</f>
        <v>Developed</v>
      </c>
      <c r="F28" s="165"/>
      <c r="G28" s="165"/>
      <c r="H28" s="165"/>
    </row>
    <row r="29" spans="1:8" x14ac:dyDescent="0.25">
      <c r="A29" s="117" t="s">
        <v>23</v>
      </c>
      <c r="B29" s="117"/>
      <c r="C29" s="117"/>
      <c r="D29" s="117"/>
      <c r="E29" s="165" t="s">
        <v>24</v>
      </c>
      <c r="F29" s="165"/>
      <c r="G29" s="165"/>
      <c r="H29" s="165"/>
    </row>
    <row r="30" spans="1:8" ht="15.75" customHeight="1" x14ac:dyDescent="0.25">
      <c r="A30" s="117" t="s">
        <v>80</v>
      </c>
      <c r="B30" s="117"/>
      <c r="C30" s="117"/>
      <c r="D30" s="117"/>
      <c r="E30" s="165" t="s">
        <v>81</v>
      </c>
      <c r="F30" s="165"/>
      <c r="G30" s="165"/>
      <c r="H30" s="165"/>
    </row>
    <row r="31" spans="1:8" ht="15" customHeight="1" x14ac:dyDescent="0.25">
      <c r="A31" s="117" t="s">
        <v>33</v>
      </c>
      <c r="B31" s="117"/>
      <c r="C31" s="117"/>
      <c r="D31" s="117"/>
      <c r="E31" s="165" t="str">
        <f>IF(AND(ISNUMBER(SEARCH("Flat",D69)),ISNUMBER(SEARCH("Shop",D69)),ISNUMBER(SEARCH("Office",D69))),"Residential + Commercial",IF(AND(ISNUMBER(SEARCH("Flat",D69)),ISNUMBER(SEARCH("Shop",D69))),"Residential + Commercial",IF(AND(ISNUMBER(SEARCH("Flat",D69)),ISNUMBER(SEARCH("Office",D69))),"Residential + Commercial",IF(AND(ISNUMBER(SEARCH("Shop",D69)),ISNUMBER(SEARCH("Office",D69))),"Commercial",IF(ISNUMBER(SEARCH("Shop",D69)),"Commercial",IF(ISNUMBER(SEARCH("Office",D69)),"Commercial",IF(ISNUMBER(SEARCH("Flat",D69)),"Residential")))))))</f>
        <v>Residential</v>
      </c>
      <c r="F31" s="165"/>
      <c r="G31" s="165"/>
      <c r="H31" s="165"/>
    </row>
    <row r="32" spans="1:8" ht="15.75" customHeight="1" x14ac:dyDescent="0.25">
      <c r="A32" s="117" t="s">
        <v>91</v>
      </c>
      <c r="B32" s="117"/>
      <c r="C32" s="117"/>
      <c r="D32" s="117"/>
      <c r="E32" s="165" t="s">
        <v>34</v>
      </c>
      <c r="F32" s="165"/>
      <c r="G32" s="165"/>
      <c r="H32" s="165"/>
    </row>
    <row r="33" spans="1:9" s="21" customFormat="1" x14ac:dyDescent="0.25">
      <c r="A33" s="180" t="s">
        <v>92</v>
      </c>
      <c r="B33" s="180"/>
      <c r="C33" s="179" t="s">
        <v>29</v>
      </c>
      <c r="D33" s="179"/>
      <c r="E33" s="179"/>
      <c r="F33" s="179" t="s">
        <v>31</v>
      </c>
      <c r="G33" s="179"/>
      <c r="H33" s="179"/>
    </row>
    <row r="34" spans="1:9" s="21" customFormat="1" x14ac:dyDescent="0.25">
      <c r="A34" s="173" t="s">
        <v>25</v>
      </c>
      <c r="B34" s="173" t="s">
        <v>30</v>
      </c>
      <c r="C34" s="174" t="s">
        <v>217</v>
      </c>
      <c r="D34" s="174"/>
      <c r="E34" s="174"/>
      <c r="F34" s="174" t="s">
        <v>185</v>
      </c>
      <c r="G34" s="174"/>
      <c r="H34" s="174"/>
    </row>
    <row r="35" spans="1:9" x14ac:dyDescent="0.25">
      <c r="A35" s="173" t="s">
        <v>26</v>
      </c>
      <c r="B35" s="173" t="s">
        <v>30</v>
      </c>
      <c r="C35" s="174" t="s">
        <v>218</v>
      </c>
      <c r="D35" s="174"/>
      <c r="E35" s="174"/>
      <c r="F35" s="174" t="s">
        <v>220</v>
      </c>
      <c r="G35" s="174"/>
      <c r="H35" s="174"/>
    </row>
    <row r="36" spans="1:9" s="21" customFormat="1" x14ac:dyDescent="0.25">
      <c r="A36" s="173" t="s">
        <v>28</v>
      </c>
      <c r="B36" s="173" t="s">
        <v>30</v>
      </c>
      <c r="C36" s="174" t="s">
        <v>217</v>
      </c>
      <c r="D36" s="174"/>
      <c r="E36" s="174"/>
      <c r="F36" s="174" t="s">
        <v>185</v>
      </c>
      <c r="G36" s="174"/>
      <c r="H36" s="174"/>
    </row>
    <row r="37" spans="1:9" x14ac:dyDescent="0.25">
      <c r="A37" s="173" t="s">
        <v>27</v>
      </c>
      <c r="B37" s="173" t="s">
        <v>30</v>
      </c>
      <c r="C37" s="174" t="s">
        <v>218</v>
      </c>
      <c r="D37" s="174"/>
      <c r="E37" s="174"/>
      <c r="F37" s="174" t="s">
        <v>219</v>
      </c>
      <c r="G37" s="174"/>
      <c r="H37" s="174"/>
    </row>
    <row r="38" spans="1:9" x14ac:dyDescent="0.25">
      <c r="A38" s="117" t="s">
        <v>32</v>
      </c>
      <c r="B38" s="117"/>
      <c r="C38" s="117"/>
      <c r="D38" s="117"/>
      <c r="E38" s="117"/>
      <c r="F38" s="117"/>
      <c r="G38" s="117"/>
      <c r="H38" s="117"/>
    </row>
    <row r="39" spans="1:9" ht="15.75" customHeight="1" x14ac:dyDescent="0.25">
      <c r="A39" s="117" t="s">
        <v>162</v>
      </c>
      <c r="B39" s="117"/>
      <c r="C39" s="168" t="s">
        <v>203</v>
      </c>
      <c r="D39" s="168"/>
      <c r="E39" s="168"/>
      <c r="F39" s="168"/>
      <c r="G39" s="168"/>
      <c r="H39" s="168"/>
    </row>
    <row r="40" spans="1:9" x14ac:dyDescent="0.25">
      <c r="A40" s="117" t="s">
        <v>159</v>
      </c>
      <c r="B40" s="117"/>
      <c r="C40" s="175" t="s">
        <v>183</v>
      </c>
      <c r="D40" s="165"/>
      <c r="E40" s="165"/>
      <c r="F40" s="165"/>
      <c r="G40" s="165"/>
      <c r="H40" s="165"/>
    </row>
    <row r="41" spans="1:9" x14ac:dyDescent="0.25">
      <c r="A41" s="168" t="s">
        <v>35</v>
      </c>
      <c r="B41" s="168"/>
      <c r="C41" s="168"/>
      <c r="D41" s="168"/>
      <c r="E41" s="168"/>
      <c r="F41" s="168"/>
      <c r="G41" s="168"/>
      <c r="H41" s="168"/>
      <c r="I41" s="63">
        <f>E46/E42</f>
        <v>3.5716822481935115</v>
      </c>
    </row>
    <row r="42" spans="1:9" x14ac:dyDescent="0.25">
      <c r="A42" s="117" t="s">
        <v>36</v>
      </c>
      <c r="B42" s="117"/>
      <c r="C42" s="117"/>
      <c r="D42" s="117"/>
      <c r="E42" s="187">
        <v>45445.91</v>
      </c>
      <c r="F42" s="187"/>
      <c r="G42" s="187"/>
      <c r="H42" s="187"/>
    </row>
    <row r="43" spans="1:9" x14ac:dyDescent="0.25">
      <c r="A43" s="117" t="s">
        <v>37</v>
      </c>
      <c r="B43" s="117"/>
      <c r="C43" s="117"/>
      <c r="D43" s="117"/>
      <c r="E43" s="188">
        <v>3</v>
      </c>
      <c r="F43" s="188"/>
      <c r="G43" s="188"/>
      <c r="H43" s="188"/>
    </row>
    <row r="44" spans="1:9" x14ac:dyDescent="0.25">
      <c r="A44" s="117" t="s">
        <v>38</v>
      </c>
      <c r="B44" s="117"/>
      <c r="C44" s="117"/>
      <c r="D44" s="117"/>
      <c r="E44" s="190">
        <f>E46/E42-E43</f>
        <v>0.57168224819351154</v>
      </c>
      <c r="F44" s="190"/>
      <c r="G44" s="190"/>
      <c r="H44" s="190"/>
    </row>
    <row r="45" spans="1:9" x14ac:dyDescent="0.25">
      <c r="A45" s="117" t="s">
        <v>39</v>
      </c>
      <c r="B45" s="117"/>
      <c r="C45" s="117"/>
      <c r="D45" s="117"/>
      <c r="E45" s="190">
        <f>E43+E44</f>
        <v>3.5716822481935115</v>
      </c>
      <c r="F45" s="190"/>
      <c r="G45" s="190"/>
      <c r="H45" s="190"/>
    </row>
    <row r="46" spans="1:9" x14ac:dyDescent="0.25">
      <c r="A46" s="117" t="s">
        <v>90</v>
      </c>
      <c r="B46" s="117"/>
      <c r="C46" s="117"/>
      <c r="D46" s="117"/>
      <c r="E46" s="191">
        <v>162318.35</v>
      </c>
      <c r="F46" s="191"/>
      <c r="G46" s="191"/>
      <c r="H46" s="191"/>
    </row>
    <row r="47" spans="1:9" x14ac:dyDescent="0.25">
      <c r="A47" s="164" t="s">
        <v>40</v>
      </c>
      <c r="B47" s="164"/>
      <c r="C47" s="164"/>
      <c r="D47" s="164"/>
      <c r="E47" s="164" t="s">
        <v>221</v>
      </c>
      <c r="F47" s="164"/>
      <c r="G47" s="164"/>
      <c r="H47" s="164"/>
    </row>
    <row r="48" spans="1:9" x14ac:dyDescent="0.25">
      <c r="A48" s="168" t="s">
        <v>41</v>
      </c>
      <c r="B48" s="168"/>
      <c r="C48" s="168"/>
      <c r="D48" s="168"/>
      <c r="E48" s="168"/>
      <c r="F48" s="168"/>
      <c r="G48" s="168"/>
      <c r="H48" s="168"/>
    </row>
    <row r="49" spans="1:10" x14ac:dyDescent="0.25">
      <c r="A49" s="109" t="s">
        <v>211</v>
      </c>
      <c r="B49" s="109"/>
      <c r="C49" s="109"/>
      <c r="D49" s="109"/>
      <c r="E49" s="109"/>
      <c r="F49" s="109"/>
      <c r="G49" s="109"/>
      <c r="H49" s="109"/>
    </row>
    <row r="50" spans="1:10" ht="33.75" customHeight="1" x14ac:dyDescent="0.25">
      <c r="A50" s="151" t="s">
        <v>149</v>
      </c>
      <c r="B50" s="152"/>
      <c r="C50" s="192" t="s">
        <v>244</v>
      </c>
      <c r="D50" s="185"/>
      <c r="E50" s="185"/>
      <c r="F50" s="185"/>
      <c r="G50" s="185"/>
      <c r="H50" s="186"/>
    </row>
    <row r="51" spans="1:10" ht="32.25" customHeight="1" x14ac:dyDescent="0.25">
      <c r="A51" s="151" t="s">
        <v>257</v>
      </c>
      <c r="B51" s="152"/>
      <c r="C51" s="151" t="s">
        <v>245</v>
      </c>
      <c r="D51" s="157"/>
      <c r="E51" s="152"/>
      <c r="F51" s="62" t="s">
        <v>42</v>
      </c>
      <c r="G51" s="160">
        <v>45758</v>
      </c>
      <c r="H51" s="152"/>
    </row>
    <row r="52" spans="1:10" ht="33.75" customHeight="1" x14ac:dyDescent="0.25">
      <c r="A52" s="151" t="s">
        <v>43</v>
      </c>
      <c r="B52" s="152"/>
      <c r="C52" s="151" t="s">
        <v>245</v>
      </c>
      <c r="D52" s="157"/>
      <c r="E52" s="152"/>
      <c r="F52" s="62" t="s">
        <v>42</v>
      </c>
      <c r="G52" s="160">
        <v>45758</v>
      </c>
      <c r="H52" s="152"/>
    </row>
    <row r="53" spans="1:10" s="22" customFormat="1" ht="32.25" customHeight="1" x14ac:dyDescent="0.25">
      <c r="A53" s="153" t="s">
        <v>237</v>
      </c>
      <c r="B53" s="154"/>
      <c r="C53" s="151" t="s">
        <v>169</v>
      </c>
      <c r="D53" s="157"/>
      <c r="E53" s="152"/>
      <c r="F53" s="62" t="s">
        <v>42</v>
      </c>
      <c r="G53" s="160">
        <v>45083</v>
      </c>
      <c r="H53" s="152"/>
    </row>
    <row r="54" spans="1:10" s="22" customFormat="1" ht="33.75" customHeight="1" x14ac:dyDescent="0.25">
      <c r="A54" s="155"/>
      <c r="B54" s="156"/>
      <c r="C54" s="151" t="s">
        <v>202</v>
      </c>
      <c r="D54" s="157"/>
      <c r="E54" s="152"/>
      <c r="F54" s="62" t="s">
        <v>120</v>
      </c>
      <c r="G54" s="160">
        <v>45448</v>
      </c>
      <c r="H54" s="152"/>
    </row>
    <row r="55" spans="1:10" s="22" customFormat="1" ht="17.45" customHeight="1" x14ac:dyDescent="0.25">
      <c r="A55" s="153" t="s">
        <v>152</v>
      </c>
      <c r="B55" s="154"/>
      <c r="C55" s="151" t="s">
        <v>214</v>
      </c>
      <c r="D55" s="157"/>
      <c r="E55" s="152"/>
      <c r="F55" s="62" t="s">
        <v>42</v>
      </c>
      <c r="G55" s="160">
        <v>45686</v>
      </c>
      <c r="H55" s="152"/>
    </row>
    <row r="56" spans="1:10" s="22" customFormat="1" ht="51" customHeight="1" x14ac:dyDescent="0.25">
      <c r="A56" s="155"/>
      <c r="B56" s="156"/>
      <c r="C56" s="151" t="s">
        <v>241</v>
      </c>
      <c r="D56" s="157"/>
      <c r="E56" s="157"/>
      <c r="F56" s="157"/>
      <c r="G56" s="157"/>
      <c r="H56" s="152"/>
    </row>
    <row r="57" spans="1:10" s="22" customFormat="1" ht="17.45" customHeight="1" x14ac:dyDescent="0.25">
      <c r="A57" s="153" t="s">
        <v>152</v>
      </c>
      <c r="B57" s="154"/>
      <c r="C57" s="151" t="s">
        <v>214</v>
      </c>
      <c r="D57" s="157"/>
      <c r="E57" s="152"/>
      <c r="F57" s="62" t="s">
        <v>42</v>
      </c>
      <c r="G57" s="160">
        <v>45758</v>
      </c>
      <c r="H57" s="152"/>
    </row>
    <row r="58" spans="1:10" s="22" customFormat="1" ht="51" customHeight="1" x14ac:dyDescent="0.25">
      <c r="A58" s="155"/>
      <c r="B58" s="156"/>
      <c r="C58" s="151" t="s">
        <v>242</v>
      </c>
      <c r="D58" s="157"/>
      <c r="E58" s="157"/>
      <c r="F58" s="157"/>
      <c r="G58" s="157"/>
      <c r="H58" s="152"/>
      <c r="J58" s="22" t="s">
        <v>243</v>
      </c>
    </row>
    <row r="59" spans="1:10" x14ac:dyDescent="0.25">
      <c r="A59" s="176" t="s">
        <v>44</v>
      </c>
      <c r="B59" s="177"/>
      <c r="C59" s="176" t="s">
        <v>104</v>
      </c>
      <c r="D59" s="178"/>
      <c r="E59" s="177"/>
      <c r="F59" s="45" t="s">
        <v>42</v>
      </c>
      <c r="G59" s="149" t="s">
        <v>30</v>
      </c>
      <c r="H59" s="150"/>
    </row>
    <row r="60" spans="1:10" x14ac:dyDescent="0.25">
      <c r="A60" s="109" t="s">
        <v>212</v>
      </c>
      <c r="B60" s="109"/>
      <c r="C60" s="109"/>
      <c r="D60" s="109"/>
      <c r="E60" s="109"/>
      <c r="F60" s="109"/>
      <c r="G60" s="109"/>
      <c r="H60" s="109"/>
    </row>
    <row r="61" spans="1:10" ht="33.75" customHeight="1" x14ac:dyDescent="0.25">
      <c r="A61" s="151" t="s">
        <v>149</v>
      </c>
      <c r="B61" s="152"/>
      <c r="C61" s="192" t="s">
        <v>213</v>
      </c>
      <c r="D61" s="193"/>
      <c r="E61" s="193"/>
      <c r="F61" s="193"/>
      <c r="G61" s="193"/>
      <c r="H61" s="194"/>
    </row>
    <row r="62" spans="1:10" ht="36" customHeight="1" x14ac:dyDescent="0.25">
      <c r="A62" s="151" t="s">
        <v>257</v>
      </c>
      <c r="B62" s="152"/>
      <c r="C62" s="151" t="s">
        <v>245</v>
      </c>
      <c r="D62" s="157"/>
      <c r="E62" s="152"/>
      <c r="F62" s="62" t="s">
        <v>42</v>
      </c>
      <c r="G62" s="160">
        <v>45758</v>
      </c>
      <c r="H62" s="189"/>
    </row>
    <row r="63" spans="1:10" ht="36" customHeight="1" x14ac:dyDescent="0.25">
      <c r="A63" s="151" t="s">
        <v>43</v>
      </c>
      <c r="B63" s="152"/>
      <c r="C63" s="151" t="str">
        <f>C62</f>
        <v>F-N/MCGM/0015/20200623/AP/ S-4 (T1 to T5)</v>
      </c>
      <c r="D63" s="157"/>
      <c r="E63" s="152"/>
      <c r="F63" s="62" t="s">
        <v>42</v>
      </c>
      <c r="G63" s="160">
        <v>45758</v>
      </c>
      <c r="H63" s="189"/>
    </row>
    <row r="64" spans="1:10" s="22" customFormat="1" ht="18.600000000000001" customHeight="1" x14ac:dyDescent="0.25">
      <c r="A64" s="153" t="s">
        <v>152</v>
      </c>
      <c r="B64" s="154"/>
      <c r="C64" s="151" t="s">
        <v>214</v>
      </c>
      <c r="D64" s="157"/>
      <c r="E64" s="152"/>
      <c r="F64" s="62" t="s">
        <v>42</v>
      </c>
      <c r="G64" s="160">
        <v>45622</v>
      </c>
      <c r="H64" s="152"/>
    </row>
    <row r="65" spans="1:14" s="22" customFormat="1" ht="33.75" customHeight="1" x14ac:dyDescent="0.25">
      <c r="A65" s="155"/>
      <c r="B65" s="156"/>
      <c r="C65" s="151" t="s">
        <v>215</v>
      </c>
      <c r="D65" s="157"/>
      <c r="E65" s="157"/>
      <c r="F65" s="157"/>
      <c r="G65" s="157"/>
      <c r="H65" s="152"/>
    </row>
    <row r="66" spans="1:14" x14ac:dyDescent="0.25">
      <c r="A66" s="176" t="s">
        <v>44</v>
      </c>
      <c r="B66" s="177"/>
      <c r="C66" s="176" t="s">
        <v>104</v>
      </c>
      <c r="D66" s="178"/>
      <c r="E66" s="177"/>
      <c r="F66" s="45" t="s">
        <v>42</v>
      </c>
      <c r="G66" s="149" t="s">
        <v>30</v>
      </c>
      <c r="H66" s="150"/>
    </row>
    <row r="67" spans="1:14" x14ac:dyDescent="0.25">
      <c r="A67" s="170" t="s">
        <v>46</v>
      </c>
      <c r="B67" s="170"/>
      <c r="C67" s="170"/>
      <c r="D67" s="170"/>
      <c r="E67" s="170"/>
      <c r="F67" s="170"/>
      <c r="G67" s="170"/>
      <c r="H67" s="170"/>
    </row>
    <row r="68" spans="1:14" x14ac:dyDescent="0.25">
      <c r="A68" s="158" t="s">
        <v>89</v>
      </c>
      <c r="B68" s="158"/>
      <c r="C68" s="158"/>
      <c r="D68" s="117">
        <f>12740.48+31985.95+13535.83+19761.55</f>
        <v>78023.81</v>
      </c>
      <c r="E68" s="117"/>
      <c r="F68" s="117"/>
      <c r="G68" s="117"/>
      <c r="H68" s="117"/>
    </row>
    <row r="69" spans="1:14" x14ac:dyDescent="0.25">
      <c r="A69" s="165" t="s">
        <v>47</v>
      </c>
      <c r="B69" s="164"/>
      <c r="C69" s="164"/>
      <c r="D69" s="164" t="s">
        <v>281</v>
      </c>
      <c r="E69" s="164"/>
      <c r="F69" s="164"/>
      <c r="G69" s="164"/>
      <c r="H69" s="164"/>
      <c r="I69" s="23"/>
    </row>
    <row r="70" spans="1:14" ht="33" customHeight="1" x14ac:dyDescent="0.25">
      <c r="A70" s="161" t="s">
        <v>287</v>
      </c>
      <c r="B70" s="162"/>
      <c r="C70" s="197"/>
      <c r="D70" s="195" t="s">
        <v>288</v>
      </c>
      <c r="E70" s="196"/>
      <c r="F70" s="196"/>
      <c r="G70" s="196"/>
      <c r="H70" s="196"/>
    </row>
    <row r="71" spans="1:14" ht="34.15" customHeight="1" x14ac:dyDescent="0.25">
      <c r="A71" s="161" t="s">
        <v>289</v>
      </c>
      <c r="B71" s="162"/>
      <c r="C71" s="162"/>
      <c r="D71" s="165" t="s">
        <v>288</v>
      </c>
      <c r="E71" s="164"/>
      <c r="F71" s="164"/>
      <c r="G71" s="164"/>
      <c r="H71" s="164"/>
    </row>
    <row r="72" spans="1:14" hidden="1" x14ac:dyDescent="0.25">
      <c r="A72" s="143"/>
      <c r="B72" s="144"/>
      <c r="C72" s="144"/>
      <c r="D72" s="143" t="s">
        <v>254</v>
      </c>
      <c r="E72" s="144"/>
      <c r="F72" s="144"/>
      <c r="G72" s="144"/>
      <c r="H72" s="145"/>
    </row>
    <row r="73" spans="1:14" hidden="1" x14ac:dyDescent="0.25">
      <c r="A73" s="143"/>
      <c r="B73" s="144"/>
      <c r="C73" s="144"/>
      <c r="D73" s="143" t="s">
        <v>255</v>
      </c>
      <c r="E73" s="144"/>
      <c r="F73" s="144"/>
      <c r="G73" s="144"/>
      <c r="H73" s="145"/>
    </row>
    <row r="74" spans="1:14" hidden="1" x14ac:dyDescent="0.25">
      <c r="A74" s="146"/>
      <c r="B74" s="147"/>
      <c r="C74" s="147"/>
      <c r="D74" s="146" t="s">
        <v>256</v>
      </c>
      <c r="E74" s="147"/>
      <c r="F74" s="147"/>
      <c r="G74" s="147"/>
      <c r="H74" s="148"/>
    </row>
    <row r="75" spans="1:14" ht="33.75" customHeight="1" x14ac:dyDescent="0.25">
      <c r="A75" s="117" t="s">
        <v>45</v>
      </c>
      <c r="B75" s="117"/>
      <c r="C75" s="117"/>
      <c r="D75" s="163" t="s">
        <v>222</v>
      </c>
      <c r="E75" s="163"/>
      <c r="F75" s="163"/>
      <c r="G75" s="163"/>
      <c r="H75" s="163"/>
      <c r="J75" s="24"/>
      <c r="K75" s="23"/>
      <c r="N75" s="23"/>
    </row>
    <row r="76" spans="1:14" ht="15.75" customHeight="1" x14ac:dyDescent="0.25">
      <c r="A76" s="117" t="s">
        <v>86</v>
      </c>
      <c r="B76" s="117"/>
      <c r="C76" s="117"/>
      <c r="D76" s="207" t="str">
        <f>(IF(G59="NA","60 Years After Completion",IF(G59&lt;&gt;"NA",""&amp;60-ROUNDDOWN((E3-G59)/360,0)&amp;" Years"," ")))</f>
        <v>60 Years After Completion</v>
      </c>
      <c r="E76" s="207"/>
      <c r="F76" s="207"/>
      <c r="G76" s="207"/>
      <c r="H76" s="207"/>
      <c r="N76" s="23"/>
    </row>
    <row r="77" spans="1:14" ht="15.75" customHeight="1" x14ac:dyDescent="0.25">
      <c r="A77" s="117" t="s">
        <v>87</v>
      </c>
      <c r="B77" s="117"/>
      <c r="C77" s="117"/>
      <c r="D77" s="158" t="s">
        <v>24</v>
      </c>
      <c r="E77" s="158"/>
      <c r="F77" s="158"/>
      <c r="G77" s="158"/>
      <c r="H77" s="158"/>
      <c r="J77" s="25"/>
      <c r="K77" s="25"/>
    </row>
    <row r="78" spans="1:14" ht="33" customHeight="1" x14ac:dyDescent="0.25">
      <c r="A78" s="164" t="s">
        <v>236</v>
      </c>
      <c r="B78" s="164"/>
      <c r="C78" s="164"/>
      <c r="D78" s="165" t="s">
        <v>192</v>
      </c>
      <c r="E78" s="158"/>
      <c r="F78" s="158"/>
      <c r="G78" s="158"/>
      <c r="H78" s="158"/>
    </row>
    <row r="79" spans="1:14" x14ac:dyDescent="0.25">
      <c r="A79" s="158" t="s">
        <v>147</v>
      </c>
      <c r="B79" s="158"/>
      <c r="C79" s="158"/>
      <c r="D79" s="158" t="s">
        <v>30</v>
      </c>
      <c r="E79" s="158"/>
      <c r="F79" s="158"/>
      <c r="G79" s="158"/>
      <c r="H79" s="158"/>
      <c r="I79" s="26"/>
      <c r="J79" s="26"/>
      <c r="K79" s="26"/>
      <c r="L79" s="26"/>
      <c r="M79" s="26"/>
      <c r="N79" s="26"/>
    </row>
    <row r="80" spans="1:14" ht="15.75" customHeight="1" x14ac:dyDescent="0.25">
      <c r="A80" s="159" t="s">
        <v>85</v>
      </c>
      <c r="B80" s="159"/>
      <c r="C80" s="159"/>
      <c r="D80" s="195" t="str">
        <f ca="1">(IF(G86&gt;95%,"Nothing",IF(G86&gt;0%,"Cement, Aggregate, Steel, etc",IF(G86=0%,"Work not yet Started"))))</f>
        <v>Cement, Aggregate, Steel, etc</v>
      </c>
      <c r="E80" s="195"/>
      <c r="F80" s="195"/>
      <c r="G80" s="195"/>
      <c r="H80" s="195"/>
      <c r="J80" s="25"/>
    </row>
    <row r="81" spans="1:10" ht="33.75" customHeight="1" thickBot="1" x14ac:dyDescent="0.3">
      <c r="A81" s="198" t="s">
        <v>117</v>
      </c>
      <c r="B81" s="198"/>
      <c r="C81" s="198"/>
      <c r="D81" s="195" t="str">
        <f ca="1">(IF(D80="Nothing","Yes",IF(D80="Cement, Aggregate, Steel, etc","Under Construction",IF(D80="Work not yet Started","Work not yet Started"))))</f>
        <v>Under Construction</v>
      </c>
      <c r="E81" s="195"/>
      <c r="F81" s="195" t="str">
        <f ca="1">(IF(D80="Nothing","Yes",IF(D80="Cement, Aggregate, Steel, etc","Under Construction",IF(D80="Work not yet Started","Work not yet Started"))))</f>
        <v>Under Construction</v>
      </c>
      <c r="G81" s="195"/>
      <c r="H81" s="195"/>
    </row>
    <row r="82" spans="1:10" x14ac:dyDescent="0.25">
      <c r="A82" s="71" t="s">
        <v>139</v>
      </c>
      <c r="B82" s="72"/>
      <c r="C82" s="199" t="s">
        <v>291</v>
      </c>
      <c r="D82" s="199"/>
      <c r="E82" s="199"/>
      <c r="F82" s="199"/>
      <c r="G82" s="199"/>
      <c r="H82" s="200"/>
      <c r="I82" s="66" t="str">
        <f ca="1">IF(D95=100%,"All work Completed. Possession granted to the Building.",IF(D94=100%,"All work Completed, Waiting for OC",I83&amp;""&amp;I84&amp;""&amp;J83&amp;""&amp;J82&amp;" "&amp;J84))</f>
        <v>Excavation, Plinth Completed, RCC upto 39 Slab, Brickwork upto 38 Floor, Internal Plaster upto 30 Floor, External Plaster upto 30 Floor, Flooring upto 21 Floor Completed</v>
      </c>
      <c r="J82" s="5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39 Slab, Brickwork upto 38 Floor, Internal Plaster upto 30 Floor, External Plaster upto 30 Floor, Flooring upto 21 Floor</v>
      </c>
    </row>
    <row r="83" spans="1:10" x14ac:dyDescent="0.25">
      <c r="A83" s="16" t="s">
        <v>141</v>
      </c>
      <c r="B83" s="47">
        <f>IF(AND(ISNUMBER(SEARCH("1B",C82))),1,IF(AND(ISNUMBER(SEARCH("2B",C82))),2,IF(AND(ISNUMBER(SEARCH("3B",C82))),3,IF(AND(ISNUMBER(SEARCH("4B",C82))),4,IF(ISNUMBER(SEARCH("5B",C82)),5,0)))))</f>
        <v>0</v>
      </c>
      <c r="C83" s="47" t="s">
        <v>72</v>
      </c>
      <c r="D83" s="47">
        <v>1</v>
      </c>
      <c r="E83" s="47" t="s">
        <v>71</v>
      </c>
      <c r="F83" s="47">
        <v>0</v>
      </c>
      <c r="G83" s="48" t="s">
        <v>79</v>
      </c>
      <c r="H83" s="17">
        <f ca="1">--TRIM(RIGHT(SUBSTITUTE(LEFT(C82,_xlfn.AGGREGATE(16,6,FIND({0,1,2,3,4,5,6,7,8,9},C82,ROW(INDIRECT("1:"&amp;LEN(C82)))),1))," ",REPT(" ",LEN(C82))),LEN(C82)))</f>
        <v>39</v>
      </c>
      <c r="I83" s="67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5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52.9" customHeight="1" x14ac:dyDescent="0.25">
      <c r="A84" s="203" t="s">
        <v>88</v>
      </c>
      <c r="B84" s="204"/>
      <c r="C84" s="201" t="str">
        <f ca="1">I82</f>
        <v>Excavation, Plinth Completed, RCC upto 39 Slab, Brickwork upto 38 Floor, Internal Plaster upto 30 Floor, External Plaster upto 30 Floor, Flooring upto 21 Floor Completed</v>
      </c>
      <c r="D84" s="201"/>
      <c r="E84" s="201"/>
      <c r="F84" s="201"/>
      <c r="G84" s="201"/>
      <c r="H84" s="202"/>
      <c r="I84" s="67" t="str">
        <f ca="1">IF(I83&lt;&gt;""," Completed","")</f>
        <v xml:space="preserve"> Completed</v>
      </c>
      <c r="J84" s="52" t="str">
        <f ca="1">IF(J82&lt;&gt;"","Completed","")</f>
        <v>Completed</v>
      </c>
    </row>
    <row r="85" spans="1:10" ht="15.75" customHeight="1" x14ac:dyDescent="0.25">
      <c r="A85" s="73" t="s">
        <v>48</v>
      </c>
      <c r="B85" s="74"/>
      <c r="C85" s="43" t="s">
        <v>138</v>
      </c>
      <c r="D85" s="43" t="s">
        <v>82</v>
      </c>
      <c r="E85" s="74" t="s">
        <v>84</v>
      </c>
      <c r="F85" s="74"/>
      <c r="G85" s="74" t="s">
        <v>83</v>
      </c>
      <c r="H85" s="94"/>
      <c r="I85" s="14" t="s">
        <v>140</v>
      </c>
      <c r="J85" s="27">
        <f ca="1">H83*25%</f>
        <v>9.75</v>
      </c>
    </row>
    <row r="86" spans="1:10" x14ac:dyDescent="0.25">
      <c r="A86" s="73" t="s">
        <v>127</v>
      </c>
      <c r="B86" s="74"/>
      <c r="C86" s="43">
        <f ca="1">J87</f>
        <v>39</v>
      </c>
      <c r="D86" s="18">
        <f ca="1">((100/H83)*C86)/100</f>
        <v>1.0000000000000002</v>
      </c>
      <c r="E86" s="77">
        <f ca="1">(((C87/H83*10)+(40/(D83+F83+H83)*C88)+(7.5/(H83)*C89)+(7.5/(H83)*C90)+(10/H83*C91)+(10/H83*C92)+(5/H83*C93)+(5/H83*C94)+(5/H83*C95))/100)</f>
        <v>0.75153846153846149</v>
      </c>
      <c r="F86" s="95"/>
      <c r="G86" s="77">
        <f ca="1">((((C86/H83)*20)+((C87/H83)*25)+(30/(H83+F83+D83)*C88)+(5/H83*C89)+(5/H83*C90)+(5/H83*C91)+(5/H83*C92)+(0/H83*C93)+(0/H83*C94)+(5/H83*C95))/100)</f>
        <v>0.89506410256410252</v>
      </c>
      <c r="H86" s="78"/>
      <c r="I86" s="14" t="s">
        <v>99</v>
      </c>
      <c r="J86" s="28">
        <f ca="1">H83*50%</f>
        <v>19.5</v>
      </c>
    </row>
    <row r="87" spans="1:10" x14ac:dyDescent="0.25">
      <c r="A87" s="73" t="s">
        <v>49</v>
      </c>
      <c r="B87" s="74"/>
      <c r="C87" s="55">
        <f ca="1">J95</f>
        <v>39</v>
      </c>
      <c r="D87" s="18">
        <f ca="1">((100/H83)*C87)/100</f>
        <v>1.0000000000000002</v>
      </c>
      <c r="E87" s="79"/>
      <c r="F87" s="96"/>
      <c r="G87" s="79"/>
      <c r="H87" s="80"/>
      <c r="I87" s="14" t="s">
        <v>100</v>
      </c>
      <c r="J87" s="28">
        <f ca="1">H83</f>
        <v>39</v>
      </c>
    </row>
    <row r="88" spans="1:10" ht="15.75" customHeight="1" x14ac:dyDescent="0.25">
      <c r="A88" s="73" t="s">
        <v>128</v>
      </c>
      <c r="B88" s="74"/>
      <c r="C88" s="43">
        <v>39</v>
      </c>
      <c r="D88" s="18">
        <f ca="1">((100/(D83+F83+H83))*C88)/100</f>
        <v>0.97499999999999998</v>
      </c>
      <c r="E88" s="79"/>
      <c r="F88" s="96"/>
      <c r="G88" s="79"/>
      <c r="H88" s="80"/>
      <c r="I88" s="14" t="s">
        <v>101</v>
      </c>
      <c r="J88" s="29">
        <f ca="1">(IF(B83&gt;1,(H83/(B83+2)),H83/4))</f>
        <v>9.75</v>
      </c>
    </row>
    <row r="89" spans="1:10" ht="15.75" customHeight="1" x14ac:dyDescent="0.25">
      <c r="A89" s="73" t="s">
        <v>135</v>
      </c>
      <c r="B89" s="74" t="s">
        <v>129</v>
      </c>
      <c r="C89" s="43">
        <v>38</v>
      </c>
      <c r="D89" s="18">
        <f ca="1">((100/H83)*C89)/100</f>
        <v>0.97435897435897445</v>
      </c>
      <c r="E89" s="79"/>
      <c r="F89" s="96"/>
      <c r="G89" s="79"/>
      <c r="H89" s="80"/>
      <c r="I89" s="14" t="s">
        <v>102</v>
      </c>
      <c r="J89" s="29">
        <f ca="1">(IF(B83&gt;1,(H83/(B83+2)+J88),H83/4+J88))</f>
        <v>19.5</v>
      </c>
    </row>
    <row r="90" spans="1:10" ht="15.75" customHeight="1" x14ac:dyDescent="0.25">
      <c r="A90" s="73" t="s">
        <v>136</v>
      </c>
      <c r="B90" s="74" t="s">
        <v>129</v>
      </c>
      <c r="C90" s="55">
        <v>30</v>
      </c>
      <c r="D90" s="18">
        <f ca="1">((100/H83)*C90)/100</f>
        <v>0.76923076923076938</v>
      </c>
      <c r="E90" s="79"/>
      <c r="F90" s="96"/>
      <c r="G90" s="79"/>
      <c r="H90" s="80"/>
      <c r="I90" s="14" t="s">
        <v>145</v>
      </c>
      <c r="J90" s="29">
        <f>(IF(B83&gt;1,(H83/(B83+2)+J89),0))</f>
        <v>0</v>
      </c>
    </row>
    <row r="91" spans="1:10" ht="15" customHeight="1" x14ac:dyDescent="0.25">
      <c r="A91" s="73" t="s">
        <v>134</v>
      </c>
      <c r="B91" s="74" t="s">
        <v>131</v>
      </c>
      <c r="C91" s="55">
        <v>30</v>
      </c>
      <c r="D91" s="18">
        <f ca="1">((100/(H83))*C91)/100</f>
        <v>0.76923076923076938</v>
      </c>
      <c r="E91" s="79"/>
      <c r="F91" s="96"/>
      <c r="G91" s="79"/>
      <c r="H91" s="80"/>
      <c r="I91" s="14" t="s">
        <v>142</v>
      </c>
      <c r="J91" s="29">
        <f>(IF(B83&gt;2,(H83/(B83+2)+J90),0))</f>
        <v>0</v>
      </c>
    </row>
    <row r="92" spans="1:10" ht="15.75" customHeight="1" x14ac:dyDescent="0.25">
      <c r="A92" s="73" t="s">
        <v>130</v>
      </c>
      <c r="B92" s="74" t="s">
        <v>130</v>
      </c>
      <c r="C92" s="43">
        <v>21</v>
      </c>
      <c r="D92" s="18">
        <f ca="1">((100/H83)*C92)/100</f>
        <v>0.53846153846153855</v>
      </c>
      <c r="E92" s="79"/>
      <c r="F92" s="96"/>
      <c r="G92" s="79"/>
      <c r="H92" s="80"/>
      <c r="I92" s="14" t="s">
        <v>143</v>
      </c>
      <c r="J92" s="30">
        <f>(IF(B83&gt;3,(H83/(B83+2)+J91),0))</f>
        <v>0</v>
      </c>
    </row>
    <row r="93" spans="1:10" ht="15.75" customHeight="1" x14ac:dyDescent="0.25">
      <c r="A93" s="73" t="s">
        <v>137</v>
      </c>
      <c r="B93" s="74"/>
      <c r="C93" s="43">
        <v>0</v>
      </c>
      <c r="D93" s="18">
        <f ca="1">((100/H83)*C93)/100</f>
        <v>0</v>
      </c>
      <c r="E93" s="79"/>
      <c r="F93" s="96"/>
      <c r="G93" s="79"/>
      <c r="H93" s="80"/>
      <c r="I93" s="14" t="s">
        <v>144</v>
      </c>
      <c r="J93" s="29">
        <f>(IF(B83&gt;4,(H83/(B83+2)+J92),0))</f>
        <v>0</v>
      </c>
    </row>
    <row r="94" spans="1:10" ht="15.75" customHeight="1" x14ac:dyDescent="0.25">
      <c r="A94" s="73" t="s">
        <v>132</v>
      </c>
      <c r="B94" s="74" t="s">
        <v>132</v>
      </c>
      <c r="C94" s="43">
        <v>0</v>
      </c>
      <c r="D94" s="18">
        <f ca="1">((100/(H83))*C94)/100</f>
        <v>0</v>
      </c>
      <c r="E94" s="79"/>
      <c r="F94" s="96"/>
      <c r="G94" s="79"/>
      <c r="H94" s="80"/>
      <c r="I94" s="14" t="s">
        <v>146</v>
      </c>
      <c r="J94" s="29">
        <f ca="1">(IF(B83=1,(H83/(B83+3)+J89),IF(B83=0,(H83/4+J89),IF(B83&gt;1,0))))</f>
        <v>29.25</v>
      </c>
    </row>
    <row r="95" spans="1:10" ht="16.5" thickBot="1" x14ac:dyDescent="0.3">
      <c r="A95" s="75" t="s">
        <v>133</v>
      </c>
      <c r="B95" s="76"/>
      <c r="C95" s="44">
        <v>0</v>
      </c>
      <c r="D95" s="19">
        <f ca="1">((100/(H83))*C95)/100</f>
        <v>0</v>
      </c>
      <c r="E95" s="81"/>
      <c r="F95" s="97"/>
      <c r="G95" s="81"/>
      <c r="H95" s="82"/>
      <c r="I95" s="15" t="s">
        <v>103</v>
      </c>
      <c r="J95" s="31">
        <f ca="1">(IF(B83&gt;1.5,(H83/(B83+2)+J89+MAX(0,J90-J89)+MAX(0,J91-J90)+MAX(0,J92-J91)+MAX(0,J93-J92)+MAX(0,J94-J93)),IF(B83=1,(H83/(B83+3)+J94),IF(B83=0,H83/4+J94))))</f>
        <v>39</v>
      </c>
    </row>
    <row r="96" spans="1:10" ht="15.6" customHeight="1" x14ac:dyDescent="0.25">
      <c r="A96" s="71" t="s">
        <v>139</v>
      </c>
      <c r="B96" s="72"/>
      <c r="C96" s="199" t="s">
        <v>292</v>
      </c>
      <c r="D96" s="199"/>
      <c r="E96" s="199"/>
      <c r="F96" s="199"/>
      <c r="G96" s="199"/>
      <c r="H96" s="200"/>
      <c r="I96" s="49" t="str">
        <f ca="1">IF(D109=100%,"All work Completed. Possession granted to the Building.",IF(D108=100%,"All work Completed, Waiting for OC",I97&amp;""&amp;I98&amp;""&amp;J97&amp;""&amp;J96&amp;" "&amp;J98))</f>
        <v>Excavation, Plinth Completed, RCC upto 36 Slab, Brickwork upto 35 Floor, Internal Plaster upto 24 Floor, External Plaster upto 24 Floor, Flooring upto 16 Floor Completed</v>
      </c>
      <c r="J96" s="50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36 Slab, Brickwork upto 35 Floor, Internal Plaster upto 24 Floor, External Plaster upto 24 Floor, Flooring upto 16 Floor</v>
      </c>
    </row>
    <row r="97" spans="1:13" x14ac:dyDescent="0.25">
      <c r="A97" s="16" t="s">
        <v>141</v>
      </c>
      <c r="B97" s="47">
        <f>IF(AND(ISNUMBER(SEARCH("1B",C96))),1,IF(AND(ISNUMBER(SEARCH("2B",C96))),2,IF(AND(ISNUMBER(SEARCH("3B",C96))),3,IF(AND(ISNUMBER(SEARCH("4B",C96))),4,IF(ISNUMBER(SEARCH("5B",C96)),5,0)))))</f>
        <v>0</v>
      </c>
      <c r="C97" s="47" t="s">
        <v>72</v>
      </c>
      <c r="D97" s="47">
        <v>1</v>
      </c>
      <c r="E97" s="47" t="s">
        <v>71</v>
      </c>
      <c r="F97" s="47">
        <v>0</v>
      </c>
      <c r="G97" s="48" t="s">
        <v>79</v>
      </c>
      <c r="H97" s="17">
        <f ca="1">--TRIM(RIGHT(SUBSTITUTE(LEFT(C96,_xlfn.AGGREGATE(16,6,FIND({0,1,2,3,4,5,6,7,8,9},C96,ROW(INDIRECT("1:"&amp;LEN(C96)))),1))," ",REPT(" ",LEN(C96))),LEN(C96)))</f>
        <v>39</v>
      </c>
      <c r="I97" s="51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52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3" ht="50.45" customHeight="1" x14ac:dyDescent="0.25">
      <c r="A98" s="203" t="s">
        <v>88</v>
      </c>
      <c r="B98" s="204"/>
      <c r="C98" s="201" t="str">
        <f ca="1">I96</f>
        <v>Excavation, Plinth Completed, RCC upto 36 Slab, Brickwork upto 35 Floor, Internal Plaster upto 24 Floor, External Plaster upto 24 Floor, Flooring upto 16 Floor Completed</v>
      </c>
      <c r="D98" s="201"/>
      <c r="E98" s="201"/>
      <c r="F98" s="201"/>
      <c r="G98" s="201"/>
      <c r="H98" s="202"/>
      <c r="I98" s="51" t="str">
        <f ca="1">IF(I97&lt;&gt;""," Completed","")</f>
        <v xml:space="preserve"> Completed</v>
      </c>
      <c r="J98" s="52" t="str">
        <f ca="1">IF(J96&lt;&gt;"","Completed","")</f>
        <v>Completed</v>
      </c>
    </row>
    <row r="99" spans="1:13" ht="15.75" customHeight="1" x14ac:dyDescent="0.25">
      <c r="A99" s="73" t="s">
        <v>48</v>
      </c>
      <c r="B99" s="74"/>
      <c r="C99" s="43" t="s">
        <v>138</v>
      </c>
      <c r="D99" s="43" t="s">
        <v>82</v>
      </c>
      <c r="E99" s="74" t="s">
        <v>84</v>
      </c>
      <c r="F99" s="74"/>
      <c r="G99" s="74" t="s">
        <v>83</v>
      </c>
      <c r="H99" s="94"/>
      <c r="I99" s="14" t="s">
        <v>140</v>
      </c>
      <c r="J99" s="27">
        <f ca="1">H97*25%</f>
        <v>9.75</v>
      </c>
    </row>
    <row r="100" spans="1:13" x14ac:dyDescent="0.25">
      <c r="A100" s="73" t="s">
        <v>127</v>
      </c>
      <c r="B100" s="74"/>
      <c r="C100" s="43">
        <f ca="1">J101</f>
        <v>39</v>
      </c>
      <c r="D100" s="18">
        <f ca="1">((100/H97)*C100)/100</f>
        <v>1.0000000000000002</v>
      </c>
      <c r="E100" s="77">
        <f ca="1">(((C101/H97*10)+(40/(D97+F97+H97)*C102)+(7.5/(H97)*C103)+(7.5/(H97)*C104)+(10/H97*C105)+(10/H97*C106)+(5/H97*C107)+(5/H97*C108)+(5/H97*C109))/100)</f>
        <v>0.676025641025641</v>
      </c>
      <c r="F100" s="95"/>
      <c r="G100" s="77">
        <f ca="1">((((C100/H97)*20)+((C101/H97)*25)+(30/(H97+F97+D97)*C102)+(5/H97*C103)+(5/H97*C104)+(5/H97*C105)+(5/H97*C106)+(0/H97*C107)+(0/H97*C108)+(5/H97*C109))/100)</f>
        <v>0.84692307692307711</v>
      </c>
      <c r="H100" s="78"/>
      <c r="I100" s="14" t="s">
        <v>99</v>
      </c>
      <c r="J100" s="28">
        <f ca="1">H97*50%</f>
        <v>19.5</v>
      </c>
    </row>
    <row r="101" spans="1:13" x14ac:dyDescent="0.25">
      <c r="A101" s="73" t="s">
        <v>49</v>
      </c>
      <c r="B101" s="74"/>
      <c r="C101" s="55">
        <f ca="1">J109</f>
        <v>39</v>
      </c>
      <c r="D101" s="18">
        <f ca="1">((100/H97)*C101)/100</f>
        <v>1.0000000000000002</v>
      </c>
      <c r="E101" s="79"/>
      <c r="F101" s="96"/>
      <c r="G101" s="79"/>
      <c r="H101" s="80"/>
      <c r="I101" s="14" t="s">
        <v>100</v>
      </c>
      <c r="J101" s="28">
        <f ca="1">H97</f>
        <v>39</v>
      </c>
    </row>
    <row r="102" spans="1:13" ht="15.75" customHeight="1" x14ac:dyDescent="0.25">
      <c r="A102" s="73" t="s">
        <v>128</v>
      </c>
      <c r="B102" s="74"/>
      <c r="C102" s="43">
        <v>36</v>
      </c>
      <c r="D102" s="18">
        <f ca="1">((100/(D97+F97+H97))*C102)/100</f>
        <v>0.9</v>
      </c>
      <c r="E102" s="79"/>
      <c r="F102" s="96"/>
      <c r="G102" s="79"/>
      <c r="H102" s="80"/>
      <c r="I102" s="14" t="s">
        <v>101</v>
      </c>
      <c r="J102" s="29">
        <f ca="1">(IF(B97&gt;1,(H97/(B97+2)),H97/4))</f>
        <v>9.75</v>
      </c>
    </row>
    <row r="103" spans="1:13" ht="15.75" customHeight="1" x14ac:dyDescent="0.25">
      <c r="A103" s="73" t="s">
        <v>135</v>
      </c>
      <c r="B103" s="74" t="s">
        <v>129</v>
      </c>
      <c r="C103" s="43">
        <v>35</v>
      </c>
      <c r="D103" s="18">
        <f ca="1">((100/H97)*C103)/100</f>
        <v>0.89743589743589747</v>
      </c>
      <c r="E103" s="79"/>
      <c r="F103" s="96"/>
      <c r="G103" s="79"/>
      <c r="H103" s="80"/>
      <c r="I103" s="14" t="s">
        <v>102</v>
      </c>
      <c r="J103" s="29">
        <f ca="1">(IF(B97&gt;1,(H97/(B97+2)+J102),H97/4+J102))</f>
        <v>19.5</v>
      </c>
    </row>
    <row r="104" spans="1:13" ht="15.75" customHeight="1" x14ac:dyDescent="0.25">
      <c r="A104" s="73" t="s">
        <v>136</v>
      </c>
      <c r="B104" s="74" t="s">
        <v>129</v>
      </c>
      <c r="C104" s="55">
        <v>24</v>
      </c>
      <c r="D104" s="18">
        <f ca="1">((100/H97)*C104)/100</f>
        <v>0.61538461538461542</v>
      </c>
      <c r="E104" s="79"/>
      <c r="F104" s="96"/>
      <c r="G104" s="79"/>
      <c r="H104" s="80"/>
      <c r="I104" s="14" t="s">
        <v>145</v>
      </c>
      <c r="J104" s="29">
        <f>(IF(B97&gt;1,(H97/(B97+2)+J103),0))</f>
        <v>0</v>
      </c>
    </row>
    <row r="105" spans="1:13" ht="15" customHeight="1" x14ac:dyDescent="0.25">
      <c r="A105" s="73" t="s">
        <v>134</v>
      </c>
      <c r="B105" s="74" t="s">
        <v>131</v>
      </c>
      <c r="C105" s="55">
        <v>24</v>
      </c>
      <c r="D105" s="18">
        <f ca="1">((100/(H97))*C105)/100</f>
        <v>0.61538461538461542</v>
      </c>
      <c r="E105" s="79"/>
      <c r="F105" s="96"/>
      <c r="G105" s="79"/>
      <c r="H105" s="80"/>
      <c r="I105" s="14" t="s">
        <v>142</v>
      </c>
      <c r="J105" s="29">
        <f>(IF(B97&gt;2,(H97/(B97+2)+J104),0))</f>
        <v>0</v>
      </c>
    </row>
    <row r="106" spans="1:13" ht="15.75" customHeight="1" x14ac:dyDescent="0.25">
      <c r="A106" s="73" t="s">
        <v>130</v>
      </c>
      <c r="B106" s="74" t="s">
        <v>130</v>
      </c>
      <c r="C106" s="43">
        <v>16</v>
      </c>
      <c r="D106" s="18">
        <f ca="1">((100/H97)*C106)/100</f>
        <v>0.4102564102564103</v>
      </c>
      <c r="E106" s="79"/>
      <c r="F106" s="96"/>
      <c r="G106" s="79"/>
      <c r="H106" s="80"/>
      <c r="I106" s="14" t="s">
        <v>143</v>
      </c>
      <c r="J106" s="30">
        <f>(IF(B97&gt;3,(H97/(B97+2)+J105),0))</f>
        <v>0</v>
      </c>
    </row>
    <row r="107" spans="1:13" ht="15.75" customHeight="1" x14ac:dyDescent="0.25">
      <c r="A107" s="73" t="s">
        <v>137</v>
      </c>
      <c r="B107" s="74"/>
      <c r="C107" s="43">
        <v>0</v>
      </c>
      <c r="D107" s="18">
        <f ca="1">((100/H97)*C107)/100</f>
        <v>0</v>
      </c>
      <c r="E107" s="79"/>
      <c r="F107" s="96"/>
      <c r="G107" s="79"/>
      <c r="H107" s="80"/>
      <c r="I107" s="14" t="s">
        <v>144</v>
      </c>
      <c r="J107" s="29">
        <f>(IF(B97&gt;4,(H97/(B97+2)+J106),0))</f>
        <v>0</v>
      </c>
      <c r="M107" s="20" t="s">
        <v>255</v>
      </c>
    </row>
    <row r="108" spans="1:13" ht="15.75" customHeight="1" x14ac:dyDescent="0.25">
      <c r="A108" s="73" t="s">
        <v>132</v>
      </c>
      <c r="B108" s="74" t="s">
        <v>132</v>
      </c>
      <c r="C108" s="43">
        <v>0</v>
      </c>
      <c r="D108" s="18">
        <f ca="1">((100/(H97))*C108)/100</f>
        <v>0</v>
      </c>
      <c r="E108" s="79"/>
      <c r="F108" s="96"/>
      <c r="G108" s="79"/>
      <c r="H108" s="80"/>
      <c r="I108" s="14" t="s">
        <v>146</v>
      </c>
      <c r="J108" s="29">
        <f ca="1">(IF(B97=1,(H97/(B97+3)+J103),IF(B97=0,(H97/4+J103),IF(B97&gt;1,0))))</f>
        <v>29.25</v>
      </c>
    </row>
    <row r="109" spans="1:13" ht="16.5" thickBot="1" x14ac:dyDescent="0.3">
      <c r="A109" s="75" t="s">
        <v>133</v>
      </c>
      <c r="B109" s="76"/>
      <c r="C109" s="44">
        <v>0</v>
      </c>
      <c r="D109" s="19">
        <f ca="1">((100/(H97))*C109)/100</f>
        <v>0</v>
      </c>
      <c r="E109" s="81"/>
      <c r="F109" s="97"/>
      <c r="G109" s="81"/>
      <c r="H109" s="82"/>
      <c r="I109" s="15" t="s">
        <v>103</v>
      </c>
      <c r="J109" s="31">
        <f ca="1">(IF(B97&gt;1.5,(H97/(B97+2)+J103+MAX(0,J104-J103)+MAX(0,J105-J104)+MAX(0,J106-J105)+MAX(0,J107-J106)+MAX(0,J108-J107)),IF(B97=1,(H97/(B97+3)+J108),IF(B97=0,H97/4+J108))))</f>
        <v>39</v>
      </c>
    </row>
    <row r="110" spans="1:13" ht="15.6" customHeight="1" x14ac:dyDescent="0.25">
      <c r="A110" s="71" t="s">
        <v>139</v>
      </c>
      <c r="B110" s="72"/>
      <c r="C110" s="199" t="s">
        <v>293</v>
      </c>
      <c r="D110" s="199"/>
      <c r="E110" s="199"/>
      <c r="F110" s="199"/>
      <c r="G110" s="199"/>
      <c r="H110" s="200"/>
      <c r="I110" s="49" t="str">
        <f ca="1">IF(D123=100%,"All work Completed. Possession granted to the Building.",IF(D122=100%,"All work Completed, Waiting for OC",I111&amp;""&amp;I112&amp;""&amp;J111&amp;""&amp;J110&amp;" "&amp;J112))</f>
        <v xml:space="preserve">Work not yet Started. </v>
      </c>
      <c r="J110" s="50" t="str">
        <f ca="1">(IF(C116=(D111+F111+H111),"",IF(C116&gt;0,", RCC upto "&amp;C116&amp;" Slab","")))&amp;(IF(C117=H111,"",IF(C117&gt;0,", Brickwork upto "&amp;C117&amp;" Floor","")))&amp;(IF(C118=H111,"",IF(C118&gt;0,", Internal Plaster upto "&amp;C118&amp;" Floor","")))&amp;(IF(C119=H111,"",IF(C119&gt;0,", External Plaster upto "&amp;C119&amp;" Floor","")))&amp;(IF(C120=H111,"",IF(C120&gt;0,", Flooring upto "&amp;C120&amp;" Floor","")))&amp;(IF(C121=H111,"",IF(C121&gt;0,", Painting upto "&amp;C121&amp;" Floor","")))&amp;(IF(C122=H111,"",IF(C122&gt;0,", Finishing upto "&amp;C122&amp;" Floor","")))&amp;(IF(C123=H111,"",IF(C123&gt;0,", Possession upto "&amp;C123&amp;" Floor","")))</f>
        <v/>
      </c>
    </row>
    <row r="111" spans="1:13" x14ac:dyDescent="0.25">
      <c r="A111" s="16" t="s">
        <v>141</v>
      </c>
      <c r="B111" s="47">
        <f>IF(AND(ISNUMBER(SEARCH("1B",C110))),1,IF(AND(ISNUMBER(SEARCH("2B",C110))),2,IF(AND(ISNUMBER(SEARCH("3B",C110))),3,IF(AND(ISNUMBER(SEARCH("4B",C110))),4,IF(ISNUMBER(SEARCH("5B",C110)),5,0)))))</f>
        <v>0</v>
      </c>
      <c r="C111" s="47" t="s">
        <v>72</v>
      </c>
      <c r="D111" s="47">
        <v>1</v>
      </c>
      <c r="E111" s="47" t="s">
        <v>71</v>
      </c>
      <c r="F111" s="47">
        <v>0</v>
      </c>
      <c r="G111" s="48" t="s">
        <v>79</v>
      </c>
      <c r="H111" s="17">
        <f ca="1">--TRIM(RIGHT(SUBSTITUTE(LEFT(C110,_xlfn.AGGREGATE(16,6,FIND({0,1,2,3,4,5,6,7,8,9},C110,ROW(INDIRECT("1:"&amp;LEN(C110)))),1))," ",REPT(" ",LEN(C110))),LEN(C110)))</f>
        <v>39</v>
      </c>
      <c r="I111" s="51" t="str">
        <f ca="1">IF(D114=100%,"Excavation","")&amp;IF(D115=100%,", Plinth","")&amp;IF(D116=100%,", RCC Slab","")&amp;IF(D117=100%,", Brickwork","")&amp;IF(D118=100%,", Internal Plaster","")&amp;IF(D119=100%,", External Plaster","")&amp;IF(D120=100%,", Flooring","")&amp;IF(D121=100%,", Painting","")&amp;IF(D122=100%,", Building common Amenities","")</f>
        <v/>
      </c>
      <c r="J111" s="52" t="str">
        <f>(IF(C114=0,"Work not yet Started.",IF(D114=25%,"Piling work in process",IF(D114=50%,"Excavation work in process",IF(D114=100%,"","0")))))&amp;(IF(C115=0%,"",IF(C115=J116,", Footing work is process",IF(C115=J117,", Footing work Completed",IF(C115=J118,", 1st Basement Completed",IF(C115=J119,", 1st &amp; 2nd Basement Completed",IF(C115=J120,", 1st to 3rd Basement Completed",IF(C115=J121,", 1st to 4th Basement Completed",IF(C115=J122,", Plinth work is process",IF(C115=J123,"","0"))))))))))</f>
        <v>Work not yet Started.</v>
      </c>
    </row>
    <row r="112" spans="1:13" x14ac:dyDescent="0.25">
      <c r="A112" s="203" t="s">
        <v>88</v>
      </c>
      <c r="B112" s="204"/>
      <c r="C112" s="201" t="str">
        <f ca="1">I110</f>
        <v xml:space="preserve">Work not yet Started. </v>
      </c>
      <c r="D112" s="201"/>
      <c r="E112" s="201"/>
      <c r="F112" s="201"/>
      <c r="G112" s="201"/>
      <c r="H112" s="202"/>
      <c r="I112" s="51" t="str">
        <f ca="1">IF(I111&lt;&gt;""," Completed","")</f>
        <v/>
      </c>
      <c r="J112" s="52" t="str">
        <f ca="1">IF(J110&lt;&gt;"","Completed","")</f>
        <v/>
      </c>
    </row>
    <row r="113" spans="1:10" ht="15.75" customHeight="1" x14ac:dyDescent="0.25">
      <c r="A113" s="73" t="s">
        <v>48</v>
      </c>
      <c r="B113" s="74"/>
      <c r="C113" s="43" t="s">
        <v>138</v>
      </c>
      <c r="D113" s="43" t="s">
        <v>82</v>
      </c>
      <c r="E113" s="74" t="s">
        <v>84</v>
      </c>
      <c r="F113" s="74"/>
      <c r="G113" s="74" t="s">
        <v>83</v>
      </c>
      <c r="H113" s="94"/>
      <c r="I113" s="14" t="s">
        <v>140</v>
      </c>
      <c r="J113" s="27">
        <f ca="1">H111*25%</f>
        <v>9.75</v>
      </c>
    </row>
    <row r="114" spans="1:10" x14ac:dyDescent="0.25">
      <c r="A114" s="73" t="s">
        <v>127</v>
      </c>
      <c r="B114" s="74"/>
      <c r="C114" s="43">
        <v>0</v>
      </c>
      <c r="D114" s="18">
        <f ca="1">((100/H111)*C114)/100</f>
        <v>0</v>
      </c>
      <c r="E114" s="77">
        <f ca="1">(((C115/H111*10)+(40/(D111+F111+H111)*C116)+(7.5/(H111)*C117)+(7.5/(H111)*C118)+(10/H111*C119)+(10/H111*C120)+(5/H111*C121)+(5/H111*C122)+(5/H111*C123))/100)</f>
        <v>0</v>
      </c>
      <c r="F114" s="95"/>
      <c r="G114" s="77">
        <f ca="1">((((C114/H111)*20)+((C115/H111)*25)+(30/(H111+F111+D111)*C116)+(5/H111*C117)+(5/H111*C118)+(5/H111*C119)+(5/H111*C120)+(0/H111*C121)+(0/H111*C122)+(5/H111*C123))/100)</f>
        <v>0</v>
      </c>
      <c r="H114" s="78"/>
      <c r="I114" s="14" t="s">
        <v>99</v>
      </c>
      <c r="J114" s="28">
        <f ca="1">H111*50%</f>
        <v>19.5</v>
      </c>
    </row>
    <row r="115" spans="1:10" x14ac:dyDescent="0.25">
      <c r="A115" s="73" t="s">
        <v>49</v>
      </c>
      <c r="B115" s="74"/>
      <c r="C115" s="55">
        <v>0</v>
      </c>
      <c r="D115" s="18">
        <f ca="1">((100/H111)*C115)/100</f>
        <v>0</v>
      </c>
      <c r="E115" s="79"/>
      <c r="F115" s="96"/>
      <c r="G115" s="79"/>
      <c r="H115" s="80"/>
      <c r="I115" s="14" t="s">
        <v>100</v>
      </c>
      <c r="J115" s="28">
        <f ca="1">H111</f>
        <v>39</v>
      </c>
    </row>
    <row r="116" spans="1:10" ht="15.75" customHeight="1" x14ac:dyDescent="0.25">
      <c r="A116" s="73" t="s">
        <v>128</v>
      </c>
      <c r="B116" s="74"/>
      <c r="C116" s="43">
        <v>0</v>
      </c>
      <c r="D116" s="18">
        <f ca="1">((100/(D111+F111+H111))*C116)/100</f>
        <v>0</v>
      </c>
      <c r="E116" s="79"/>
      <c r="F116" s="96"/>
      <c r="G116" s="79"/>
      <c r="H116" s="80"/>
      <c r="I116" s="14" t="s">
        <v>101</v>
      </c>
      <c r="J116" s="29">
        <f ca="1">(IF(B111&gt;1,(H111/(B111+2)),H111/4))</f>
        <v>9.75</v>
      </c>
    </row>
    <row r="117" spans="1:10" ht="15.75" customHeight="1" x14ac:dyDescent="0.25">
      <c r="A117" s="73" t="s">
        <v>135</v>
      </c>
      <c r="B117" s="74" t="s">
        <v>129</v>
      </c>
      <c r="C117" s="43">
        <v>0</v>
      </c>
      <c r="D117" s="18">
        <f ca="1">((100/H111)*C117)/100</f>
        <v>0</v>
      </c>
      <c r="E117" s="79"/>
      <c r="F117" s="96"/>
      <c r="G117" s="79"/>
      <c r="H117" s="80"/>
      <c r="I117" s="14" t="s">
        <v>102</v>
      </c>
      <c r="J117" s="29">
        <f ca="1">(IF(B111&gt;1,(H111/(B111+2)+J116),H111/4+J116))</f>
        <v>19.5</v>
      </c>
    </row>
    <row r="118" spans="1:10" ht="15.75" customHeight="1" x14ac:dyDescent="0.25">
      <c r="A118" s="73" t="s">
        <v>136</v>
      </c>
      <c r="B118" s="74" t="s">
        <v>129</v>
      </c>
      <c r="C118" s="55">
        <v>0</v>
      </c>
      <c r="D118" s="18">
        <f ca="1">((100/H111)*C118)/100</f>
        <v>0</v>
      </c>
      <c r="E118" s="79"/>
      <c r="F118" s="96"/>
      <c r="G118" s="79"/>
      <c r="H118" s="80"/>
      <c r="I118" s="14" t="s">
        <v>145</v>
      </c>
      <c r="J118" s="29">
        <f>(IF(B111&gt;1,(H111/(B111+2)+J117),0))</f>
        <v>0</v>
      </c>
    </row>
    <row r="119" spans="1:10" ht="15" customHeight="1" x14ac:dyDescent="0.25">
      <c r="A119" s="73" t="s">
        <v>134</v>
      </c>
      <c r="B119" s="74" t="s">
        <v>131</v>
      </c>
      <c r="C119" s="55">
        <f>C117*0.65</f>
        <v>0</v>
      </c>
      <c r="D119" s="18">
        <f ca="1">((100/(H111))*C119)/100</f>
        <v>0</v>
      </c>
      <c r="E119" s="79"/>
      <c r="F119" s="96"/>
      <c r="G119" s="79"/>
      <c r="H119" s="80"/>
      <c r="I119" s="14" t="s">
        <v>142</v>
      </c>
      <c r="J119" s="29">
        <f>(IF(B111&gt;2,(H111/(B111+2)+J118),0))</f>
        <v>0</v>
      </c>
    </row>
    <row r="120" spans="1:10" ht="15.75" customHeight="1" x14ac:dyDescent="0.25">
      <c r="A120" s="73" t="s">
        <v>130</v>
      </c>
      <c r="B120" s="74" t="s">
        <v>130</v>
      </c>
      <c r="C120" s="43">
        <v>0</v>
      </c>
      <c r="D120" s="18">
        <f ca="1">((100/H111)*C120)/100</f>
        <v>0</v>
      </c>
      <c r="E120" s="79"/>
      <c r="F120" s="96"/>
      <c r="G120" s="79"/>
      <c r="H120" s="80"/>
      <c r="I120" s="14" t="s">
        <v>143</v>
      </c>
      <c r="J120" s="30">
        <f>(IF(B111&gt;3,(H111/(B111+2)+J119),0))</f>
        <v>0</v>
      </c>
    </row>
    <row r="121" spans="1:10" ht="15.75" customHeight="1" x14ac:dyDescent="0.25">
      <c r="A121" s="73" t="s">
        <v>137</v>
      </c>
      <c r="B121" s="74"/>
      <c r="C121" s="43">
        <v>0</v>
      </c>
      <c r="D121" s="18">
        <f ca="1">((100/H111)*C121)/100</f>
        <v>0</v>
      </c>
      <c r="E121" s="79"/>
      <c r="F121" s="96"/>
      <c r="G121" s="79"/>
      <c r="H121" s="80"/>
      <c r="I121" s="14" t="s">
        <v>144</v>
      </c>
      <c r="J121" s="29">
        <f>(IF(B111&gt;4,(H111/(B111+2)+J120),0))</f>
        <v>0</v>
      </c>
    </row>
    <row r="122" spans="1:10" ht="15.75" customHeight="1" x14ac:dyDescent="0.25">
      <c r="A122" s="73" t="s">
        <v>132</v>
      </c>
      <c r="B122" s="74" t="s">
        <v>132</v>
      </c>
      <c r="C122" s="43">
        <v>0</v>
      </c>
      <c r="D122" s="18">
        <f ca="1">((100/(H111))*C122)/100</f>
        <v>0</v>
      </c>
      <c r="E122" s="79"/>
      <c r="F122" s="96"/>
      <c r="G122" s="79"/>
      <c r="H122" s="80"/>
      <c r="I122" s="14" t="s">
        <v>146</v>
      </c>
      <c r="J122" s="29">
        <f ca="1">(IF(B111=1,(H111/(B111+3)+J117),IF(B111=0,(H111/4+J117),IF(B111&gt;1,0))))</f>
        <v>29.25</v>
      </c>
    </row>
    <row r="123" spans="1:10" ht="16.5" thickBot="1" x14ac:dyDescent="0.3">
      <c r="A123" s="75" t="s">
        <v>133</v>
      </c>
      <c r="B123" s="76"/>
      <c r="C123" s="44">
        <v>0</v>
      </c>
      <c r="D123" s="19">
        <f ca="1">((100/(H111))*C123)/100</f>
        <v>0</v>
      </c>
      <c r="E123" s="81"/>
      <c r="F123" s="97"/>
      <c r="G123" s="81"/>
      <c r="H123" s="82"/>
      <c r="I123" s="15" t="s">
        <v>103</v>
      </c>
      <c r="J123" s="31">
        <f ca="1">(IF(B111&gt;1.5,(H111/(B111+2)+J117+MAX(0,J118-J117)+MAX(0,J119-J118)+MAX(0,J120-J119)+MAX(0,J121-J120)+MAX(0,J122-J121)),IF(B111=1,(H111/(B111+3)+J122),IF(B111=0,H111/4+J122))))</f>
        <v>39</v>
      </c>
    </row>
    <row r="124" spans="1:10" hidden="1" x14ac:dyDescent="0.25">
      <c r="A124" s="205" t="s">
        <v>139</v>
      </c>
      <c r="B124" s="206"/>
      <c r="C124" s="208" t="str">
        <f>D74</f>
        <v>Tower 5 = Gr + Service Floor + 1st to 39th Floor</v>
      </c>
      <c r="D124" s="209"/>
      <c r="E124" s="209"/>
      <c r="F124" s="209"/>
      <c r="G124" s="209"/>
      <c r="H124" s="210"/>
      <c r="I124" s="49" t="str">
        <f ca="1">IF(D137=100%,"All work Completed. Possession granted to the Building.",IF(D136=100%,"All work Completed, Waiting for OC",I125&amp;""&amp;I126&amp;""&amp;J125&amp;""&amp;J124&amp;" "&amp;J126))</f>
        <v xml:space="preserve">Work not yet Started. </v>
      </c>
      <c r="J124" s="50" t="str">
        <f ca="1">(IF(C130=(D125+F125+H125),"",IF(C130&gt;0,", RCC upto "&amp;C130&amp;" Slab","")))&amp;(IF(C131=H125,"",IF(C131&gt;0,", Brickwork upto "&amp;C131&amp;" Floor","")))&amp;(IF(C132=H125,"",IF(C132&gt;0,", Internal Plaster upto "&amp;C132&amp;" Floor","")))&amp;(IF(C133=H125,"",IF(C133&gt;0,", External Plaster upto "&amp;C133&amp;" Floor","")))&amp;(IF(C134=H125,"",IF(C134&gt;0,", Flooring upto "&amp;C134&amp;" Floor","")))&amp;(IF(C135=H125,"",IF(C135&gt;0,", Painting upto "&amp;C135&amp;" Floor","")))&amp;(IF(C136=H125,"",IF(C136&gt;0,", Finishing upto "&amp;C136&amp;" Floor","")))&amp;(IF(C137=H125,"",IF(C137&gt;0,", Possession upto "&amp;C137&amp;" Floor","")))</f>
        <v/>
      </c>
    </row>
    <row r="125" spans="1:10" hidden="1" x14ac:dyDescent="0.25">
      <c r="A125" s="16" t="s">
        <v>141</v>
      </c>
      <c r="B125" s="47">
        <f>IF(AND(ISNUMBER(SEARCH("1B",C124))),1,IF(AND(ISNUMBER(SEARCH("2B",C124))),2,IF(AND(ISNUMBER(SEARCH("3B",C124))),3,IF(AND(ISNUMBER(SEARCH("4B",C124))),4,IF(ISNUMBER(SEARCH("5B",C124)),5,0)))))</f>
        <v>0</v>
      </c>
      <c r="C125" s="47" t="s">
        <v>72</v>
      </c>
      <c r="D125" s="47">
        <v>1</v>
      </c>
      <c r="E125" s="47" t="s">
        <v>71</v>
      </c>
      <c r="F125" s="47">
        <v>0</v>
      </c>
      <c r="G125" s="48" t="s">
        <v>79</v>
      </c>
      <c r="H125" s="17">
        <f ca="1">--TRIM(RIGHT(SUBSTITUTE(LEFT(C124,_xlfn.AGGREGATE(16,6,FIND({0,1,2,3,4,5,6,7,8,9},C124,ROW(INDIRECT("1:"&amp;LEN(C124)))),1))," ",REPT(" ",LEN(C124))),LEN(C124)))</f>
        <v>39</v>
      </c>
      <c r="I125" s="51" t="str">
        <f ca="1">IF(D128=100%,"Excavation","")&amp;IF(D129=100%,", Plinth","")&amp;IF(D130=100%,", RCC Slab","")&amp;IF(D131=100%,", Brickwork","")&amp;IF(D132=100%,", Internal Plaster","")&amp;IF(D133=100%,", External Plaster","")&amp;IF(D134=100%,", Flooring","")&amp;IF(D135=100%,", Painting","")&amp;IF(D136=100%,", Building common Amenities","")</f>
        <v/>
      </c>
      <c r="J125" s="52" t="str">
        <f>(IF(C128=0,"Work not yet Started.",IF(D128=25%,"Piling work in process",IF(D128=50%,"Excavation work in process",IF(D128=100%,"","0")))))&amp;(IF(C129=0%,"",IF(C129=J130,", Footing work is process",IF(C129=J131,", Footing work Completed",IF(C129=J132,", 1st Basement Completed",IF(C129=J133,", 1st &amp; 2nd Basement Completed",IF(C129=J134,", 1st to 3rd Basement Completed",IF(C129=J135,", 1st to 4th Basement Completed",IF(C129=J136,", Plinth work is process",IF(C129=J137,"","0"))))))))))</f>
        <v>Work not yet Started.</v>
      </c>
    </row>
    <row r="126" spans="1:10" hidden="1" x14ac:dyDescent="0.25">
      <c r="A126" s="203" t="s">
        <v>88</v>
      </c>
      <c r="B126" s="204"/>
      <c r="C126" s="201" t="str">
        <f ca="1">I124</f>
        <v xml:space="preserve">Work not yet Started. </v>
      </c>
      <c r="D126" s="201"/>
      <c r="E126" s="201"/>
      <c r="F126" s="201"/>
      <c r="G126" s="201"/>
      <c r="H126" s="202"/>
      <c r="I126" s="51" t="str">
        <f ca="1">IF(I125&lt;&gt;""," Completed","")</f>
        <v/>
      </c>
      <c r="J126" s="52" t="str">
        <f ca="1">IF(J124&lt;&gt;"","Completed","")</f>
        <v/>
      </c>
    </row>
    <row r="127" spans="1:10" ht="15.75" hidden="1" customHeight="1" x14ac:dyDescent="0.25">
      <c r="A127" s="73" t="s">
        <v>48</v>
      </c>
      <c r="B127" s="74"/>
      <c r="C127" s="43" t="s">
        <v>138</v>
      </c>
      <c r="D127" s="43" t="s">
        <v>82</v>
      </c>
      <c r="E127" s="74" t="s">
        <v>84</v>
      </c>
      <c r="F127" s="74"/>
      <c r="G127" s="74" t="s">
        <v>83</v>
      </c>
      <c r="H127" s="94"/>
      <c r="I127" s="14" t="s">
        <v>140</v>
      </c>
      <c r="J127" s="27">
        <f ca="1">H125*25%</f>
        <v>9.75</v>
      </c>
    </row>
    <row r="128" spans="1:10" hidden="1" x14ac:dyDescent="0.25">
      <c r="A128" s="73" t="s">
        <v>127</v>
      </c>
      <c r="B128" s="74"/>
      <c r="C128" s="43">
        <v>0</v>
      </c>
      <c r="D128" s="18">
        <f ca="1">((100/H125)*C128)/100</f>
        <v>0</v>
      </c>
      <c r="E128" s="77">
        <f ca="1">(((C129/H125*10)+(40/(D125+F125+H125)*C130)+(7.5/(H125)*C131)+(7.5/(H125)*C132)+(10/H125*C133)+(10/H125*C134)+(5/H125*C135)+(5/H125*C136)+(5/H125*C137))/100)</f>
        <v>0</v>
      </c>
      <c r="F128" s="95"/>
      <c r="G128" s="77">
        <f ca="1">((((C128/H125)*20)+((C129/H125)*25)+(30/(H125+F125+D125)*C130)+(5/H125*C131)+(5/H125*C132)+(5/H125*C133)+(5/H125*C134)+(0/H125*C135)+(0/H125*C136)+(5/H125*C137))/100)</f>
        <v>0</v>
      </c>
      <c r="H128" s="78"/>
      <c r="I128" s="14" t="s">
        <v>99</v>
      </c>
      <c r="J128" s="28">
        <f ca="1">H125*50%</f>
        <v>19.5</v>
      </c>
    </row>
    <row r="129" spans="1:13" hidden="1" x14ac:dyDescent="0.25">
      <c r="A129" s="73" t="s">
        <v>49</v>
      </c>
      <c r="B129" s="74"/>
      <c r="C129" s="55">
        <v>0</v>
      </c>
      <c r="D129" s="18">
        <f ca="1">((100/H125)*C129)/100</f>
        <v>0</v>
      </c>
      <c r="E129" s="79"/>
      <c r="F129" s="96"/>
      <c r="G129" s="79"/>
      <c r="H129" s="80"/>
      <c r="I129" s="14" t="s">
        <v>100</v>
      </c>
      <c r="J129" s="28">
        <f ca="1">H125</f>
        <v>39</v>
      </c>
    </row>
    <row r="130" spans="1:13" ht="15.75" hidden="1" customHeight="1" x14ac:dyDescent="0.25">
      <c r="A130" s="73" t="s">
        <v>128</v>
      </c>
      <c r="B130" s="74"/>
      <c r="C130" s="43">
        <v>0</v>
      </c>
      <c r="D130" s="18">
        <f ca="1">((100/(D125+F125+H125))*C130)/100</f>
        <v>0</v>
      </c>
      <c r="E130" s="79"/>
      <c r="F130" s="96"/>
      <c r="G130" s="79"/>
      <c r="H130" s="80"/>
      <c r="I130" s="14" t="s">
        <v>101</v>
      </c>
      <c r="J130" s="29">
        <f ca="1">(IF(B125&gt;1,(H125/(B125+2)),H125/4))</f>
        <v>9.75</v>
      </c>
    </row>
    <row r="131" spans="1:13" ht="15.75" hidden="1" customHeight="1" x14ac:dyDescent="0.25">
      <c r="A131" s="73" t="s">
        <v>135</v>
      </c>
      <c r="B131" s="74" t="s">
        <v>129</v>
      </c>
      <c r="C131" s="43">
        <v>0</v>
      </c>
      <c r="D131" s="18">
        <f ca="1">((100/H125)*C131)/100</f>
        <v>0</v>
      </c>
      <c r="E131" s="79"/>
      <c r="F131" s="96"/>
      <c r="G131" s="79"/>
      <c r="H131" s="80"/>
      <c r="I131" s="14" t="s">
        <v>102</v>
      </c>
      <c r="J131" s="29">
        <f ca="1">(IF(B125&gt;1,(H125/(B125+2)+J130),H125/4+J130))</f>
        <v>19.5</v>
      </c>
    </row>
    <row r="132" spans="1:13" ht="15.75" hidden="1" customHeight="1" x14ac:dyDescent="0.25">
      <c r="A132" s="73" t="s">
        <v>136</v>
      </c>
      <c r="B132" s="74" t="s">
        <v>129</v>
      </c>
      <c r="C132" s="55">
        <v>0</v>
      </c>
      <c r="D132" s="18">
        <f ca="1">((100/H125)*C132)/100</f>
        <v>0</v>
      </c>
      <c r="E132" s="79"/>
      <c r="F132" s="96"/>
      <c r="G132" s="79"/>
      <c r="H132" s="80"/>
      <c r="I132" s="14" t="s">
        <v>145</v>
      </c>
      <c r="J132" s="29">
        <f>(IF(B125&gt;1,(H125/(B125+2)+J131),0))</f>
        <v>0</v>
      </c>
    </row>
    <row r="133" spans="1:13" ht="15" hidden="1" customHeight="1" x14ac:dyDescent="0.25">
      <c r="A133" s="73" t="s">
        <v>134</v>
      </c>
      <c r="B133" s="74" t="s">
        <v>131</v>
      </c>
      <c r="C133" s="55">
        <f>C131*0.65</f>
        <v>0</v>
      </c>
      <c r="D133" s="18">
        <f ca="1">((100/(H125))*C133)/100</f>
        <v>0</v>
      </c>
      <c r="E133" s="79"/>
      <c r="F133" s="96"/>
      <c r="G133" s="79"/>
      <c r="H133" s="80"/>
      <c r="I133" s="14" t="s">
        <v>142</v>
      </c>
      <c r="J133" s="29">
        <f>(IF(B125&gt;2,(H125/(B125+2)+J132),0))</f>
        <v>0</v>
      </c>
    </row>
    <row r="134" spans="1:13" ht="15.75" hidden="1" customHeight="1" x14ac:dyDescent="0.25">
      <c r="A134" s="73" t="s">
        <v>130</v>
      </c>
      <c r="B134" s="74" t="s">
        <v>130</v>
      </c>
      <c r="C134" s="43">
        <v>0</v>
      </c>
      <c r="D134" s="18">
        <f ca="1">((100/H125)*C134)/100</f>
        <v>0</v>
      </c>
      <c r="E134" s="79"/>
      <c r="F134" s="96"/>
      <c r="G134" s="79"/>
      <c r="H134" s="80"/>
      <c r="I134" s="14" t="s">
        <v>143</v>
      </c>
      <c r="J134" s="30">
        <f>(IF(B125&gt;3,(H125/(B125+2)+J133),0))</f>
        <v>0</v>
      </c>
    </row>
    <row r="135" spans="1:13" ht="15.75" hidden="1" customHeight="1" x14ac:dyDescent="0.25">
      <c r="A135" s="73" t="s">
        <v>137</v>
      </c>
      <c r="B135" s="74"/>
      <c r="C135" s="43">
        <v>0</v>
      </c>
      <c r="D135" s="18">
        <f ca="1">((100/H125)*C135)/100</f>
        <v>0</v>
      </c>
      <c r="E135" s="79"/>
      <c r="F135" s="96"/>
      <c r="G135" s="79"/>
      <c r="H135" s="80"/>
      <c r="I135" s="14" t="s">
        <v>144</v>
      </c>
      <c r="J135" s="29">
        <f>(IF(B125&gt;4,(H125/(B125+2)+J134),0))</f>
        <v>0</v>
      </c>
    </row>
    <row r="136" spans="1:13" ht="15.75" hidden="1" customHeight="1" x14ac:dyDescent="0.25">
      <c r="A136" s="73" t="s">
        <v>132</v>
      </c>
      <c r="B136" s="74" t="s">
        <v>132</v>
      </c>
      <c r="C136" s="43">
        <v>0</v>
      </c>
      <c r="D136" s="18">
        <f ca="1">((100/(H125))*C136)/100</f>
        <v>0</v>
      </c>
      <c r="E136" s="79"/>
      <c r="F136" s="96"/>
      <c r="G136" s="79"/>
      <c r="H136" s="80"/>
      <c r="I136" s="14" t="s">
        <v>146</v>
      </c>
      <c r="J136" s="29">
        <f ca="1">(IF(B125=1,(H125/(B125+3)+J131),IF(B125=0,(H125/4+J131),IF(B125&gt;1,0))))</f>
        <v>29.25</v>
      </c>
    </row>
    <row r="137" spans="1:13" ht="16.5" hidden="1" thickBot="1" x14ac:dyDescent="0.3">
      <c r="A137" s="75" t="s">
        <v>133</v>
      </c>
      <c r="B137" s="76"/>
      <c r="C137" s="44">
        <v>0</v>
      </c>
      <c r="D137" s="19">
        <f ca="1">((100/(H125))*C137)/100</f>
        <v>0</v>
      </c>
      <c r="E137" s="81"/>
      <c r="F137" s="97"/>
      <c r="G137" s="81"/>
      <c r="H137" s="82"/>
      <c r="I137" s="15" t="s">
        <v>103</v>
      </c>
      <c r="J137" s="31">
        <f ca="1">(IF(B125&gt;1.5,(H125/(B125+2)+J131+MAX(0,J132-J131)+MAX(0,J133-J132)+MAX(0,J134-J133)+MAX(0,J135-J134)+MAX(0,J136-J135)),IF(B125=1,(H125/(B125+3)+J136),IF(B125=0,H125/4+J136))))</f>
        <v>39</v>
      </c>
    </row>
    <row r="138" spans="1:13" x14ac:dyDescent="0.25">
      <c r="A138" s="116" t="s">
        <v>153</v>
      </c>
      <c r="B138" s="116"/>
      <c r="C138" s="116"/>
      <c r="D138" s="116"/>
      <c r="E138" s="116"/>
      <c r="F138" s="100" t="s">
        <v>157</v>
      </c>
      <c r="G138" s="100"/>
      <c r="H138" s="100"/>
    </row>
    <row r="139" spans="1:13" x14ac:dyDescent="0.25">
      <c r="A139" s="117" t="s">
        <v>155</v>
      </c>
      <c r="B139" s="117"/>
      <c r="C139" s="117"/>
      <c r="D139" s="117"/>
      <c r="E139" s="117"/>
      <c r="F139" s="112">
        <v>30000</v>
      </c>
      <c r="G139" s="112"/>
      <c r="H139" s="112"/>
      <c r="I139" s="59" t="s">
        <v>298</v>
      </c>
      <c r="J139" s="59" t="s">
        <v>299</v>
      </c>
      <c r="K139" s="59"/>
      <c r="L139" s="60">
        <v>45507</v>
      </c>
      <c r="M139" s="59" t="s">
        <v>300</v>
      </c>
    </row>
    <row r="140" spans="1:13" x14ac:dyDescent="0.25">
      <c r="A140" s="117" t="s">
        <v>204</v>
      </c>
      <c r="B140" s="117"/>
      <c r="C140" s="117"/>
      <c r="D140" s="117"/>
      <c r="E140" s="117"/>
      <c r="F140" s="112">
        <v>32000</v>
      </c>
      <c r="G140" s="112"/>
      <c r="H140" s="112"/>
      <c r="I140" s="59" t="s">
        <v>301</v>
      </c>
      <c r="J140" s="59" t="s">
        <v>299</v>
      </c>
      <c r="K140" s="59"/>
      <c r="L140" s="60">
        <v>45507</v>
      </c>
      <c r="M140" s="59" t="s">
        <v>302</v>
      </c>
    </row>
    <row r="141" spans="1:13" hidden="1" x14ac:dyDescent="0.25">
      <c r="A141" s="117" t="s">
        <v>156</v>
      </c>
      <c r="B141" s="117"/>
      <c r="C141" s="117"/>
      <c r="D141" s="117"/>
      <c r="E141" s="117"/>
      <c r="F141" s="112"/>
      <c r="G141" s="112"/>
      <c r="H141" s="112"/>
    </row>
    <row r="142" spans="1:13" s="32" customFormat="1" hidden="1" x14ac:dyDescent="0.25">
      <c r="A142" s="117" t="s">
        <v>154</v>
      </c>
      <c r="B142" s="117"/>
      <c r="C142" s="117"/>
      <c r="D142" s="117"/>
      <c r="E142" s="117"/>
      <c r="F142" s="112"/>
      <c r="G142" s="112"/>
      <c r="H142" s="112"/>
    </row>
    <row r="143" spans="1:13" s="32" customFormat="1" hidden="1" x14ac:dyDescent="0.25">
      <c r="A143" s="117" t="s">
        <v>93</v>
      </c>
      <c r="B143" s="117"/>
      <c r="C143" s="117"/>
      <c r="D143" s="117"/>
      <c r="E143" s="117"/>
      <c r="F143" s="112"/>
      <c r="G143" s="112"/>
      <c r="H143" s="112"/>
    </row>
    <row r="144" spans="1:13" s="32" customFormat="1" hidden="1" x14ac:dyDescent="0.25">
      <c r="A144" s="117" t="s">
        <v>94</v>
      </c>
      <c r="B144" s="117"/>
      <c r="C144" s="117"/>
      <c r="D144" s="117"/>
      <c r="E144" s="117"/>
      <c r="F144" s="112"/>
      <c r="G144" s="112"/>
      <c r="H144" s="112"/>
    </row>
    <row r="145" spans="1:10" s="32" customFormat="1" hidden="1" x14ac:dyDescent="0.25">
      <c r="A145" s="117" t="s">
        <v>158</v>
      </c>
      <c r="B145" s="117"/>
      <c r="C145" s="117"/>
      <c r="D145" s="117"/>
      <c r="E145" s="117"/>
      <c r="F145" s="112"/>
      <c r="G145" s="112"/>
      <c r="H145" s="112"/>
    </row>
    <row r="146" spans="1:10" s="32" customFormat="1" hidden="1" x14ac:dyDescent="0.25">
      <c r="A146" s="117" t="s">
        <v>95</v>
      </c>
      <c r="B146" s="117"/>
      <c r="C146" s="117"/>
      <c r="D146" s="117"/>
      <c r="E146" s="117"/>
      <c r="F146" s="112"/>
      <c r="G146" s="112"/>
      <c r="H146" s="112"/>
    </row>
    <row r="147" spans="1:10" s="32" customFormat="1" hidden="1" x14ac:dyDescent="0.25">
      <c r="A147" s="117" t="s">
        <v>96</v>
      </c>
      <c r="B147" s="117"/>
      <c r="C147" s="117"/>
      <c r="D147" s="117"/>
      <c r="E147" s="117"/>
      <c r="F147" s="112"/>
      <c r="G147" s="112"/>
      <c r="H147" s="112"/>
    </row>
    <row r="148" spans="1:10" s="32" customFormat="1" hidden="1" x14ac:dyDescent="0.25">
      <c r="A148" s="117" t="s">
        <v>97</v>
      </c>
      <c r="B148" s="117"/>
      <c r="C148" s="117"/>
      <c r="D148" s="117"/>
      <c r="E148" s="117"/>
      <c r="F148" s="112"/>
      <c r="G148" s="112"/>
      <c r="H148" s="112"/>
    </row>
    <row r="149" spans="1:10" s="32" customFormat="1" hidden="1" x14ac:dyDescent="0.25">
      <c r="A149" s="117" t="s">
        <v>98</v>
      </c>
      <c r="B149" s="117"/>
      <c r="C149" s="117"/>
      <c r="D149" s="117"/>
      <c r="E149" s="117"/>
      <c r="F149" s="112"/>
      <c r="G149" s="112"/>
      <c r="H149" s="112"/>
    </row>
    <row r="150" spans="1:10" x14ac:dyDescent="0.25">
      <c r="A150" s="117" t="s">
        <v>50</v>
      </c>
      <c r="B150" s="117"/>
      <c r="C150" s="117"/>
      <c r="D150" s="117"/>
      <c r="E150" s="117"/>
      <c r="F150" s="112">
        <v>1200000</v>
      </c>
      <c r="G150" s="112"/>
      <c r="H150" s="112"/>
    </row>
    <row r="151" spans="1:10" s="33" customFormat="1" x14ac:dyDescent="0.25">
      <c r="A151" s="168" t="s">
        <v>51</v>
      </c>
      <c r="B151" s="168"/>
      <c r="C151" s="168"/>
      <c r="D151" s="168"/>
      <c r="E151" s="168"/>
      <c r="F151" s="112">
        <f>F139*0.8</f>
        <v>24000</v>
      </c>
      <c r="G151" s="112"/>
      <c r="H151" s="112"/>
    </row>
    <row r="152" spans="1:10" s="34" customFormat="1" x14ac:dyDescent="0.25">
      <c r="A152" s="169" t="s">
        <v>70</v>
      </c>
      <c r="B152" s="169"/>
      <c r="C152" s="169"/>
      <c r="D152" s="169"/>
      <c r="E152" s="169"/>
      <c r="F152" s="169"/>
      <c r="G152" s="169"/>
      <c r="H152" s="169"/>
    </row>
    <row r="153" spans="1:10" s="34" customFormat="1" ht="15.75" customHeight="1" x14ac:dyDescent="0.25">
      <c r="A153" s="115" t="s">
        <v>52</v>
      </c>
      <c r="B153" s="115"/>
      <c r="C153" s="114" t="s">
        <v>77</v>
      </c>
      <c r="D153" s="114"/>
      <c r="E153" s="171" t="s">
        <v>53</v>
      </c>
      <c r="F153" s="171"/>
      <c r="G153" s="115" t="s">
        <v>54</v>
      </c>
      <c r="H153" s="115"/>
    </row>
    <row r="154" spans="1:10" s="34" customFormat="1" x14ac:dyDescent="0.25">
      <c r="A154" s="92" t="s">
        <v>253</v>
      </c>
      <c r="B154" s="46" t="s">
        <v>173</v>
      </c>
      <c r="C154" s="90">
        <f>COUNT(D173:D175)</f>
        <v>3</v>
      </c>
      <c r="D154" s="91"/>
      <c r="E154" s="90">
        <f t="shared" ref="E154" si="0">SUM(D173:D175)</f>
        <v>1462.6123199999997</v>
      </c>
      <c r="F154" s="91"/>
      <c r="G154" s="90">
        <f>SUM(F173:F175)</f>
        <v>2193.9184800000003</v>
      </c>
      <c r="H154" s="91"/>
    </row>
    <row r="155" spans="1:10" s="34" customFormat="1" x14ac:dyDescent="0.25">
      <c r="A155" s="93"/>
      <c r="B155" s="64" t="s">
        <v>181</v>
      </c>
      <c r="C155" s="90">
        <f>COUNT(D178:D181)*11+COUNT(D183:D186)*19+COUNT(D188:D189,D191)*4+COUNT(D193:D194,D196)+COUNT(D198:D201)+COUNT(D203:D204)</f>
        <v>141</v>
      </c>
      <c r="D155" s="90"/>
      <c r="E155" s="90">
        <f>SUM(D178:D181)*11+SUM(D183:D186)*19+SUM(D188:D189,D191)*4+SUM(D193:D194,D196)+SUM(D198:D201)+SUM(D203:D204)</f>
        <v>114021.76031999999</v>
      </c>
      <c r="F155" s="90"/>
      <c r="G155" s="90">
        <f>SUM(F178:F181)*11+SUM(F183:F186)*19+SUM(F188:F189,F191)*4+SUM(F193:F194,F196)+SUM(F198:F201)+SUM(F203:F204)</f>
        <v>171032.64047999997</v>
      </c>
      <c r="H155" s="90"/>
      <c r="J155" s="58"/>
    </row>
    <row r="156" spans="1:10" s="34" customFormat="1" ht="31.5" x14ac:dyDescent="0.25">
      <c r="A156" s="46" t="s">
        <v>265</v>
      </c>
      <c r="B156" s="65" t="s">
        <v>173</v>
      </c>
      <c r="C156" s="98">
        <f>COUNT(D209:D217)</f>
        <v>9</v>
      </c>
      <c r="D156" s="127"/>
      <c r="E156" s="98">
        <f t="shared" ref="E156" si="1">SUM(D209:D217)</f>
        <v>5677.364160000001</v>
      </c>
      <c r="F156" s="127"/>
      <c r="G156" s="98">
        <f>SUM(F209:F217)</f>
        <v>8516.0462399999997</v>
      </c>
      <c r="H156" s="127"/>
    </row>
    <row r="157" spans="1:10" s="34" customFormat="1" x14ac:dyDescent="0.25">
      <c r="A157" s="46" t="s">
        <v>230</v>
      </c>
      <c r="B157" s="46" t="s">
        <v>181</v>
      </c>
      <c r="C157" s="98">
        <f>COUNT(D221:D223)*1+COUNT(D225:D227)*10+COUNT(D229:D231)*15+COUNT(D233:D235)*4+COUNT(D241:D242)+COUNT(D237:D239)*4+COUNT(D244:D246)+COUNT(D248:D250)+COUNT(D254)</f>
        <v>111</v>
      </c>
      <c r="D157" s="98"/>
      <c r="E157" s="98">
        <f>SUM(D221:D223)*1+SUM(D225:D227)*10+SUM(D229:D231)*15+SUM(D233:D235)*4+SUM(D241:D242)+SUM(D237:D239)*4+SUM(D244:D246)+SUM(D248:D250)+SUM(D254)</f>
        <v>176926.03812000001</v>
      </c>
      <c r="F157" s="98"/>
      <c r="G157" s="98">
        <f>SUM(F221:F223)*1+SUM(F225:F227)*10+SUM(F229:F231)*15+SUM(F233:F235)*4+SUM(F241:F242)+SUM(F237:F239)*4+SUM(F244:F246)+SUM(F248:F250)+SUM(F254)</f>
        <v>265389.05718</v>
      </c>
      <c r="H157" s="98"/>
      <c r="I157" s="101"/>
      <c r="J157" s="102"/>
    </row>
    <row r="158" spans="1:10" s="34" customFormat="1" x14ac:dyDescent="0.25">
      <c r="A158" s="46" t="s">
        <v>231</v>
      </c>
      <c r="B158" s="46" t="s">
        <v>181</v>
      </c>
      <c r="C158" s="98">
        <f>COUNT(D257:D259)+COUNT(D261:D263)*10+COUNT(D265:D267)*15+COUNT(D269)*4+COUNT(D273:D275)*4+COUNT(D277:D279)+COUNT(D281,D283)+COUNT(D285:D287)+COUNT(D289)</f>
        <v>103</v>
      </c>
      <c r="D158" s="98"/>
      <c r="E158" s="98">
        <f t="shared" ref="E158" si="2">SUM(D257:D259)+SUM(D261:D263)*10+SUM(D265:D267)*15+SUM(D269)*4+SUM(D273:D275)*4+SUM(D277:D279)+SUM(D281,D283)+SUM(D285:D287)+SUM(D289)</f>
        <v>129322.14048000002</v>
      </c>
      <c r="F158" s="98"/>
      <c r="G158" s="98">
        <f>SUM(F257:F259)+SUM(F261:F263)*10+SUM(F265:F267)*15+SUM(F269)*4+SUM(F273:F275)*4+SUM(F277:F279)+SUM(F281,F283)+SUM(F285:F287)+SUM(F289)</f>
        <v>193983.21072000003</v>
      </c>
      <c r="H158" s="98"/>
      <c r="I158" s="101"/>
      <c r="J158" s="102"/>
    </row>
    <row r="159" spans="1:10" s="34" customFormat="1" x14ac:dyDescent="0.25">
      <c r="A159" s="92" t="s">
        <v>232</v>
      </c>
      <c r="B159" s="46" t="s">
        <v>173</v>
      </c>
      <c r="C159" s="90">
        <f>COUNT(D294:D297)</f>
        <v>4</v>
      </c>
      <c r="D159" s="91"/>
      <c r="E159" s="90">
        <f t="shared" ref="E159" si="3">SUM(D294:D297)</f>
        <v>1872.82836</v>
      </c>
      <c r="F159" s="91"/>
      <c r="G159" s="90">
        <f>SUM(F294:F297)</f>
        <v>2809.2425399999997</v>
      </c>
      <c r="H159" s="91"/>
    </row>
    <row r="160" spans="1:10" s="34" customFormat="1" x14ac:dyDescent="0.25">
      <c r="A160" s="93"/>
      <c r="B160" s="46" t="s">
        <v>181</v>
      </c>
      <c r="C160" s="118">
        <f>COUNT(D300:D303)+COUNT(D305:D308)*10+COUNT(D310:D313)*20+COUNT(D317:D318)*5+COUNT(D320:D323)+COUNT(D327:D328)</f>
        <v>140</v>
      </c>
      <c r="D160" s="119"/>
      <c r="E160" s="118">
        <f t="shared" ref="E160" si="4">SUM(D300:D303)+SUM(D305:D308)*10+SUM(D310:D313)*20+SUM(D317:D318)*5+SUM(D320:D323)+SUM(D327:D328)</f>
        <v>124422.15239999998</v>
      </c>
      <c r="F160" s="119"/>
      <c r="G160" s="118">
        <f>SUM(F300:F303)+SUM(F305:F308)*10+SUM(F310:F313)*20+SUM(F317:F318)*5+SUM(F320:F323)+SUM(F327:F328)</f>
        <v>186633.2286</v>
      </c>
      <c r="H160" s="119"/>
    </row>
    <row r="161" spans="1:14" s="34" customFormat="1" x14ac:dyDescent="0.25">
      <c r="A161" s="92" t="s">
        <v>233</v>
      </c>
      <c r="B161" s="46" t="s">
        <v>173</v>
      </c>
      <c r="C161" s="90">
        <f>COUNT(D331:D334)</f>
        <v>4</v>
      </c>
      <c r="D161" s="91"/>
      <c r="E161" s="90">
        <f t="shared" ref="E161" si="5">SUM(D331:D334)</f>
        <v>2553.6513599999998</v>
      </c>
      <c r="F161" s="91"/>
      <c r="G161" s="90">
        <f>SUM(F331:F334)</f>
        <v>3830.4770399999998</v>
      </c>
      <c r="H161" s="91"/>
    </row>
    <row r="162" spans="1:14" s="34" customFormat="1" x14ac:dyDescent="0.25">
      <c r="A162" s="93"/>
      <c r="B162" s="46" t="s">
        <v>181</v>
      </c>
      <c r="C162" s="118">
        <f>COUNT(D337:D340)+COUNT(D342:D345)*10+COUNT(D347:D350)*20+COUNT(D352,D354:D355)*4+COUNT(D357:D360)+COUNT(D364:D365)</f>
        <v>142</v>
      </c>
      <c r="D162" s="119"/>
      <c r="E162" s="118">
        <f>SUM(D337:D340)+SUM(D342:D345)*10+SUM(D347:D350)*20+SUM(D352,D354:D355)*4+SUM(D357:D360)+SUM(D364:D365)</f>
        <v>184306.69763999997</v>
      </c>
      <c r="F162" s="119"/>
      <c r="G162" s="118">
        <f>SUM(F337:F340)+SUM(F342:F345)*10+SUM(F347:F350)*20+SUM(F352,F354:F355)*4+SUM(F357:F360)+SUM(F364:F365)</f>
        <v>276460.04645999998</v>
      </c>
      <c r="H162" s="119"/>
    </row>
    <row r="163" spans="1:14" s="34" customFormat="1" x14ac:dyDescent="0.25">
      <c r="A163" s="169" t="s">
        <v>238</v>
      </c>
      <c r="B163" s="169"/>
      <c r="C163" s="113">
        <f>SUM(C155,C157,C158,C160,C162)</f>
        <v>637</v>
      </c>
      <c r="D163" s="114"/>
      <c r="E163" s="113">
        <f t="shared" ref="E163" si="6">SUM(E155,E157,E158,E160,E162)</f>
        <v>728998.78896000003</v>
      </c>
      <c r="F163" s="114"/>
      <c r="G163" s="113">
        <f t="shared" ref="G163" si="7">SUM(G155,G157,G158,G160,G162)</f>
        <v>1093498.1834399998</v>
      </c>
      <c r="H163" s="114"/>
    </row>
    <row r="164" spans="1:14" s="34" customFormat="1" ht="16.5" thickBot="1" x14ac:dyDescent="0.3">
      <c r="A164" s="120" t="s">
        <v>239</v>
      </c>
      <c r="B164" s="120"/>
      <c r="C164" s="121">
        <f>SUM(C154,C156,C159,C161)</f>
        <v>20</v>
      </c>
      <c r="D164" s="122"/>
      <c r="E164" s="121">
        <f t="shared" ref="E164" si="8">SUM(E154,E156,E159,E161)</f>
        <v>11566.456200000001</v>
      </c>
      <c r="F164" s="122"/>
      <c r="G164" s="121">
        <f t="shared" ref="G164" si="9">SUM(G154,G156,G159,G161)</f>
        <v>17349.684300000001</v>
      </c>
      <c r="H164" s="122"/>
    </row>
    <row r="165" spans="1:14" s="34" customFormat="1" ht="16.5" thickBot="1" x14ac:dyDescent="0.3">
      <c r="A165" s="123" t="s">
        <v>240</v>
      </c>
      <c r="B165" s="124"/>
      <c r="C165" s="125">
        <f>SUM(C163:D164)</f>
        <v>657</v>
      </c>
      <c r="D165" s="126"/>
      <c r="E165" s="125">
        <f>SUM(E163:F164)</f>
        <v>740565.24516000005</v>
      </c>
      <c r="F165" s="126"/>
      <c r="G165" s="125">
        <f>SUM(G163:H164)</f>
        <v>1110847.8677399999</v>
      </c>
      <c r="H165" s="126"/>
    </row>
    <row r="166" spans="1:14" s="33" customFormat="1" x14ac:dyDescent="0.25">
      <c r="A166" s="100" t="s">
        <v>55</v>
      </c>
      <c r="B166" s="100"/>
      <c r="C166" s="100"/>
      <c r="D166" s="100"/>
      <c r="E166" s="100"/>
      <c r="F166" s="100"/>
      <c r="G166" s="100"/>
      <c r="H166" s="100"/>
    </row>
    <row r="167" spans="1:14" x14ac:dyDescent="0.25">
      <c r="A167" s="109" t="s">
        <v>56</v>
      </c>
      <c r="B167" s="109"/>
      <c r="C167" s="109"/>
      <c r="D167" s="109"/>
      <c r="E167" s="109"/>
      <c r="F167" s="109"/>
      <c r="G167" s="109"/>
      <c r="H167" s="109"/>
    </row>
    <row r="168" spans="1:14" ht="47.25" customHeight="1" x14ac:dyDescent="0.25">
      <c r="A168" s="134" t="s">
        <v>118</v>
      </c>
      <c r="B168" s="134" t="s">
        <v>119</v>
      </c>
      <c r="C168" s="110" t="s">
        <v>57</v>
      </c>
      <c r="D168" s="110" t="s">
        <v>58</v>
      </c>
      <c r="E168" s="139" t="s">
        <v>59</v>
      </c>
      <c r="F168" s="42" t="s">
        <v>148</v>
      </c>
      <c r="G168" s="134" t="s">
        <v>60</v>
      </c>
      <c r="H168" s="141"/>
      <c r="I168" s="35"/>
    </row>
    <row r="169" spans="1:14" s="36" customFormat="1" x14ac:dyDescent="0.25">
      <c r="A169" s="135"/>
      <c r="B169" s="135"/>
      <c r="C169" s="111"/>
      <c r="D169" s="111"/>
      <c r="E169" s="140"/>
      <c r="F169" s="13">
        <v>0.5</v>
      </c>
      <c r="G169" s="135"/>
      <c r="H169" s="142"/>
      <c r="I169" s="35"/>
    </row>
    <row r="170" spans="1:14" s="36" customFormat="1" x14ac:dyDescent="0.25">
      <c r="A170" s="172" t="s">
        <v>235</v>
      </c>
      <c r="B170" s="172"/>
      <c r="C170" s="172"/>
      <c r="D170" s="172"/>
      <c r="E170" s="172"/>
      <c r="F170" s="172"/>
      <c r="G170" s="172"/>
      <c r="H170" s="172"/>
      <c r="I170" s="35"/>
      <c r="L170" s="99"/>
      <c r="M170" s="99"/>
    </row>
    <row r="171" spans="1:14" s="36" customFormat="1" x14ac:dyDescent="0.25">
      <c r="A171" s="128" t="s">
        <v>234</v>
      </c>
      <c r="B171" s="128"/>
      <c r="C171" s="128"/>
      <c r="D171" s="128"/>
      <c r="E171" s="128"/>
      <c r="F171" s="128"/>
      <c r="G171" s="128"/>
      <c r="H171" s="128"/>
      <c r="I171" s="35"/>
      <c r="L171" s="99"/>
      <c r="M171" s="99"/>
    </row>
    <row r="172" spans="1:14" s="36" customFormat="1" ht="32.25" customHeight="1" x14ac:dyDescent="0.25">
      <c r="A172" s="103" t="s">
        <v>172</v>
      </c>
      <c r="B172" s="104"/>
      <c r="C172" s="104"/>
      <c r="D172" s="104"/>
      <c r="E172" s="104"/>
      <c r="F172" s="104"/>
      <c r="G172" s="104"/>
      <c r="H172" s="105"/>
      <c r="I172" s="56" t="s">
        <v>279</v>
      </c>
      <c r="J172" s="35"/>
    </row>
    <row r="173" spans="1:14" s="36" customFormat="1" ht="15.75" customHeight="1" x14ac:dyDescent="0.25">
      <c r="A173" s="41">
        <v>1</v>
      </c>
      <c r="B173" s="53" t="s">
        <v>175</v>
      </c>
      <c r="C173" s="41" t="s">
        <v>173</v>
      </c>
      <c r="D173" s="54">
        <f>(57.02)*(10.764)</f>
        <v>613.76328000000001</v>
      </c>
      <c r="E173" s="41">
        <v>0</v>
      </c>
      <c r="F173" s="41">
        <f>D173*(($F$169)+1)+(IF(E173&lt;101,E173,IF(E173&lt;201,E173/2,IF(E173&lt;=301,E173/3,E173/4))))</f>
        <v>920.64491999999996</v>
      </c>
      <c r="G173" s="83" t="str">
        <f>A172</f>
        <v>Ground Floor For Entrance Lobby, Meter Room, Parcel Room, Fire Control, CCTV Room, Security Cabin, OWC Room &amp; Residential</v>
      </c>
      <c r="H173" s="84"/>
      <c r="I173" s="56"/>
      <c r="L173" s="99"/>
      <c r="M173" s="99"/>
      <c r="N173" s="35"/>
    </row>
    <row r="174" spans="1:14" s="36" customFormat="1" ht="15.75" customHeight="1" x14ac:dyDescent="0.25">
      <c r="A174" s="41">
        <f t="shared" ref="A174:A175" si="10">A173+1</f>
        <v>2</v>
      </c>
      <c r="B174" s="53" t="s">
        <v>175</v>
      </c>
      <c r="C174" s="41" t="s">
        <v>173</v>
      </c>
      <c r="D174" s="54">
        <f>(40.93)*(10.764)</f>
        <v>440.57051999999999</v>
      </c>
      <c r="E174" s="41">
        <v>0</v>
      </c>
      <c r="F174" s="41">
        <f>D174*(($F$169)+1)+(IF(E174&lt;101,E174,IF(E174&lt;201,E174/2,IF(E174&lt;=301,E174/3,E174/4))))</f>
        <v>660.85577999999998</v>
      </c>
      <c r="G174" s="85"/>
      <c r="H174" s="86"/>
      <c r="I174" s="56"/>
      <c r="L174" s="99"/>
      <c r="M174" s="99"/>
      <c r="N174" s="35"/>
    </row>
    <row r="175" spans="1:14" s="36" customFormat="1" ht="15.75" customHeight="1" x14ac:dyDescent="0.25">
      <c r="A175" s="41">
        <f t="shared" si="10"/>
        <v>3</v>
      </c>
      <c r="B175" s="53" t="s">
        <v>175</v>
      </c>
      <c r="C175" s="41" t="s">
        <v>173</v>
      </c>
      <c r="D175" s="54">
        <f>(37.93)*(10.764)</f>
        <v>408.27851999999996</v>
      </c>
      <c r="E175" s="41">
        <v>0</v>
      </c>
      <c r="F175" s="41">
        <f>D175*(($F$169)+1)+(IF(E175&lt;101,E175,IF(E175&lt;201,E175/2,IF(E175&lt;=301,E175/3,E175/4))))</f>
        <v>612.41777999999999</v>
      </c>
      <c r="G175" s="87"/>
      <c r="H175" s="88"/>
      <c r="I175" s="56"/>
      <c r="L175" s="99"/>
      <c r="M175" s="99"/>
      <c r="N175" s="35"/>
    </row>
    <row r="176" spans="1:14" s="36" customFormat="1" x14ac:dyDescent="0.25">
      <c r="A176" s="89" t="s">
        <v>174</v>
      </c>
      <c r="B176" s="89"/>
      <c r="C176" s="89"/>
      <c r="D176" s="89"/>
      <c r="E176" s="89"/>
      <c r="F176" s="89"/>
      <c r="G176" s="89"/>
      <c r="H176" s="89"/>
      <c r="I176" s="56"/>
      <c r="L176" s="99"/>
      <c r="M176" s="99"/>
    </row>
    <row r="177" spans="1:14" s="36" customFormat="1" x14ac:dyDescent="0.25">
      <c r="A177" s="89" t="s">
        <v>247</v>
      </c>
      <c r="B177" s="89"/>
      <c r="C177" s="89"/>
      <c r="D177" s="89"/>
      <c r="E177" s="89"/>
      <c r="F177" s="89"/>
      <c r="G177" s="89"/>
      <c r="H177" s="89"/>
      <c r="I177" s="35">
        <f>6+5</f>
        <v>11</v>
      </c>
      <c r="L177" s="99"/>
      <c r="M177" s="99"/>
    </row>
    <row r="178" spans="1:14" s="36" customFormat="1" ht="22.5" customHeight="1" x14ac:dyDescent="0.25">
      <c r="A178" s="41">
        <v>1</v>
      </c>
      <c r="B178" s="53" t="s">
        <v>175</v>
      </c>
      <c r="C178" s="41" t="s">
        <v>177</v>
      </c>
      <c r="D178" s="54">
        <f>(64.7+9.68)*(10.764)</f>
        <v>800.62631999999985</v>
      </c>
      <c r="E178" s="41">
        <v>0</v>
      </c>
      <c r="F178" s="41">
        <f t="shared" ref="F178:F179" si="11">D178*(($F$169)+1)+(IF(E178&lt;101,E178,IF(E178&lt;201,E178/2,IF(E178&lt;=301,E178/3,E178/4))))</f>
        <v>1200.9394799999998</v>
      </c>
      <c r="G178" s="83" t="str">
        <f>A177</f>
        <v>1st to 6th, 8th to 12th Floor For Residential</v>
      </c>
      <c r="H178" s="84"/>
      <c r="K178" s="35"/>
      <c r="N178" s="35"/>
    </row>
    <row r="179" spans="1:14" s="36" customFormat="1" ht="21" customHeight="1" x14ac:dyDescent="0.25">
      <c r="A179" s="41">
        <f>A178+1</f>
        <v>2</v>
      </c>
      <c r="B179" s="53" t="s">
        <v>175</v>
      </c>
      <c r="C179" s="41" t="s">
        <v>177</v>
      </c>
      <c r="D179" s="54">
        <f>(64.7+9.68)*(10.764)</f>
        <v>800.62631999999985</v>
      </c>
      <c r="E179" s="41">
        <v>0</v>
      </c>
      <c r="F179" s="41">
        <f t="shared" si="11"/>
        <v>1200.9394799999998</v>
      </c>
      <c r="G179" s="85"/>
      <c r="H179" s="86"/>
      <c r="I179" s="35"/>
      <c r="N179" s="35"/>
    </row>
    <row r="180" spans="1:14" s="36" customFormat="1" ht="24.75" customHeight="1" x14ac:dyDescent="0.25">
      <c r="A180" s="41">
        <f>A179+1</f>
        <v>3</v>
      </c>
      <c r="B180" s="53" t="s">
        <v>175</v>
      </c>
      <c r="C180" s="41" t="s">
        <v>177</v>
      </c>
      <c r="D180" s="54">
        <f>(64.69+9.69)*(10.764)</f>
        <v>800.62631999999985</v>
      </c>
      <c r="E180" s="41">
        <v>0</v>
      </c>
      <c r="F180" s="41">
        <f>D180*(($F$169)+1)+(IF(E180&lt;101,E180,IF(E180&lt;201,E180/2,IF(E180&lt;=301,E180/3,E180/4))))</f>
        <v>1200.9394799999998</v>
      </c>
      <c r="G180" s="85"/>
      <c r="H180" s="86"/>
      <c r="I180" s="35"/>
      <c r="N180" s="35"/>
    </row>
    <row r="181" spans="1:14" s="36" customFormat="1" ht="31.5" customHeight="1" x14ac:dyDescent="0.25">
      <c r="A181" s="41">
        <f>A180+1</f>
        <v>4</v>
      </c>
      <c r="B181" s="53" t="s">
        <v>175</v>
      </c>
      <c r="C181" s="41" t="s">
        <v>177</v>
      </c>
      <c r="D181" s="54">
        <f>(64.69+9.69)*(10.764)</f>
        <v>800.62631999999985</v>
      </c>
      <c r="E181" s="41">
        <v>0</v>
      </c>
      <c r="F181" s="41">
        <f>D181*(($F$169)+1)+(IF(E181&lt;101,E181,IF(E181&lt;201,E181/2,IF(E181&lt;=301,E181/3,E181/4))))</f>
        <v>1200.9394799999998</v>
      </c>
      <c r="G181" s="85"/>
      <c r="H181" s="86"/>
      <c r="I181" s="35"/>
      <c r="N181" s="35"/>
    </row>
    <row r="182" spans="1:14" s="36" customFormat="1" x14ac:dyDescent="0.25">
      <c r="A182" s="89" t="s">
        <v>266</v>
      </c>
      <c r="B182" s="89"/>
      <c r="C182" s="89"/>
      <c r="D182" s="89"/>
      <c r="E182" s="89"/>
      <c r="F182" s="89"/>
      <c r="G182" s="89"/>
      <c r="H182" s="89"/>
      <c r="I182" s="35">
        <f>1+6+6+5+1</f>
        <v>19</v>
      </c>
      <c r="L182" s="99"/>
      <c r="M182" s="99"/>
    </row>
    <row r="183" spans="1:14" s="36" customFormat="1" ht="22.5" customHeight="1" x14ac:dyDescent="0.25">
      <c r="A183" s="41">
        <v>1</v>
      </c>
      <c r="B183" s="53" t="s">
        <v>175</v>
      </c>
      <c r="C183" s="41" t="s">
        <v>177</v>
      </c>
      <c r="D183" s="54">
        <f>(64.7+9.68)*(10.764)</f>
        <v>800.62631999999985</v>
      </c>
      <c r="E183" s="41">
        <v>0</v>
      </c>
      <c r="F183" s="41">
        <f t="shared" ref="F183:F184" si="12">D183*(($F$169)+1)+(IF(E183&lt;101,E183,IF(E183&lt;201,E183/2,IF(E183&lt;=301,E183/3,E183/4))))</f>
        <v>1200.9394799999998</v>
      </c>
      <c r="G183" s="83" t="str">
        <f>A182</f>
        <v>14th, 16th to 21st, 23rd to 28th, 30th to 34th &amp; 37th Floor</v>
      </c>
      <c r="H183" s="84"/>
      <c r="K183" s="35"/>
      <c r="N183" s="35"/>
    </row>
    <row r="184" spans="1:14" s="36" customFormat="1" ht="21" customHeight="1" x14ac:dyDescent="0.25">
      <c r="A184" s="41">
        <f>A183+1</f>
        <v>2</v>
      </c>
      <c r="B184" s="53" t="s">
        <v>175</v>
      </c>
      <c r="C184" s="41" t="s">
        <v>177</v>
      </c>
      <c r="D184" s="54">
        <f>(64.7+9.68)*(10.764)</f>
        <v>800.62631999999985</v>
      </c>
      <c r="E184" s="41">
        <v>0</v>
      </c>
      <c r="F184" s="41">
        <f t="shared" si="12"/>
        <v>1200.9394799999998</v>
      </c>
      <c r="G184" s="85"/>
      <c r="H184" s="86"/>
      <c r="I184" s="35"/>
      <c r="N184" s="35"/>
    </row>
    <row r="185" spans="1:14" s="36" customFormat="1" ht="24.75" customHeight="1" x14ac:dyDescent="0.25">
      <c r="A185" s="41">
        <f>A184+1</f>
        <v>3</v>
      </c>
      <c r="B185" s="53" t="s">
        <v>175</v>
      </c>
      <c r="C185" s="41" t="s">
        <v>177</v>
      </c>
      <c r="D185" s="54">
        <f>(64.69+9.69)*(10.764)</f>
        <v>800.62631999999985</v>
      </c>
      <c r="E185" s="41">
        <v>0</v>
      </c>
      <c r="F185" s="41">
        <f>D185*(($F$169)+1)+(IF(E185&lt;101,E185,IF(E185&lt;201,E185/2,IF(E185&lt;=301,E185/3,E185/4))))</f>
        <v>1200.9394799999998</v>
      </c>
      <c r="G185" s="85"/>
      <c r="H185" s="86"/>
      <c r="I185" s="35"/>
      <c r="N185" s="35"/>
    </row>
    <row r="186" spans="1:14" s="36" customFormat="1" ht="31.5" customHeight="1" x14ac:dyDescent="0.25">
      <c r="A186" s="41">
        <f>A185+1</f>
        <v>4</v>
      </c>
      <c r="B186" s="53" t="s">
        <v>175</v>
      </c>
      <c r="C186" s="41" t="s">
        <v>177</v>
      </c>
      <c r="D186" s="54">
        <f>(64.69+9.69)*(10.764)</f>
        <v>800.62631999999985</v>
      </c>
      <c r="E186" s="41">
        <v>0</v>
      </c>
      <c r="F186" s="41">
        <f>D186*(($F$169)+1)+(IF(E186&lt;101,E186,IF(E186&lt;201,E186/2,IF(E186&lt;=301,E186/3,E186/4))))</f>
        <v>1200.9394799999998</v>
      </c>
      <c r="G186" s="85"/>
      <c r="H186" s="86"/>
      <c r="I186" s="35"/>
      <c r="N186" s="35"/>
    </row>
    <row r="187" spans="1:14" s="36" customFormat="1" x14ac:dyDescent="0.25">
      <c r="A187" s="131" t="s">
        <v>259</v>
      </c>
      <c r="B187" s="132"/>
      <c r="C187" s="132"/>
      <c r="D187" s="132"/>
      <c r="E187" s="132"/>
      <c r="F187" s="132"/>
      <c r="G187" s="132"/>
      <c r="H187" s="133"/>
      <c r="I187" s="35">
        <v>4</v>
      </c>
    </row>
    <row r="188" spans="1:14" s="36" customFormat="1" ht="15.75" customHeight="1" x14ac:dyDescent="0.25">
      <c r="A188" s="41">
        <v>1</v>
      </c>
      <c r="B188" s="53" t="s">
        <v>175</v>
      </c>
      <c r="C188" s="41" t="s">
        <v>177</v>
      </c>
      <c r="D188" s="54">
        <f>(64.7+9.68)*(10.764)</f>
        <v>800.62631999999985</v>
      </c>
      <c r="E188" s="41">
        <v>0</v>
      </c>
      <c r="F188" s="41">
        <f>D188*(($F$169)+1)+(IF(E188&lt;101,E188,IF(E188&lt;201,E188/2,IF(E188&lt;=301,E188/3,E188/4))))</f>
        <v>1200.9394799999998</v>
      </c>
      <c r="G188" s="83" t="str">
        <f>A187</f>
        <v>7th, 15th, 22nd &amp; 29th Floor</v>
      </c>
      <c r="H188" s="84"/>
      <c r="I188" s="35"/>
    </row>
    <row r="189" spans="1:14" s="36" customFormat="1" ht="15.75" customHeight="1" x14ac:dyDescent="0.25">
      <c r="A189" s="41">
        <f>A188+1</f>
        <v>2</v>
      </c>
      <c r="B189" s="53" t="s">
        <v>175</v>
      </c>
      <c r="C189" s="41" t="s">
        <v>177</v>
      </c>
      <c r="D189" s="54">
        <f>(64.7+9.68)*(10.764)</f>
        <v>800.62631999999985</v>
      </c>
      <c r="E189" s="41">
        <v>0</v>
      </c>
      <c r="F189" s="41">
        <f>D189*(($F$169)+1)+(IF(E189&lt;101,E189,IF(E189&lt;201,E189/2,IF(E189&lt;=301,E189/3,E189/4))))</f>
        <v>1200.9394799999998</v>
      </c>
      <c r="G189" s="85"/>
      <c r="H189" s="86"/>
      <c r="I189" s="35"/>
    </row>
    <row r="190" spans="1:14" s="36" customFormat="1" ht="15.75" customHeight="1" x14ac:dyDescent="0.25">
      <c r="A190" s="41">
        <f t="shared" ref="A190:A191" si="13">A189+1</f>
        <v>3</v>
      </c>
      <c r="B190" s="53" t="s">
        <v>179</v>
      </c>
      <c r="C190" s="129" t="s">
        <v>178</v>
      </c>
      <c r="D190" s="129"/>
      <c r="E190" s="129"/>
      <c r="F190" s="129"/>
      <c r="G190" s="85"/>
      <c r="H190" s="86"/>
      <c r="I190" s="35"/>
    </row>
    <row r="191" spans="1:14" s="36" customFormat="1" ht="15.75" customHeight="1" x14ac:dyDescent="0.25">
      <c r="A191" s="41">
        <f t="shared" si="13"/>
        <v>4</v>
      </c>
      <c r="B191" s="53" t="s">
        <v>175</v>
      </c>
      <c r="C191" s="41" t="s">
        <v>261</v>
      </c>
      <c r="D191" s="54">
        <f>(53.82+9.69)*(10.764)</f>
        <v>683.62163999999996</v>
      </c>
      <c r="E191" s="41">
        <v>0</v>
      </c>
      <c r="F191" s="41">
        <f>D191*(($F$169)+1)+(IF(E191&lt;101,E191,IF(E191&lt;201,E191/2,IF(E191&lt;=301,E191/3,E191/4))))</f>
        <v>1025.43246</v>
      </c>
      <c r="G191" s="87"/>
      <c r="H191" s="88"/>
      <c r="I191" s="35"/>
    </row>
    <row r="192" spans="1:14" s="36" customFormat="1" ht="30.75" hidden="1" customHeight="1" x14ac:dyDescent="0.25">
      <c r="A192" s="131" t="s">
        <v>260</v>
      </c>
      <c r="B192" s="132"/>
      <c r="C192" s="132"/>
      <c r="D192" s="132"/>
      <c r="E192" s="132"/>
      <c r="F192" s="132"/>
      <c r="G192" s="132"/>
      <c r="H192" s="133"/>
      <c r="I192" s="35"/>
    </row>
    <row r="193" spans="1:13" s="36" customFormat="1" ht="15.75" hidden="1" customHeight="1" x14ac:dyDescent="0.25">
      <c r="A193" s="61">
        <v>1</v>
      </c>
      <c r="B193" s="53" t="s">
        <v>175</v>
      </c>
      <c r="C193" s="41" t="s">
        <v>177</v>
      </c>
      <c r="D193" s="54">
        <f>(64.7+9.68)*(10.764)</f>
        <v>800.62631999999985</v>
      </c>
      <c r="E193" s="41">
        <v>0</v>
      </c>
      <c r="F193" s="41">
        <f>D193*(($F$169)+1)+(IF(E193&lt;101,E193,IF(E193&lt;201,E193/2,IF(E193&lt;=301,E193/3,E193/4))))</f>
        <v>1200.9394799999998</v>
      </c>
      <c r="G193" s="211" t="str">
        <f>A192</f>
        <v>36th Floor as per Builder</v>
      </c>
      <c r="H193" s="212"/>
      <c r="I193" s="35"/>
    </row>
    <row r="194" spans="1:13" s="36" customFormat="1" ht="15.75" hidden="1" customHeight="1" x14ac:dyDescent="0.25">
      <c r="A194" s="61">
        <f>A193+1</f>
        <v>2</v>
      </c>
      <c r="B194" s="53" t="s">
        <v>175</v>
      </c>
      <c r="C194" s="41" t="s">
        <v>177</v>
      </c>
      <c r="D194" s="54">
        <f>(64.7+9.68)*(10.764)</f>
        <v>800.62631999999985</v>
      </c>
      <c r="E194" s="41">
        <v>0</v>
      </c>
      <c r="F194" s="41">
        <f>D194*(($F$169)+1)+(IF(E194&lt;101,E194,IF(E194&lt;201,E194/2,IF(E194&lt;=301,E194/3,E194/4))))</f>
        <v>1200.9394799999998</v>
      </c>
      <c r="G194" s="213"/>
      <c r="H194" s="214"/>
      <c r="I194" s="35"/>
    </row>
    <row r="195" spans="1:13" s="36" customFormat="1" ht="15.75" hidden="1" customHeight="1" x14ac:dyDescent="0.25">
      <c r="A195" s="61">
        <f t="shared" ref="A195:A196" si="14">A194+1</f>
        <v>3</v>
      </c>
      <c r="B195" s="217" t="s">
        <v>178</v>
      </c>
      <c r="C195" s="218"/>
      <c r="D195" s="218"/>
      <c r="E195" s="218"/>
      <c r="F195" s="219"/>
      <c r="G195" s="213"/>
      <c r="H195" s="214"/>
      <c r="I195" s="35"/>
    </row>
    <row r="196" spans="1:13" s="36" customFormat="1" ht="15.75" hidden="1" customHeight="1" x14ac:dyDescent="0.25">
      <c r="A196" s="61">
        <f t="shared" si="14"/>
        <v>4</v>
      </c>
      <c r="B196" s="53" t="s">
        <v>175</v>
      </c>
      <c r="C196" s="41" t="s">
        <v>177</v>
      </c>
      <c r="D196" s="54">
        <f>(64.69+9.69)*(10.764)</f>
        <v>800.62631999999985</v>
      </c>
      <c r="E196" s="41">
        <v>0</v>
      </c>
      <c r="F196" s="41">
        <f>D196*(($F$169)+1)+(IF(E196&lt;101,E196,IF(E196&lt;201,E196/2,IF(E196&lt;=301,E196/3,E196/4))))</f>
        <v>1200.9394799999998</v>
      </c>
      <c r="G196" s="215"/>
      <c r="H196" s="216"/>
      <c r="I196" s="35"/>
    </row>
    <row r="197" spans="1:13" s="36" customFormat="1" x14ac:dyDescent="0.25">
      <c r="A197" s="131" t="s">
        <v>258</v>
      </c>
      <c r="B197" s="132"/>
      <c r="C197" s="132"/>
      <c r="D197" s="132"/>
      <c r="E197" s="132"/>
      <c r="F197" s="132"/>
      <c r="G197" s="132"/>
      <c r="H197" s="133"/>
      <c r="I197" s="35">
        <v>1</v>
      </c>
    </row>
    <row r="198" spans="1:13" s="36" customFormat="1" ht="15.75" customHeight="1" x14ac:dyDescent="0.25">
      <c r="A198" s="61">
        <v>1</v>
      </c>
      <c r="B198" s="61" t="s">
        <v>175</v>
      </c>
      <c r="C198" s="61" t="s">
        <v>177</v>
      </c>
      <c r="D198" s="54">
        <f>(64.7+9.68)*(10.764)</f>
        <v>800.62631999999985</v>
      </c>
      <c r="E198" s="61">
        <v>0</v>
      </c>
      <c r="F198" s="61">
        <f>D198*(($F$169)+1)+(IF(E198&lt;101,E198,IF(E198&lt;201,E198/2,IF(E198&lt;=301,E198/3,E198/4))))</f>
        <v>1200.9394799999998</v>
      </c>
      <c r="G198" s="211" t="str">
        <f>A197</f>
        <v>38th Floor</v>
      </c>
      <c r="H198" s="212"/>
      <c r="I198" s="35"/>
    </row>
    <row r="199" spans="1:13" s="36" customFormat="1" ht="15.75" customHeight="1" x14ac:dyDescent="0.25">
      <c r="A199" s="61">
        <f>A198+1</f>
        <v>2</v>
      </c>
      <c r="B199" s="61" t="s">
        <v>175</v>
      </c>
      <c r="C199" s="61" t="s">
        <v>177</v>
      </c>
      <c r="D199" s="54">
        <f>(64.7+9.68)*(10.764)</f>
        <v>800.62631999999985</v>
      </c>
      <c r="E199" s="61">
        <v>0</v>
      </c>
      <c r="F199" s="61">
        <f>D199*(($F$169)+1)+(IF(E199&lt;101,E199,IF(E199&lt;201,E199/2,IF(E199&lt;=301,E199/3,E199/4))))</f>
        <v>1200.9394799999998</v>
      </c>
      <c r="G199" s="213"/>
      <c r="H199" s="214"/>
      <c r="I199" s="35"/>
    </row>
    <row r="200" spans="1:13" s="36" customFormat="1" ht="64.900000000000006" customHeight="1" x14ac:dyDescent="0.25">
      <c r="A200" s="61">
        <f t="shared" ref="A200:A201" si="15">A199+1</f>
        <v>3</v>
      </c>
      <c r="B200" s="61" t="s">
        <v>175</v>
      </c>
      <c r="C200" s="61" t="s">
        <v>263</v>
      </c>
      <c r="D200" s="54">
        <f>(129.4+19.37)*(10.764)</f>
        <v>1601.3602800000001</v>
      </c>
      <c r="E200" s="61">
        <v>0</v>
      </c>
      <c r="F200" s="61">
        <f>D200*(($F$169)+1)+(IF(E200&lt;101,E200,IF(E200&lt;201,E200/2,IF(E200&lt;=301,E200/3,E200/4))))</f>
        <v>2402.0404200000003</v>
      </c>
      <c r="G200" s="213"/>
      <c r="H200" s="214"/>
      <c r="I200" s="35"/>
    </row>
    <row r="201" spans="1:13" s="36" customFormat="1" ht="62.45" customHeight="1" x14ac:dyDescent="0.25">
      <c r="A201" s="61">
        <f t="shared" si="15"/>
        <v>4</v>
      </c>
      <c r="B201" s="61" t="s">
        <v>175</v>
      </c>
      <c r="C201" s="61" t="s">
        <v>263</v>
      </c>
      <c r="D201" s="54">
        <f>(129.4+19.37)*(10.764)</f>
        <v>1601.3602800000001</v>
      </c>
      <c r="E201" s="61">
        <v>0</v>
      </c>
      <c r="F201" s="61">
        <f>D201*(($F$169)+1)+(IF(E201&lt;101,E201,IF(E201&lt;201,E201/2,IF(E201&lt;=301,E201/3,E201/4))))</f>
        <v>2402.0404200000003</v>
      </c>
      <c r="G201" s="215"/>
      <c r="H201" s="216"/>
      <c r="I201" s="35"/>
    </row>
    <row r="202" spans="1:13" s="36" customFormat="1" x14ac:dyDescent="0.25">
      <c r="A202" s="131" t="s">
        <v>262</v>
      </c>
      <c r="B202" s="132"/>
      <c r="C202" s="132"/>
      <c r="D202" s="132"/>
      <c r="E202" s="132"/>
      <c r="F202" s="132"/>
      <c r="G202" s="132"/>
      <c r="H202" s="133"/>
      <c r="I202" s="35">
        <v>1</v>
      </c>
    </row>
    <row r="203" spans="1:13" s="36" customFormat="1" ht="15.75" customHeight="1" x14ac:dyDescent="0.25">
      <c r="A203" s="61">
        <v>1</v>
      </c>
      <c r="B203" s="53" t="s">
        <v>175</v>
      </c>
      <c r="C203" s="41" t="s">
        <v>177</v>
      </c>
      <c r="D203" s="54">
        <f>(64.7+9.68)*(10.764)</f>
        <v>800.62631999999985</v>
      </c>
      <c r="E203" s="41">
        <v>0</v>
      </c>
      <c r="F203" s="41">
        <f>D203*(($F$169)+1)+(IF(E203&lt;101,E203,IF(E203&lt;201,E203/2,IF(E203&lt;=301,E203/3,E203/4))))</f>
        <v>1200.9394799999998</v>
      </c>
      <c r="G203" s="211" t="str">
        <f>A202</f>
        <v>39th Floor</v>
      </c>
      <c r="H203" s="212"/>
      <c r="I203" s="35"/>
    </row>
    <row r="204" spans="1:13" s="36" customFormat="1" ht="15.75" customHeight="1" x14ac:dyDescent="0.25">
      <c r="A204" s="61">
        <f>A203+1</f>
        <v>2</v>
      </c>
      <c r="B204" s="53" t="s">
        <v>175</v>
      </c>
      <c r="C204" s="41" t="s">
        <v>177</v>
      </c>
      <c r="D204" s="54">
        <f>(64.7+9.68)*(10.764)</f>
        <v>800.62631999999985</v>
      </c>
      <c r="E204" s="41">
        <v>0</v>
      </c>
      <c r="F204" s="41">
        <f>D204*(($F$169)+1)+(IF(E204&lt;101,E204,IF(E204&lt;201,E204/2,IF(E204&lt;=301,E204/3,E204/4))))</f>
        <v>1200.9394799999998</v>
      </c>
      <c r="G204" s="213"/>
      <c r="H204" s="214"/>
      <c r="I204" s="35"/>
    </row>
    <row r="205" spans="1:13" s="36" customFormat="1" ht="15.75" customHeight="1" x14ac:dyDescent="0.25">
      <c r="A205" s="61">
        <f t="shared" ref="A205:A206" si="16">A204+1</f>
        <v>3</v>
      </c>
      <c r="B205" s="53" t="s">
        <v>246</v>
      </c>
      <c r="C205" s="106" t="s">
        <v>264</v>
      </c>
      <c r="D205" s="107"/>
      <c r="E205" s="107"/>
      <c r="F205" s="108"/>
      <c r="G205" s="213"/>
      <c r="H205" s="214"/>
      <c r="I205" s="35"/>
    </row>
    <row r="206" spans="1:13" s="36" customFormat="1" ht="15.75" customHeight="1" x14ac:dyDescent="0.25">
      <c r="A206" s="61">
        <f t="shared" si="16"/>
        <v>4</v>
      </c>
      <c r="B206" s="53" t="s">
        <v>246</v>
      </c>
      <c r="C206" s="106" t="s">
        <v>264</v>
      </c>
      <c r="D206" s="107"/>
      <c r="E206" s="107"/>
      <c r="F206" s="108"/>
      <c r="G206" s="215"/>
      <c r="H206" s="216"/>
      <c r="I206" s="35"/>
    </row>
    <row r="207" spans="1:13" s="36" customFormat="1" x14ac:dyDescent="0.25">
      <c r="A207" s="128" t="s">
        <v>265</v>
      </c>
      <c r="B207" s="128"/>
      <c r="C207" s="128"/>
      <c r="D207" s="128"/>
      <c r="E207" s="128"/>
      <c r="F207" s="128"/>
      <c r="G207" s="128"/>
      <c r="H207" s="128"/>
      <c r="I207" s="35"/>
      <c r="L207" s="99"/>
      <c r="M207" s="99"/>
    </row>
    <row r="208" spans="1:13" s="36" customFormat="1" ht="32.25" customHeight="1" x14ac:dyDescent="0.25">
      <c r="A208" s="103" t="s">
        <v>172</v>
      </c>
      <c r="B208" s="104"/>
      <c r="C208" s="104"/>
      <c r="D208" s="104"/>
      <c r="E208" s="104"/>
      <c r="F208" s="104"/>
      <c r="G208" s="104"/>
      <c r="H208" s="105"/>
      <c r="I208" s="56"/>
      <c r="J208" s="35"/>
    </row>
    <row r="209" spans="1:14" s="36" customFormat="1" ht="15.75" customHeight="1" x14ac:dyDescent="0.25">
      <c r="A209" s="41">
        <v>1</v>
      </c>
      <c r="B209" s="53" t="s">
        <v>175</v>
      </c>
      <c r="C209" s="41" t="s">
        <v>173</v>
      </c>
      <c r="D209" s="54">
        <f>(54.92)*10.764</f>
        <v>591.15887999999995</v>
      </c>
      <c r="E209" s="41">
        <v>0</v>
      </c>
      <c r="F209" s="41">
        <f t="shared" ref="F209:F217" si="17">D209*(($F$169)+1)+(IF(E209&lt;101,E209,IF(E209&lt;201,E209/2,IF(E209&lt;=301,E209/3,E209/4))))</f>
        <v>886.73831999999993</v>
      </c>
      <c r="G209" s="83" t="str">
        <f>A208</f>
        <v>Ground Floor For Entrance Lobby, Meter Room, Parcel Room, Fire Control, CCTV Room, Security Cabin, OWC Room &amp; Residential</v>
      </c>
      <c r="H209" s="84"/>
      <c r="I209" s="56"/>
      <c r="L209" s="99"/>
      <c r="M209" s="99"/>
      <c r="N209" s="35"/>
    </row>
    <row r="210" spans="1:14" s="36" customFormat="1" ht="15.75" customHeight="1" x14ac:dyDescent="0.25">
      <c r="A210" s="41">
        <f t="shared" ref="A210:A217" si="18">A209+1</f>
        <v>2</v>
      </c>
      <c r="B210" s="53" t="s">
        <v>175</v>
      </c>
      <c r="C210" s="41" t="s">
        <v>173</v>
      </c>
      <c r="D210" s="54">
        <f>(92.51)*10.764</f>
        <v>995.77764000000002</v>
      </c>
      <c r="E210" s="41">
        <v>0</v>
      </c>
      <c r="F210" s="41">
        <f>D210*(($F$169)+1)+(IF(E210&lt;101,E210,IF(E210&lt;201,E210/2,IF(E210&lt;=301,E210/3,E210/4))))</f>
        <v>1493.6664599999999</v>
      </c>
      <c r="G210" s="85"/>
      <c r="H210" s="86"/>
      <c r="I210" s="56"/>
      <c r="L210" s="99"/>
      <c r="M210" s="99"/>
      <c r="N210" s="35"/>
    </row>
    <row r="211" spans="1:14" s="36" customFormat="1" ht="15.75" customHeight="1" x14ac:dyDescent="0.25">
      <c r="A211" s="41">
        <f t="shared" si="18"/>
        <v>3</v>
      </c>
      <c r="B211" s="53" t="s">
        <v>175</v>
      </c>
      <c r="C211" s="41" t="s">
        <v>173</v>
      </c>
      <c r="D211" s="54">
        <f>(59.95)*10.764</f>
        <v>645.30179999999996</v>
      </c>
      <c r="E211" s="41">
        <v>0</v>
      </c>
      <c r="F211" s="41">
        <f t="shared" si="17"/>
        <v>967.95269999999994</v>
      </c>
      <c r="G211" s="85"/>
      <c r="H211" s="86"/>
      <c r="I211" s="56"/>
      <c r="L211" s="99"/>
      <c r="M211" s="99"/>
      <c r="N211" s="35"/>
    </row>
    <row r="212" spans="1:14" s="36" customFormat="1" ht="15.75" customHeight="1" x14ac:dyDescent="0.25">
      <c r="A212" s="41">
        <f t="shared" si="18"/>
        <v>4</v>
      </c>
      <c r="B212" s="53" t="s">
        <v>175</v>
      </c>
      <c r="C212" s="41" t="s">
        <v>173</v>
      </c>
      <c r="D212" s="54">
        <f>(65.47)*10.764</f>
        <v>704.71907999999996</v>
      </c>
      <c r="E212" s="41">
        <v>0</v>
      </c>
      <c r="F212" s="41">
        <f t="shared" si="17"/>
        <v>1057.07862</v>
      </c>
      <c r="G212" s="85"/>
      <c r="H212" s="86"/>
      <c r="I212" s="56"/>
      <c r="L212" s="99"/>
      <c r="M212" s="99"/>
      <c r="N212" s="35"/>
    </row>
    <row r="213" spans="1:14" s="36" customFormat="1" ht="15.75" customHeight="1" x14ac:dyDescent="0.25">
      <c r="A213" s="41">
        <f t="shared" si="18"/>
        <v>5</v>
      </c>
      <c r="B213" s="53" t="s">
        <v>175</v>
      </c>
      <c r="C213" s="41" t="s">
        <v>173</v>
      </c>
      <c r="D213" s="54">
        <f>(82.29)*10.764</f>
        <v>885.76956000000007</v>
      </c>
      <c r="E213" s="41">
        <v>0</v>
      </c>
      <c r="F213" s="41">
        <f t="shared" si="17"/>
        <v>1328.65434</v>
      </c>
      <c r="G213" s="85"/>
      <c r="H213" s="86"/>
      <c r="I213" s="56"/>
      <c r="L213" s="99"/>
      <c r="M213" s="99"/>
      <c r="N213" s="35"/>
    </row>
    <row r="214" spans="1:14" s="36" customFormat="1" ht="15.75" customHeight="1" x14ac:dyDescent="0.25">
      <c r="A214" s="41">
        <f t="shared" si="18"/>
        <v>6</v>
      </c>
      <c r="B214" s="53" t="s">
        <v>175</v>
      </c>
      <c r="C214" s="41" t="s">
        <v>173</v>
      </c>
      <c r="D214" s="54">
        <f>(36.95)*10.764</f>
        <v>397.72980000000001</v>
      </c>
      <c r="E214" s="41">
        <v>0</v>
      </c>
      <c r="F214" s="41">
        <f t="shared" si="17"/>
        <v>596.59469999999999</v>
      </c>
      <c r="G214" s="85"/>
      <c r="H214" s="86"/>
      <c r="I214" s="56"/>
      <c r="L214" s="99"/>
      <c r="M214" s="99"/>
      <c r="N214" s="35"/>
    </row>
    <row r="215" spans="1:14" s="36" customFormat="1" ht="15.75" customHeight="1" x14ac:dyDescent="0.25">
      <c r="A215" s="41">
        <f t="shared" si="18"/>
        <v>7</v>
      </c>
      <c r="B215" s="53" t="s">
        <v>175</v>
      </c>
      <c r="C215" s="41" t="s">
        <v>173</v>
      </c>
      <c r="D215" s="54">
        <f>(50.86)*10.764</f>
        <v>547.45704000000001</v>
      </c>
      <c r="E215" s="41">
        <v>0</v>
      </c>
      <c r="F215" s="41">
        <f t="shared" si="17"/>
        <v>821.18556000000001</v>
      </c>
      <c r="G215" s="85"/>
      <c r="H215" s="86"/>
      <c r="I215" s="56"/>
      <c r="L215" s="99"/>
      <c r="M215" s="99"/>
      <c r="N215" s="35"/>
    </row>
    <row r="216" spans="1:14" s="36" customFormat="1" ht="15.75" customHeight="1" x14ac:dyDescent="0.25">
      <c r="A216" s="41">
        <f t="shared" si="18"/>
        <v>8</v>
      </c>
      <c r="B216" s="53" t="s">
        <v>175</v>
      </c>
      <c r="C216" s="41" t="s">
        <v>173</v>
      </c>
      <c r="D216" s="54">
        <f>(35.61)*10.764</f>
        <v>383.30604</v>
      </c>
      <c r="E216" s="41">
        <v>0</v>
      </c>
      <c r="F216" s="41">
        <f t="shared" si="17"/>
        <v>574.95906000000002</v>
      </c>
      <c r="G216" s="85"/>
      <c r="H216" s="86"/>
      <c r="I216" s="56"/>
      <c r="L216" s="99"/>
      <c r="M216" s="99"/>
      <c r="N216" s="35"/>
    </row>
    <row r="217" spans="1:14" s="36" customFormat="1" ht="15.75" customHeight="1" x14ac:dyDescent="0.25">
      <c r="A217" s="41">
        <f t="shared" si="18"/>
        <v>9</v>
      </c>
      <c r="B217" s="53" t="s">
        <v>175</v>
      </c>
      <c r="C217" s="41" t="s">
        <v>173</v>
      </c>
      <c r="D217" s="54">
        <f>(48.88)*10.764</f>
        <v>526.14431999999999</v>
      </c>
      <c r="E217" s="41">
        <v>0</v>
      </c>
      <c r="F217" s="41">
        <f t="shared" si="17"/>
        <v>789.21648000000005</v>
      </c>
      <c r="G217" s="87"/>
      <c r="H217" s="88"/>
      <c r="I217" s="56"/>
      <c r="J217" s="57"/>
      <c r="L217" s="99"/>
      <c r="M217" s="99"/>
      <c r="N217" s="35"/>
    </row>
    <row r="218" spans="1:14" s="36" customFormat="1" x14ac:dyDescent="0.25">
      <c r="A218" s="89" t="s">
        <v>174</v>
      </c>
      <c r="B218" s="89"/>
      <c r="C218" s="89"/>
      <c r="D218" s="89"/>
      <c r="E218" s="89"/>
      <c r="F218" s="89"/>
      <c r="G218" s="89"/>
      <c r="H218" s="89"/>
      <c r="I218" s="56"/>
      <c r="L218" s="99"/>
      <c r="M218" s="99"/>
    </row>
    <row r="219" spans="1:14" s="36" customFormat="1" x14ac:dyDescent="0.25">
      <c r="A219" s="128" t="s">
        <v>230</v>
      </c>
      <c r="B219" s="128"/>
      <c r="C219" s="128"/>
      <c r="D219" s="128"/>
      <c r="E219" s="128"/>
      <c r="F219" s="128"/>
      <c r="G219" s="128"/>
      <c r="H219" s="128"/>
      <c r="I219" s="35"/>
      <c r="J219" s="57"/>
      <c r="L219" s="99"/>
      <c r="M219" s="99"/>
    </row>
    <row r="220" spans="1:14" s="36" customFormat="1" x14ac:dyDescent="0.25">
      <c r="A220" s="89" t="s">
        <v>176</v>
      </c>
      <c r="B220" s="89"/>
      <c r="C220" s="89"/>
      <c r="D220" s="89"/>
      <c r="E220" s="89"/>
      <c r="F220" s="89"/>
      <c r="G220" s="89"/>
      <c r="H220" s="89"/>
      <c r="I220" s="35">
        <v>1</v>
      </c>
      <c r="J220" s="57"/>
      <c r="L220" s="99"/>
      <c r="M220" s="99"/>
    </row>
    <row r="221" spans="1:14" s="36" customFormat="1" ht="15.75" customHeight="1" x14ac:dyDescent="0.25">
      <c r="A221" s="41">
        <v>1</v>
      </c>
      <c r="B221" s="53" t="s">
        <v>175</v>
      </c>
      <c r="C221" s="41" t="s">
        <v>200</v>
      </c>
      <c r="D221" s="54">
        <f>(141.69+10.9)*10.764</f>
        <v>1642.47876</v>
      </c>
      <c r="E221" s="41">
        <v>0</v>
      </c>
      <c r="F221" s="41">
        <f t="shared" ref="F221:F222" si="19">D221*(($F$169)+1)+(IF(E221&lt;101,E221,IF(E221&lt;201,E221/2,IF(E221&lt;=301,E221/3,E221/4))))</f>
        <v>2463.7181399999999</v>
      </c>
      <c r="G221" s="83" t="str">
        <f>A220</f>
        <v>1st Floor For Residential</v>
      </c>
      <c r="H221" s="84"/>
      <c r="I221" s="35"/>
      <c r="J221" s="57"/>
      <c r="N221" s="35"/>
    </row>
    <row r="222" spans="1:14" s="36" customFormat="1" ht="15.75" customHeight="1" x14ac:dyDescent="0.25">
      <c r="A222" s="41">
        <f>A221+1</f>
        <v>2</v>
      </c>
      <c r="B222" s="53" t="s">
        <v>175</v>
      </c>
      <c r="C222" s="41" t="s">
        <v>200</v>
      </c>
      <c r="D222" s="54">
        <f>(145.31+11.93)*10.764</f>
        <v>1692.5313599999999</v>
      </c>
      <c r="E222" s="41">
        <v>0</v>
      </c>
      <c r="F222" s="41">
        <f t="shared" si="19"/>
        <v>2538.7970399999999</v>
      </c>
      <c r="G222" s="85"/>
      <c r="H222" s="86"/>
      <c r="I222" s="35"/>
      <c r="J222" s="57"/>
      <c r="N222" s="35"/>
    </row>
    <row r="223" spans="1:14" s="36" customFormat="1" ht="15.75" customHeight="1" x14ac:dyDescent="0.25">
      <c r="A223" s="41">
        <f>A222+1</f>
        <v>3</v>
      </c>
      <c r="B223" s="53" t="s">
        <v>175</v>
      </c>
      <c r="C223" s="41" t="s">
        <v>200</v>
      </c>
      <c r="D223" s="54">
        <f>(112.34+10.34)*10.764</f>
        <v>1320.5275200000001</v>
      </c>
      <c r="E223" s="41">
        <v>0</v>
      </c>
      <c r="F223" s="41">
        <f>D223*(($F$169)+1)+(IF(E223&lt;101,E223,IF(E223&lt;201,E223/2,IF(E223&lt;=301,E223/3,E223/4))))</f>
        <v>1980.7912800000001</v>
      </c>
      <c r="G223" s="87"/>
      <c r="H223" s="88"/>
      <c r="I223" s="35"/>
      <c r="J223" s="57"/>
      <c r="N223" s="35"/>
    </row>
    <row r="224" spans="1:14" s="36" customFormat="1" x14ac:dyDescent="0.25">
      <c r="A224" s="89" t="s">
        <v>248</v>
      </c>
      <c r="B224" s="89"/>
      <c r="C224" s="89"/>
      <c r="D224" s="89"/>
      <c r="E224" s="89"/>
      <c r="F224" s="89"/>
      <c r="G224" s="89"/>
      <c r="H224" s="89"/>
      <c r="I224" s="35" t="s">
        <v>280</v>
      </c>
      <c r="J224" s="57"/>
      <c r="L224" s="99"/>
      <c r="M224" s="99"/>
    </row>
    <row r="225" spans="1:14" s="36" customFormat="1" ht="15.75" customHeight="1" x14ac:dyDescent="0.25">
      <c r="A225" s="41">
        <v>1</v>
      </c>
      <c r="B225" s="53" t="s">
        <v>175</v>
      </c>
      <c r="C225" s="41" t="s">
        <v>200</v>
      </c>
      <c r="D225" s="54">
        <f>(141.69+10.9)*10.764</f>
        <v>1642.47876</v>
      </c>
      <c r="E225" s="41">
        <v>0</v>
      </c>
      <c r="F225" s="41">
        <f t="shared" ref="F225" si="20">D225*(($F$169)+1)+(IF(E225&lt;101,E225,IF(E225&lt;201,E225/2,IF(E225&lt;=301,E225/3,E225/4))))</f>
        <v>2463.7181399999999</v>
      </c>
      <c r="G225" s="83" t="str">
        <f>A224</f>
        <v>2nd to 6th, 8th to 12th Floor</v>
      </c>
      <c r="H225" s="84"/>
      <c r="I225" s="35"/>
      <c r="N225" s="35"/>
    </row>
    <row r="226" spans="1:14" s="36" customFormat="1" ht="15.75" customHeight="1" x14ac:dyDescent="0.25">
      <c r="A226" s="41">
        <f>A225+1</f>
        <v>2</v>
      </c>
      <c r="B226" s="53" t="s">
        <v>175</v>
      </c>
      <c r="C226" s="41" t="s">
        <v>200</v>
      </c>
      <c r="D226" s="54">
        <f>(145.31+11.93)*10.764</f>
        <v>1692.5313599999999</v>
      </c>
      <c r="E226" s="41">
        <v>0</v>
      </c>
      <c r="F226" s="41">
        <f t="shared" ref="F226" si="21">D226*(($F$169)+1)+(IF(E226&lt;101,E226,IF(E226&lt;201,E226/2,IF(E226&lt;=301,E226/3,E226/4))))</f>
        <v>2538.7970399999999</v>
      </c>
      <c r="G226" s="85"/>
      <c r="H226" s="86"/>
      <c r="I226" s="35"/>
      <c r="N226" s="35"/>
    </row>
    <row r="227" spans="1:14" s="36" customFormat="1" ht="15.75" customHeight="1" x14ac:dyDescent="0.25">
      <c r="A227" s="41">
        <f>A226+1</f>
        <v>3</v>
      </c>
      <c r="B227" s="53" t="s">
        <v>175</v>
      </c>
      <c r="C227" s="41" t="s">
        <v>200</v>
      </c>
      <c r="D227" s="54">
        <f>(112.34+10.34)*10.764</f>
        <v>1320.5275200000001</v>
      </c>
      <c r="E227" s="41">
        <v>0</v>
      </c>
      <c r="F227" s="41">
        <f>D227*(($F$169)+1)+(IF(E227&lt;101,E227,IF(E227&lt;201,E227/2,IF(E227&lt;=301,E227/3,E227/4))))</f>
        <v>1980.7912800000001</v>
      </c>
      <c r="G227" s="87"/>
      <c r="H227" s="88"/>
      <c r="I227" s="35"/>
      <c r="N227" s="35"/>
    </row>
    <row r="228" spans="1:14" s="36" customFormat="1" x14ac:dyDescent="0.25">
      <c r="A228" s="89" t="s">
        <v>267</v>
      </c>
      <c r="B228" s="89"/>
      <c r="C228" s="89"/>
      <c r="D228" s="89"/>
      <c r="E228" s="89"/>
      <c r="F228" s="89"/>
      <c r="G228" s="89"/>
      <c r="H228" s="89"/>
      <c r="I228" s="35">
        <f>1+6+6+2</f>
        <v>15</v>
      </c>
      <c r="J228" s="57"/>
      <c r="L228" s="99"/>
      <c r="M228" s="99"/>
    </row>
    <row r="229" spans="1:14" s="36" customFormat="1" x14ac:dyDescent="0.25">
      <c r="A229" s="41">
        <v>1</v>
      </c>
      <c r="B229" s="53" t="s">
        <v>175</v>
      </c>
      <c r="C229" s="41" t="s">
        <v>200</v>
      </c>
      <c r="D229" s="54">
        <f>(141.69+10.9)*10.764</f>
        <v>1642.47876</v>
      </c>
      <c r="E229" s="41">
        <v>0</v>
      </c>
      <c r="F229" s="41">
        <f t="shared" ref="F229" si="22">D229*(($F$169)+1)+(IF(E229&lt;101,E229,IF(E229&lt;201,E229/2,IF(E229&lt;=301,E229/3,E229/4))))</f>
        <v>2463.7181399999999</v>
      </c>
      <c r="G229" s="83" t="str">
        <f>A228</f>
        <v>14th, 16th to 21st, 23rd to 28th, 30th &amp; 31st Floor</v>
      </c>
      <c r="H229" s="84"/>
      <c r="I229" s="35"/>
      <c r="N229" s="35"/>
    </row>
    <row r="230" spans="1:14" s="36" customFormat="1" x14ac:dyDescent="0.25">
      <c r="A230" s="41">
        <f>A229+1</f>
        <v>2</v>
      </c>
      <c r="B230" s="53" t="s">
        <v>175</v>
      </c>
      <c r="C230" s="41" t="s">
        <v>200</v>
      </c>
      <c r="D230" s="54">
        <f>(145.31+11.93)*10.764</f>
        <v>1692.5313599999999</v>
      </c>
      <c r="E230" s="41">
        <v>0</v>
      </c>
      <c r="F230" s="41">
        <f t="shared" ref="F230" si="23">D230*(($F$169)+1)+(IF(E230&lt;101,E230,IF(E230&lt;201,E230/2,IF(E230&lt;=301,E230/3,E230/4))))</f>
        <v>2538.7970399999999</v>
      </c>
      <c r="G230" s="85"/>
      <c r="H230" s="86"/>
      <c r="I230" s="35"/>
      <c r="N230" s="35"/>
    </row>
    <row r="231" spans="1:14" s="36" customFormat="1" x14ac:dyDescent="0.25">
      <c r="A231" s="41">
        <f>A230+1</f>
        <v>3</v>
      </c>
      <c r="B231" s="53" t="s">
        <v>175</v>
      </c>
      <c r="C231" s="41" t="s">
        <v>200</v>
      </c>
      <c r="D231" s="54">
        <f>(112.34+10.34)*10.764</f>
        <v>1320.5275200000001</v>
      </c>
      <c r="E231" s="41">
        <v>0</v>
      </c>
      <c r="F231" s="41">
        <f>D231*(($F$169)+1)+(IF(E231&lt;101,E231,IF(E231&lt;201,E231/2,IF(E231&lt;=301,E231/3,E231/4))))</f>
        <v>1980.7912800000001</v>
      </c>
      <c r="G231" s="87"/>
      <c r="H231" s="88"/>
      <c r="I231" s="35"/>
      <c r="N231" s="35"/>
    </row>
    <row r="232" spans="1:14" s="36" customFormat="1" x14ac:dyDescent="0.25">
      <c r="A232" s="89" t="s">
        <v>268</v>
      </c>
      <c r="B232" s="89"/>
      <c r="C232" s="89"/>
      <c r="D232" s="89"/>
      <c r="E232" s="89"/>
      <c r="F232" s="89"/>
      <c r="G232" s="89"/>
      <c r="H232" s="89"/>
      <c r="I232" s="35">
        <v>4</v>
      </c>
      <c r="L232" s="99"/>
      <c r="M232" s="99"/>
    </row>
    <row r="233" spans="1:14" s="36" customFormat="1" ht="15.75" customHeight="1" x14ac:dyDescent="0.25">
      <c r="A233" s="41">
        <v>1</v>
      </c>
      <c r="B233" s="53" t="s">
        <v>175</v>
      </c>
      <c r="C233" s="41" t="s">
        <v>200</v>
      </c>
      <c r="D233" s="54">
        <f>(141.69+10.9)*10.764</f>
        <v>1642.47876</v>
      </c>
      <c r="E233" s="41">
        <v>0</v>
      </c>
      <c r="F233" s="41">
        <f t="shared" ref="F233" si="24">D233*(($F$169)+1)+(IF(E233&lt;101,E233,IF(E233&lt;201,E233/2,IF(E233&lt;=301,E233/3,E233/4))))</f>
        <v>2463.7181399999999</v>
      </c>
      <c r="G233" s="83" t="str">
        <f>A232</f>
        <v>7th, 15th, 22nd, 29th Floor</v>
      </c>
      <c r="H233" s="84"/>
      <c r="I233" s="35"/>
      <c r="N233" s="35"/>
    </row>
    <row r="234" spans="1:14" s="36" customFormat="1" ht="15.75" customHeight="1" x14ac:dyDescent="0.25">
      <c r="A234" s="41">
        <f>A233+1</f>
        <v>2</v>
      </c>
      <c r="B234" s="53" t="s">
        <v>175</v>
      </c>
      <c r="C234" s="41" t="s">
        <v>200</v>
      </c>
      <c r="D234" s="54">
        <f>(145.31+11.93)*10.764</f>
        <v>1692.5313599999999</v>
      </c>
      <c r="E234" s="41">
        <v>0</v>
      </c>
      <c r="F234" s="41">
        <f t="shared" ref="F234" si="25">D234*(($F$169)+1)+(IF(E234&lt;101,E234,IF(E234&lt;201,E234/2,IF(E234&lt;=301,E234/3,E234/4))))</f>
        <v>2538.7970399999999</v>
      </c>
      <c r="G234" s="85"/>
      <c r="H234" s="86"/>
      <c r="I234" s="35"/>
      <c r="N234" s="35"/>
    </row>
    <row r="235" spans="1:14" s="36" customFormat="1" ht="15.75" customHeight="1" x14ac:dyDescent="0.25">
      <c r="A235" s="41">
        <f>A234+1</f>
        <v>3</v>
      </c>
      <c r="B235" s="53" t="s">
        <v>175</v>
      </c>
      <c r="C235" s="41" t="s">
        <v>200</v>
      </c>
      <c r="D235" s="54">
        <f>(112.34+10.34)*10.764</f>
        <v>1320.5275200000001</v>
      </c>
      <c r="E235" s="41">
        <v>0</v>
      </c>
      <c r="F235" s="41">
        <f>D235*(($F$169)+1)+(IF(E235&lt;101,E235,IF(E235&lt;201,E235/2,IF(E235&lt;=301,E235/3,E235/4))))</f>
        <v>1980.7912800000001</v>
      </c>
      <c r="G235" s="87"/>
      <c r="H235" s="88"/>
      <c r="I235" s="35"/>
      <c r="N235" s="35"/>
    </row>
    <row r="236" spans="1:14" s="36" customFormat="1" x14ac:dyDescent="0.25">
      <c r="A236" s="89" t="s">
        <v>270</v>
      </c>
      <c r="B236" s="89"/>
      <c r="C236" s="89"/>
      <c r="D236" s="89"/>
      <c r="E236" s="89"/>
      <c r="F236" s="89"/>
      <c r="G236" s="89"/>
      <c r="H236" s="89"/>
      <c r="I236" s="35">
        <f>4</f>
        <v>4</v>
      </c>
      <c r="L236" s="99"/>
      <c r="M236" s="99"/>
    </row>
    <row r="237" spans="1:14" s="36" customFormat="1" ht="15.75" customHeight="1" x14ac:dyDescent="0.25">
      <c r="A237" s="41">
        <v>1</v>
      </c>
      <c r="B237" s="53" t="s">
        <v>175</v>
      </c>
      <c r="C237" s="41" t="s">
        <v>200</v>
      </c>
      <c r="D237" s="54">
        <f>(141.69+10.9)*10.764</f>
        <v>1642.47876</v>
      </c>
      <c r="E237" s="41">
        <v>0</v>
      </c>
      <c r="F237" s="41">
        <f t="shared" ref="F237:F238" si="26">D237*(($F$169)+1)+(IF(E237&lt;101,E237,IF(E237&lt;201,E237/2,IF(E237&lt;=301,E237/3,E237/4))))</f>
        <v>2463.7181399999999</v>
      </c>
      <c r="G237" s="83" t="str">
        <f>A236</f>
        <v>32nd to 34th &amp; 37th Floor</v>
      </c>
      <c r="H237" s="84"/>
      <c r="I237" s="35"/>
      <c r="N237" s="35"/>
    </row>
    <row r="238" spans="1:14" s="36" customFormat="1" ht="15.75" customHeight="1" x14ac:dyDescent="0.25">
      <c r="A238" s="41">
        <f>A237+1</f>
        <v>2</v>
      </c>
      <c r="B238" s="53" t="s">
        <v>175</v>
      </c>
      <c r="C238" s="41" t="s">
        <v>200</v>
      </c>
      <c r="D238" s="54">
        <f>(145.31+11.93)*10.764</f>
        <v>1692.5313599999999</v>
      </c>
      <c r="E238" s="41">
        <v>0</v>
      </c>
      <c r="F238" s="41">
        <f t="shared" si="26"/>
        <v>2538.7970399999999</v>
      </c>
      <c r="G238" s="85"/>
      <c r="H238" s="86"/>
      <c r="I238" s="35"/>
      <c r="N238" s="35"/>
    </row>
    <row r="239" spans="1:14" s="36" customFormat="1" ht="15.75" customHeight="1" x14ac:dyDescent="0.25">
      <c r="A239" s="41">
        <f>A238+1</f>
        <v>3</v>
      </c>
      <c r="B239" s="53" t="s">
        <v>175</v>
      </c>
      <c r="C239" s="41" t="s">
        <v>200</v>
      </c>
      <c r="D239" s="54">
        <f>(112.34+10.34)*10.764</f>
        <v>1320.5275200000001</v>
      </c>
      <c r="E239" s="41">
        <v>0</v>
      </c>
      <c r="F239" s="41">
        <f>D239*(($F$169)+1)+(IF(E239&lt;101,E239,IF(E239&lt;201,E239/2,IF(E239&lt;=301,E239/3,E239/4))))</f>
        <v>1980.7912800000001</v>
      </c>
      <c r="G239" s="87"/>
      <c r="H239" s="88"/>
      <c r="I239" s="35"/>
      <c r="N239" s="35"/>
    </row>
    <row r="240" spans="1:14" s="36" customFormat="1" x14ac:dyDescent="0.25">
      <c r="A240" s="89" t="s">
        <v>269</v>
      </c>
      <c r="B240" s="89"/>
      <c r="C240" s="89"/>
      <c r="D240" s="89"/>
      <c r="E240" s="89"/>
      <c r="F240" s="89"/>
      <c r="G240" s="89"/>
      <c r="H240" s="89"/>
      <c r="I240" s="35">
        <v>1</v>
      </c>
      <c r="L240" s="99"/>
      <c r="M240" s="99"/>
    </row>
    <row r="241" spans="1:14" s="36" customFormat="1" ht="15.75" customHeight="1" x14ac:dyDescent="0.25">
      <c r="A241" s="41" t="s">
        <v>250</v>
      </c>
      <c r="B241" s="53" t="s">
        <v>175</v>
      </c>
      <c r="C241" s="41" t="s">
        <v>249</v>
      </c>
      <c r="D241" s="54">
        <f>(288.52+22.76)*10.764</f>
        <v>3350.6179199999997</v>
      </c>
      <c r="E241" s="41">
        <v>0</v>
      </c>
      <c r="F241" s="41">
        <f t="shared" ref="F241" si="27">D241*(($F$169)+1)+(IF(E241&lt;101,E241,IF(E241&lt;201,E241/2,IF(E241&lt;=301,E241/3,E241/4))))</f>
        <v>5025.9268799999991</v>
      </c>
      <c r="G241" s="83" t="str">
        <f>A240</f>
        <v>35th Floor</v>
      </c>
      <c r="H241" s="84"/>
      <c r="I241" s="35"/>
      <c r="N241" s="35"/>
    </row>
    <row r="242" spans="1:14" s="36" customFormat="1" ht="15.75" customHeight="1" x14ac:dyDescent="0.25">
      <c r="A242" s="41">
        <v>3</v>
      </c>
      <c r="B242" s="53" t="s">
        <v>175</v>
      </c>
      <c r="C242" s="41" t="s">
        <v>200</v>
      </c>
      <c r="D242" s="54">
        <f>(112.34+10.34)*10.764</f>
        <v>1320.5275200000001</v>
      </c>
      <c r="E242" s="41">
        <v>0</v>
      </c>
      <c r="F242" s="41">
        <f>D242*(($F$169)+1)+(IF(E242&lt;101,E242,IF(E242&lt;201,E242/2,IF(E242&lt;=301,E242/3,E242/4))))</f>
        <v>1980.7912800000001</v>
      </c>
      <c r="G242" s="87"/>
      <c r="H242" s="88"/>
      <c r="I242" s="35"/>
      <c r="N242" s="35"/>
    </row>
    <row r="243" spans="1:14" s="36" customFormat="1" x14ac:dyDescent="0.25">
      <c r="A243" s="89" t="s">
        <v>271</v>
      </c>
      <c r="B243" s="89"/>
      <c r="C243" s="89"/>
      <c r="D243" s="89"/>
      <c r="E243" s="89"/>
      <c r="F243" s="89"/>
      <c r="G243" s="89"/>
      <c r="H243" s="89"/>
      <c r="I243" s="35">
        <v>1</v>
      </c>
      <c r="L243" s="99"/>
      <c r="M243" s="99"/>
    </row>
    <row r="244" spans="1:14" s="36" customFormat="1" ht="15.75" customHeight="1" x14ac:dyDescent="0.25">
      <c r="A244" s="41">
        <v>1</v>
      </c>
      <c r="B244" s="53" t="s">
        <v>175</v>
      </c>
      <c r="C244" s="41" t="s">
        <v>200</v>
      </c>
      <c r="D244" s="54">
        <f>(141.69+10.9)*10.764</f>
        <v>1642.47876</v>
      </c>
      <c r="E244" s="41">
        <v>0</v>
      </c>
      <c r="F244" s="41">
        <f t="shared" ref="F244" si="28">D244*(($F$169)+1)+(IF(E244&lt;101,E244,IF(E244&lt;201,E244/2,IF(E244&lt;=301,E244/3,E244/4))))</f>
        <v>2463.7181399999999</v>
      </c>
      <c r="G244" s="83" t="str">
        <f>A243</f>
        <v>36th Floor</v>
      </c>
      <c r="H244" s="84"/>
      <c r="I244" s="35"/>
      <c r="N244" s="35"/>
    </row>
    <row r="245" spans="1:14" s="36" customFormat="1" ht="15.75" customHeight="1" x14ac:dyDescent="0.25">
      <c r="A245" s="41">
        <f>A244+1</f>
        <v>2</v>
      </c>
      <c r="B245" s="53" t="s">
        <v>175</v>
      </c>
      <c r="C245" s="41" t="s">
        <v>200</v>
      </c>
      <c r="D245" s="54">
        <f>(145.31+11.93)*10.764</f>
        <v>1692.5313599999999</v>
      </c>
      <c r="E245" s="41">
        <v>0</v>
      </c>
      <c r="F245" s="41">
        <f t="shared" ref="F245" si="29">D245*(($F$169)+1)+(IF(E245&lt;101,E245,IF(E245&lt;201,E245/2,IF(E245&lt;=301,E245/3,E245/4))))</f>
        <v>2538.7970399999999</v>
      </c>
      <c r="G245" s="85"/>
      <c r="H245" s="86"/>
      <c r="I245" s="35"/>
      <c r="N245" s="35"/>
    </row>
    <row r="246" spans="1:14" s="36" customFormat="1" ht="15.75" customHeight="1" x14ac:dyDescent="0.25">
      <c r="A246" s="41">
        <f>A245+1</f>
        <v>3</v>
      </c>
      <c r="B246" s="53" t="s">
        <v>175</v>
      </c>
      <c r="C246" s="41" t="s">
        <v>200</v>
      </c>
      <c r="D246" s="54">
        <f>(112.34+10.34)*10.764</f>
        <v>1320.5275200000001</v>
      </c>
      <c r="E246" s="41">
        <v>0</v>
      </c>
      <c r="F246" s="41">
        <f>D246*(($F$169)+1)+(IF(E246&lt;101,E246,IF(E246&lt;201,E246/2,IF(E246&lt;=301,E246/3,E246/4))))</f>
        <v>1980.7912800000001</v>
      </c>
      <c r="G246" s="87"/>
      <c r="H246" s="88"/>
      <c r="I246" s="35"/>
      <c r="N246" s="35"/>
    </row>
    <row r="247" spans="1:14" s="36" customFormat="1" x14ac:dyDescent="0.25">
      <c r="A247" s="89" t="s">
        <v>258</v>
      </c>
      <c r="B247" s="89"/>
      <c r="C247" s="89"/>
      <c r="D247" s="89"/>
      <c r="E247" s="89"/>
      <c r="F247" s="89"/>
      <c r="G247" s="89"/>
      <c r="H247" s="89"/>
      <c r="I247" s="35">
        <v>1</v>
      </c>
      <c r="L247" s="99"/>
      <c r="M247" s="99"/>
    </row>
    <row r="248" spans="1:14" s="36" customFormat="1" ht="59.25" customHeight="1" x14ac:dyDescent="0.25">
      <c r="A248" s="41">
        <v>1</v>
      </c>
      <c r="B248" s="53" t="s">
        <v>175</v>
      </c>
      <c r="C248" s="41" t="s">
        <v>274</v>
      </c>
      <c r="D248" s="54">
        <f>((141.69+10.9)+(141.69+10.9))*10.764</f>
        <v>3284.9575199999999</v>
      </c>
      <c r="E248" s="41">
        <v>0</v>
      </c>
      <c r="F248" s="41">
        <f t="shared" ref="F248:F249" si="30">D248*(($F$169)+1)+(IF(E248&lt;101,E248,IF(E248&lt;201,E248/2,IF(E248&lt;=301,E248/3,E248/4))))</f>
        <v>4927.4362799999999</v>
      </c>
      <c r="G248" s="83" t="str">
        <f>A247</f>
        <v>38th Floor</v>
      </c>
      <c r="H248" s="84"/>
      <c r="I248" s="35"/>
      <c r="K248" s="35"/>
      <c r="N248" s="35"/>
    </row>
    <row r="249" spans="1:14" s="36" customFormat="1" ht="63" customHeight="1" x14ac:dyDescent="0.25">
      <c r="A249" s="41">
        <f>A248+1</f>
        <v>2</v>
      </c>
      <c r="B249" s="53" t="s">
        <v>175</v>
      </c>
      <c r="C249" s="41" t="s">
        <v>275</v>
      </c>
      <c r="D249" s="54">
        <f>((145.31+11.93)+(145.31+11.93))*10.764</f>
        <v>3385.0627199999999</v>
      </c>
      <c r="E249" s="41">
        <v>0</v>
      </c>
      <c r="F249" s="41">
        <f t="shared" si="30"/>
        <v>5077.5940799999998</v>
      </c>
      <c r="G249" s="85"/>
      <c r="H249" s="86"/>
      <c r="I249" s="35"/>
      <c r="N249" s="35"/>
    </row>
    <row r="250" spans="1:14" s="36" customFormat="1" ht="15.75" customHeight="1" x14ac:dyDescent="0.25">
      <c r="A250" s="41">
        <f>A249+1</f>
        <v>3</v>
      </c>
      <c r="B250" s="53" t="s">
        <v>175</v>
      </c>
      <c r="C250" s="41" t="s">
        <v>200</v>
      </c>
      <c r="D250" s="54">
        <f>(112.34+10.34)*10.764</f>
        <v>1320.5275200000001</v>
      </c>
      <c r="E250" s="41">
        <v>0</v>
      </c>
      <c r="F250" s="41">
        <f>D250*(($F$169)+1)+(IF(E250&lt;101,E250,IF(E250&lt;201,E250/2,IF(E250&lt;=301,E250/3,E250/4))))</f>
        <v>1980.7912800000001</v>
      </c>
      <c r="G250" s="87"/>
      <c r="H250" s="88"/>
      <c r="I250" s="35"/>
      <c r="N250" s="35"/>
    </row>
    <row r="251" spans="1:14" s="36" customFormat="1" x14ac:dyDescent="0.25">
      <c r="A251" s="89" t="s">
        <v>262</v>
      </c>
      <c r="B251" s="89"/>
      <c r="C251" s="89"/>
      <c r="D251" s="89"/>
      <c r="E251" s="89"/>
      <c r="F251" s="89"/>
      <c r="G251" s="89"/>
      <c r="H251" s="89"/>
      <c r="I251" s="35">
        <v>1</v>
      </c>
      <c r="L251" s="99"/>
      <c r="M251" s="99"/>
    </row>
    <row r="252" spans="1:14" s="36" customFormat="1" ht="15.6" customHeight="1" x14ac:dyDescent="0.25">
      <c r="A252" s="41">
        <v>1</v>
      </c>
      <c r="B252" s="53" t="s">
        <v>179</v>
      </c>
      <c r="C252" s="106" t="s">
        <v>264</v>
      </c>
      <c r="D252" s="107"/>
      <c r="E252" s="107"/>
      <c r="F252" s="108"/>
      <c r="G252" s="83" t="str">
        <f>A251</f>
        <v>39th Floor</v>
      </c>
      <c r="H252" s="84"/>
      <c r="I252" s="35"/>
      <c r="N252" s="35"/>
    </row>
    <row r="253" spans="1:14" s="36" customFormat="1" ht="15.6" customHeight="1" x14ac:dyDescent="0.25">
      <c r="A253" s="41">
        <f>A252+1</f>
        <v>2</v>
      </c>
      <c r="B253" s="53" t="s">
        <v>179</v>
      </c>
      <c r="C253" s="106" t="s">
        <v>264</v>
      </c>
      <c r="D253" s="107"/>
      <c r="E253" s="107"/>
      <c r="F253" s="108"/>
      <c r="G253" s="85"/>
      <c r="H253" s="86"/>
      <c r="I253" s="35"/>
      <c r="N253" s="35"/>
    </row>
    <row r="254" spans="1:14" s="36" customFormat="1" ht="15.75" customHeight="1" x14ac:dyDescent="0.25">
      <c r="A254" s="41">
        <f>A253+1</f>
        <v>3</v>
      </c>
      <c r="B254" s="53" t="s">
        <v>175</v>
      </c>
      <c r="C254" s="41" t="s">
        <v>200</v>
      </c>
      <c r="D254" s="54">
        <f>(112.34+10.34)*10.764</f>
        <v>1320.5275200000001</v>
      </c>
      <c r="E254" s="41">
        <v>0</v>
      </c>
      <c r="F254" s="41">
        <f>D254*(($F$169)+1)+(IF(E254&lt;101,E254,IF(E254&lt;201,E254/2,IF(E254&lt;=301,E254/3,E254/4))))</f>
        <v>1980.7912800000001</v>
      </c>
      <c r="G254" s="87"/>
      <c r="H254" s="88"/>
      <c r="I254" s="35"/>
      <c r="N254" s="35"/>
    </row>
    <row r="255" spans="1:14" s="36" customFormat="1" x14ac:dyDescent="0.25">
      <c r="A255" s="128" t="s">
        <v>231</v>
      </c>
      <c r="B255" s="128"/>
      <c r="C255" s="128"/>
      <c r="D255" s="128"/>
      <c r="E255" s="128"/>
      <c r="F255" s="128"/>
      <c r="G255" s="128"/>
      <c r="H255" s="128"/>
      <c r="I255" s="35"/>
      <c r="L255" s="99"/>
      <c r="M255" s="99"/>
    </row>
    <row r="256" spans="1:14" s="36" customFormat="1" x14ac:dyDescent="0.25">
      <c r="A256" s="89" t="s">
        <v>176</v>
      </c>
      <c r="B256" s="89"/>
      <c r="C256" s="89"/>
      <c r="D256" s="89"/>
      <c r="E256" s="89"/>
      <c r="F256" s="89"/>
      <c r="G256" s="89"/>
      <c r="H256" s="89"/>
      <c r="I256" s="35">
        <v>1</v>
      </c>
      <c r="L256" s="99"/>
      <c r="M256" s="99"/>
    </row>
    <row r="257" spans="1:14" s="36" customFormat="1" ht="15.75" customHeight="1" x14ac:dyDescent="0.25">
      <c r="A257" s="41">
        <v>1</v>
      </c>
      <c r="B257" s="53" t="s">
        <v>175</v>
      </c>
      <c r="C257" s="41" t="s">
        <v>182</v>
      </c>
      <c r="D257" s="54">
        <f>(112.34+10.34)*10.764</f>
        <v>1320.5275200000001</v>
      </c>
      <c r="E257" s="41">
        <v>0</v>
      </c>
      <c r="F257" s="41">
        <f t="shared" ref="F257" si="31">D257*(($F$169)+1)+(IF(E257&lt;101,E257,IF(E257&lt;201,E257/2,IF(E257&lt;=301,E257/3,E257/4))))</f>
        <v>1980.7912800000001</v>
      </c>
      <c r="G257" s="83" t="str">
        <f>A256</f>
        <v>1st Floor For Residential</v>
      </c>
      <c r="H257" s="84"/>
      <c r="I257" s="35"/>
      <c r="N257" s="35"/>
    </row>
    <row r="258" spans="1:14" s="36" customFormat="1" ht="15.75" customHeight="1" x14ac:dyDescent="0.25">
      <c r="A258" s="41">
        <f>A257+1</f>
        <v>2</v>
      </c>
      <c r="B258" s="53" t="s">
        <v>175</v>
      </c>
      <c r="C258" s="41" t="s">
        <v>201</v>
      </c>
      <c r="D258" s="54">
        <f>(99.59+10.34)*10.764</f>
        <v>1183.2865200000001</v>
      </c>
      <c r="E258" s="41">
        <v>0</v>
      </c>
      <c r="F258" s="41">
        <f>D258*(($F$169)+1)+(IF(E258&lt;101,E258,IF(E258&lt;201,E258/2,IF(E258&lt;=301,E258/3,E258/4))))</f>
        <v>1774.9297800000002</v>
      </c>
      <c r="G258" s="85"/>
      <c r="H258" s="86"/>
      <c r="I258" s="35"/>
      <c r="N258" s="35"/>
    </row>
    <row r="259" spans="1:14" s="36" customFormat="1" ht="15.75" customHeight="1" x14ac:dyDescent="0.25">
      <c r="A259" s="41">
        <f>A258+1</f>
        <v>3</v>
      </c>
      <c r="B259" s="53" t="s">
        <v>175</v>
      </c>
      <c r="C259" s="41" t="s">
        <v>201</v>
      </c>
      <c r="D259" s="54">
        <f>(99.59+10.34)*10.764</f>
        <v>1183.2865200000001</v>
      </c>
      <c r="E259" s="41">
        <v>0</v>
      </c>
      <c r="F259" s="41">
        <f>D259*(($F$169)+1)+(IF(E259&lt;101,E259,IF(E259&lt;201,E259/2,IF(E259&lt;=301,E259/3,E259/4))))</f>
        <v>1774.9297800000002</v>
      </c>
      <c r="G259" s="87"/>
      <c r="H259" s="88"/>
      <c r="I259" s="35"/>
      <c r="N259" s="35"/>
    </row>
    <row r="260" spans="1:14" s="36" customFormat="1" x14ac:dyDescent="0.25">
      <c r="A260" s="89" t="s">
        <v>248</v>
      </c>
      <c r="B260" s="89"/>
      <c r="C260" s="89"/>
      <c r="D260" s="89"/>
      <c r="E260" s="89"/>
      <c r="F260" s="89"/>
      <c r="G260" s="89"/>
      <c r="H260" s="89"/>
      <c r="I260" s="35"/>
      <c r="L260" s="99"/>
      <c r="M260" s="99"/>
    </row>
    <row r="261" spans="1:14" s="36" customFormat="1" ht="15.75" customHeight="1" x14ac:dyDescent="0.25">
      <c r="A261" s="41">
        <v>1</v>
      </c>
      <c r="B261" s="53" t="s">
        <v>175</v>
      </c>
      <c r="C261" s="41" t="s">
        <v>182</v>
      </c>
      <c r="D261" s="54">
        <f>(112.34+10.34)*10.764</f>
        <v>1320.5275200000001</v>
      </c>
      <c r="E261" s="41">
        <v>0</v>
      </c>
      <c r="F261" s="41">
        <f t="shared" ref="F261" si="32">D261*(($F$169)+1)+(IF(E261&lt;101,E261,IF(E261&lt;201,E261/2,IF(E261&lt;=301,E261/3,E261/4))))</f>
        <v>1980.7912800000001</v>
      </c>
      <c r="G261" s="83" t="str">
        <f>A260</f>
        <v>2nd to 6th, 8th to 12th Floor</v>
      </c>
      <c r="H261" s="84"/>
      <c r="I261" s="35"/>
      <c r="N261" s="35"/>
    </row>
    <row r="262" spans="1:14" s="36" customFormat="1" ht="15.75" customHeight="1" x14ac:dyDescent="0.25">
      <c r="A262" s="41">
        <f>A261+1</f>
        <v>2</v>
      </c>
      <c r="B262" s="53" t="s">
        <v>175</v>
      </c>
      <c r="C262" s="41" t="s">
        <v>201</v>
      </c>
      <c r="D262" s="54">
        <f>(99.59+10.34)*10.764</f>
        <v>1183.2865200000001</v>
      </c>
      <c r="E262" s="41">
        <v>0</v>
      </c>
      <c r="F262" s="41">
        <f t="shared" ref="F262" si="33">D262*(($F$169)+1)+(IF(E262&lt;101,E262,IF(E262&lt;201,E262/2,IF(E262&lt;=301,E262/3,E262/4))))</f>
        <v>1774.9297800000002</v>
      </c>
      <c r="G262" s="85"/>
      <c r="H262" s="86"/>
      <c r="I262" s="35"/>
      <c r="N262" s="35"/>
    </row>
    <row r="263" spans="1:14" s="36" customFormat="1" ht="15.75" customHeight="1" x14ac:dyDescent="0.25">
      <c r="A263" s="41">
        <f>A262+1</f>
        <v>3</v>
      </c>
      <c r="B263" s="53" t="s">
        <v>175</v>
      </c>
      <c r="C263" s="41" t="s">
        <v>201</v>
      </c>
      <c r="D263" s="54">
        <f>(99.59+10.34)*10.764</f>
        <v>1183.2865200000001</v>
      </c>
      <c r="E263" s="41">
        <v>0</v>
      </c>
      <c r="F263" s="41">
        <f>D263*(($F$169)+1)+(IF(E263&lt;101,E263,IF(E263&lt;201,E263/2,IF(E263&lt;=301,E263/3,E263/4))))</f>
        <v>1774.9297800000002</v>
      </c>
      <c r="G263" s="87"/>
      <c r="H263" s="88"/>
      <c r="I263" s="35"/>
      <c r="N263" s="35"/>
    </row>
    <row r="264" spans="1:14" s="36" customFormat="1" x14ac:dyDescent="0.25">
      <c r="A264" s="89" t="s">
        <v>267</v>
      </c>
      <c r="B264" s="89"/>
      <c r="C264" s="89"/>
      <c r="D264" s="89"/>
      <c r="E264" s="89"/>
      <c r="F264" s="89"/>
      <c r="G264" s="89"/>
      <c r="H264" s="89"/>
      <c r="I264" s="35"/>
      <c r="L264" s="99"/>
      <c r="M264" s="99"/>
    </row>
    <row r="265" spans="1:14" s="36" customFormat="1" x14ac:dyDescent="0.25">
      <c r="A265" s="41">
        <v>1</v>
      </c>
      <c r="B265" s="53" t="s">
        <v>175</v>
      </c>
      <c r="C265" s="41" t="s">
        <v>182</v>
      </c>
      <c r="D265" s="54">
        <f>(112.34+10.34)*10.764</f>
        <v>1320.5275200000001</v>
      </c>
      <c r="E265" s="41">
        <v>0</v>
      </c>
      <c r="F265" s="41">
        <f t="shared" ref="F265" si="34">D265*(($F$169)+1)+(IF(E265&lt;101,E265,IF(E265&lt;201,E265/2,IF(E265&lt;=301,E265/3,E265/4))))</f>
        <v>1980.7912800000001</v>
      </c>
      <c r="G265" s="83" t="str">
        <f>A264</f>
        <v>14th, 16th to 21st, 23rd to 28th, 30th &amp; 31st Floor</v>
      </c>
      <c r="H265" s="84"/>
      <c r="I265" s="35"/>
      <c r="N265" s="35"/>
    </row>
    <row r="266" spans="1:14" s="36" customFormat="1" x14ac:dyDescent="0.25">
      <c r="A266" s="41">
        <f>A265+1</f>
        <v>2</v>
      </c>
      <c r="B266" s="53" t="s">
        <v>175</v>
      </c>
      <c r="C266" s="41" t="s">
        <v>201</v>
      </c>
      <c r="D266" s="54">
        <f>(99.59+10.34)*10.764</f>
        <v>1183.2865200000001</v>
      </c>
      <c r="E266" s="41">
        <v>0</v>
      </c>
      <c r="F266" s="41">
        <f t="shared" ref="F266" si="35">D266*(($F$169)+1)+(IF(E266&lt;101,E266,IF(E266&lt;201,E266/2,IF(E266&lt;=301,E266/3,E266/4))))</f>
        <v>1774.9297800000002</v>
      </c>
      <c r="G266" s="85"/>
      <c r="H266" s="86"/>
      <c r="I266" s="35"/>
      <c r="N266" s="35"/>
    </row>
    <row r="267" spans="1:14" s="36" customFormat="1" x14ac:dyDescent="0.25">
      <c r="A267" s="41">
        <f>A266+1</f>
        <v>3</v>
      </c>
      <c r="B267" s="53" t="s">
        <v>175</v>
      </c>
      <c r="C267" s="41" t="s">
        <v>201</v>
      </c>
      <c r="D267" s="54">
        <f>(99.59+10.34)*10.764</f>
        <v>1183.2865200000001</v>
      </c>
      <c r="E267" s="41">
        <v>0</v>
      </c>
      <c r="F267" s="41">
        <f>D267*(($F$169)+1)+(IF(E267&lt;101,E267,IF(E267&lt;201,E267/2,IF(E267&lt;=301,E267/3,E267/4))))</f>
        <v>1774.9297800000002</v>
      </c>
      <c r="G267" s="87"/>
      <c r="H267" s="88"/>
      <c r="I267" s="35"/>
      <c r="N267" s="35"/>
    </row>
    <row r="268" spans="1:14" s="36" customFormat="1" ht="15.75" customHeight="1" x14ac:dyDescent="0.25">
      <c r="A268" s="89" t="s">
        <v>272</v>
      </c>
      <c r="B268" s="89"/>
      <c r="C268" s="89"/>
      <c r="D268" s="89"/>
      <c r="E268" s="89"/>
      <c r="F268" s="89"/>
      <c r="G268" s="89"/>
      <c r="H268" s="89"/>
      <c r="I268" s="35"/>
      <c r="L268" s="99"/>
      <c r="M268" s="99"/>
    </row>
    <row r="269" spans="1:14" s="36" customFormat="1" ht="15.75" customHeight="1" x14ac:dyDescent="0.25">
      <c r="A269" s="41">
        <v>1</v>
      </c>
      <c r="B269" s="53" t="s">
        <v>175</v>
      </c>
      <c r="C269" s="41" t="s">
        <v>182</v>
      </c>
      <c r="D269" s="54">
        <f>(113.34+10.34)*10.764</f>
        <v>1331.29152</v>
      </c>
      <c r="E269" s="41">
        <v>0</v>
      </c>
      <c r="F269" s="41">
        <f t="shared" ref="F269" si="36">D269*(($F$169)+1)+(IF(E269&lt;101,E269,IF(E269&lt;201,E269/2,IF(E269&lt;=301,E269/3,E269/4))))</f>
        <v>1996.9372800000001</v>
      </c>
      <c r="G269" s="83" t="str">
        <f>A268</f>
        <v>7th, 15th, 22nd, 29th Floor (Part Refuge Area)</v>
      </c>
      <c r="H269" s="84"/>
      <c r="I269" s="35"/>
      <c r="N269" s="35"/>
    </row>
    <row r="270" spans="1:14" s="36" customFormat="1" ht="15.75" customHeight="1" x14ac:dyDescent="0.25">
      <c r="A270" s="41">
        <f>A269+1</f>
        <v>2</v>
      </c>
      <c r="B270" s="129" t="s">
        <v>179</v>
      </c>
      <c r="C270" s="129" t="s">
        <v>178</v>
      </c>
      <c r="D270" s="129"/>
      <c r="E270" s="129"/>
      <c r="F270" s="129"/>
      <c r="G270" s="85"/>
      <c r="H270" s="86"/>
      <c r="I270" s="35"/>
      <c r="N270" s="35"/>
    </row>
    <row r="271" spans="1:14" s="36" customFormat="1" ht="15.75" customHeight="1" x14ac:dyDescent="0.25">
      <c r="A271" s="41">
        <f>A270+1</f>
        <v>3</v>
      </c>
      <c r="B271" s="129"/>
      <c r="C271" s="129"/>
      <c r="D271" s="129"/>
      <c r="E271" s="129"/>
      <c r="F271" s="129"/>
      <c r="G271" s="87"/>
      <c r="H271" s="88"/>
      <c r="I271" s="35"/>
      <c r="N271" s="35"/>
    </row>
    <row r="272" spans="1:14" s="36" customFormat="1" x14ac:dyDescent="0.25">
      <c r="A272" s="89" t="s">
        <v>270</v>
      </c>
      <c r="B272" s="89"/>
      <c r="C272" s="89"/>
      <c r="D272" s="89"/>
      <c r="E272" s="89"/>
      <c r="F272" s="89"/>
      <c r="G272" s="89"/>
      <c r="H272" s="89"/>
      <c r="I272" s="35"/>
      <c r="L272" s="99"/>
      <c r="M272" s="99"/>
    </row>
    <row r="273" spans="1:14" s="36" customFormat="1" ht="15.75" customHeight="1" x14ac:dyDescent="0.25">
      <c r="A273" s="41">
        <v>1</v>
      </c>
      <c r="B273" s="53" t="s">
        <v>175</v>
      </c>
      <c r="C273" s="41" t="s">
        <v>182</v>
      </c>
      <c r="D273" s="54">
        <f>(112.34+10.34)*10.764</f>
        <v>1320.5275200000001</v>
      </c>
      <c r="E273" s="41">
        <v>0</v>
      </c>
      <c r="F273" s="41">
        <f t="shared" ref="F273" si="37">D273*(($F$169)+1)+(IF(E273&lt;101,E273,IF(E273&lt;201,E273/2,IF(E273&lt;=301,E273/3,E273/4))))</f>
        <v>1980.7912800000001</v>
      </c>
      <c r="G273" s="83" t="str">
        <f>A272</f>
        <v>32nd to 34th &amp; 37th Floor</v>
      </c>
      <c r="H273" s="84"/>
      <c r="I273" s="35"/>
      <c r="N273" s="35"/>
    </row>
    <row r="274" spans="1:14" s="36" customFormat="1" ht="15.75" customHeight="1" x14ac:dyDescent="0.25">
      <c r="A274" s="41">
        <f>A273+1</f>
        <v>2</v>
      </c>
      <c r="B274" s="53" t="s">
        <v>175</v>
      </c>
      <c r="C274" s="41" t="s">
        <v>201</v>
      </c>
      <c r="D274" s="54">
        <f>(99.59+10.34)*10.764</f>
        <v>1183.2865200000001</v>
      </c>
      <c r="E274" s="41">
        <v>0</v>
      </c>
      <c r="F274" s="41">
        <f t="shared" ref="F274" si="38">D274*(($F$169)+1)+(IF(E274&lt;101,E274,IF(E274&lt;201,E274/2,IF(E274&lt;=301,E274/3,E274/4))))</f>
        <v>1774.9297800000002</v>
      </c>
      <c r="G274" s="85"/>
      <c r="H274" s="86"/>
      <c r="I274" s="35"/>
      <c r="N274" s="35"/>
    </row>
    <row r="275" spans="1:14" s="36" customFormat="1" ht="15.75" customHeight="1" x14ac:dyDescent="0.25">
      <c r="A275" s="41">
        <f>A274+1</f>
        <v>3</v>
      </c>
      <c r="B275" s="53" t="s">
        <v>175</v>
      </c>
      <c r="C275" s="41" t="s">
        <v>201</v>
      </c>
      <c r="D275" s="54">
        <f>(99.59+10.34)*10.764</f>
        <v>1183.2865200000001</v>
      </c>
      <c r="E275" s="41">
        <v>0</v>
      </c>
      <c r="F275" s="41">
        <f>D275*(($F$169)+1)+(IF(E275&lt;101,E275,IF(E275&lt;201,E275/2,IF(E275&lt;=301,E275/3,E275/4))))</f>
        <v>1774.9297800000002</v>
      </c>
      <c r="G275" s="87"/>
      <c r="H275" s="88"/>
      <c r="I275" s="35"/>
      <c r="N275" s="35"/>
    </row>
    <row r="276" spans="1:14" s="36" customFormat="1" ht="32.25" customHeight="1" x14ac:dyDescent="0.25">
      <c r="A276" s="89" t="s">
        <v>269</v>
      </c>
      <c r="B276" s="89"/>
      <c r="C276" s="89"/>
      <c r="D276" s="89"/>
      <c r="E276" s="89"/>
      <c r="F276" s="89"/>
      <c r="G276" s="89"/>
      <c r="H276" s="89"/>
      <c r="I276" s="35"/>
      <c r="L276" s="99"/>
      <c r="M276" s="99"/>
    </row>
    <row r="277" spans="1:14" s="36" customFormat="1" ht="15.75" customHeight="1" x14ac:dyDescent="0.25">
      <c r="A277" s="41">
        <v>1</v>
      </c>
      <c r="B277" s="53" t="s">
        <v>175</v>
      </c>
      <c r="C277" s="41" t="s">
        <v>182</v>
      </c>
      <c r="D277" s="54">
        <f>(112.34+10.34)*10.764</f>
        <v>1320.5275200000001</v>
      </c>
      <c r="E277" s="41">
        <v>0</v>
      </c>
      <c r="F277" s="41">
        <f t="shared" ref="F277" si="39">D277*(($F$169)+1)+(IF(E277&lt;101,E277,IF(E277&lt;201,E277/2,IF(E277&lt;=301,E277/3,E277/4))))</f>
        <v>1980.7912800000001</v>
      </c>
      <c r="G277" s="83" t="str">
        <f>A276</f>
        <v>35th Floor</v>
      </c>
      <c r="H277" s="84"/>
      <c r="I277" s="35"/>
      <c r="N277" s="35"/>
    </row>
    <row r="278" spans="1:14" s="36" customFormat="1" ht="15.75" customHeight="1" x14ac:dyDescent="0.25">
      <c r="A278" s="41">
        <f>A277+1</f>
        <v>2</v>
      </c>
      <c r="B278" s="53" t="s">
        <v>175</v>
      </c>
      <c r="C278" s="41" t="s">
        <v>201</v>
      </c>
      <c r="D278" s="54">
        <f>(99.59+10.34)*10.764</f>
        <v>1183.2865200000001</v>
      </c>
      <c r="E278" s="41">
        <v>0</v>
      </c>
      <c r="F278" s="41">
        <f t="shared" ref="F278" si="40">D278*(($F$169)+1)+(IF(E278&lt;101,E278,IF(E278&lt;201,E278/2,IF(E278&lt;=301,E278/3,E278/4))))</f>
        <v>1774.9297800000002</v>
      </c>
      <c r="G278" s="85"/>
      <c r="H278" s="86"/>
      <c r="I278" s="35"/>
      <c r="N278" s="35"/>
    </row>
    <row r="279" spans="1:14" s="36" customFormat="1" ht="15.75" customHeight="1" x14ac:dyDescent="0.25">
      <c r="A279" s="41">
        <f>A278+1</f>
        <v>3</v>
      </c>
      <c r="B279" s="53" t="s">
        <v>175</v>
      </c>
      <c r="C279" s="41" t="s">
        <v>201</v>
      </c>
      <c r="D279" s="54">
        <f>(99.59+10.34)*10.764</f>
        <v>1183.2865200000001</v>
      </c>
      <c r="E279" s="41">
        <v>0</v>
      </c>
      <c r="F279" s="41">
        <f>D279*(($F$169)+1)+(IF(E279&lt;101,E279,IF(E279&lt;201,E279/2,IF(E279&lt;=301,E279/3,E279/4))))</f>
        <v>1774.9297800000002</v>
      </c>
      <c r="G279" s="87"/>
      <c r="H279" s="88"/>
      <c r="I279" s="35"/>
      <c r="N279" s="35"/>
    </row>
    <row r="280" spans="1:14" s="36" customFormat="1" ht="15.75" customHeight="1" x14ac:dyDescent="0.25">
      <c r="A280" s="89" t="s">
        <v>273</v>
      </c>
      <c r="B280" s="89"/>
      <c r="C280" s="89"/>
      <c r="D280" s="89"/>
      <c r="E280" s="89"/>
      <c r="F280" s="89"/>
      <c r="G280" s="89"/>
      <c r="H280" s="89"/>
      <c r="I280" s="35"/>
      <c r="L280" s="99"/>
      <c r="M280" s="99"/>
    </row>
    <row r="281" spans="1:14" s="36" customFormat="1" ht="15.75" customHeight="1" x14ac:dyDescent="0.25">
      <c r="A281" s="41">
        <v>1</v>
      </c>
      <c r="B281" s="53" t="s">
        <v>175</v>
      </c>
      <c r="C281" s="41" t="s">
        <v>182</v>
      </c>
      <c r="D281" s="54">
        <f>(112.34+10.34)*10.764</f>
        <v>1320.5275200000001</v>
      </c>
      <c r="E281" s="41">
        <v>0</v>
      </c>
      <c r="F281" s="41">
        <f t="shared" ref="F281" si="41">D281*(($F$169)+1)+(IF(E281&lt;101,E281,IF(E281&lt;201,E281/2,IF(E281&lt;=301,E281/3,E281/4))))</f>
        <v>1980.7912800000001</v>
      </c>
      <c r="G281" s="83" t="str">
        <f>A280</f>
        <v>36th Floor (Part Refuge Area)</v>
      </c>
      <c r="H281" s="84"/>
      <c r="I281" s="35"/>
      <c r="N281" s="35"/>
    </row>
    <row r="282" spans="1:14" s="36" customFormat="1" ht="15.75" customHeight="1" x14ac:dyDescent="0.25">
      <c r="A282" s="41">
        <f>A281+1</f>
        <v>2</v>
      </c>
      <c r="B282" s="53" t="s">
        <v>179</v>
      </c>
      <c r="C282" s="106" t="s">
        <v>178</v>
      </c>
      <c r="D282" s="107"/>
      <c r="E282" s="107"/>
      <c r="F282" s="108"/>
      <c r="G282" s="85"/>
      <c r="H282" s="86"/>
      <c r="I282" s="35"/>
      <c r="N282" s="35"/>
    </row>
    <row r="283" spans="1:14" s="36" customFormat="1" ht="15.75" customHeight="1" x14ac:dyDescent="0.25">
      <c r="A283" s="41">
        <f>A282+1</f>
        <v>3</v>
      </c>
      <c r="B283" s="53" t="s">
        <v>175</v>
      </c>
      <c r="C283" s="41" t="s">
        <v>177</v>
      </c>
      <c r="D283" s="54">
        <f>(82.76+10.34)*10.764</f>
        <v>1002.1284000000001</v>
      </c>
      <c r="E283" s="41">
        <v>0</v>
      </c>
      <c r="F283" s="41">
        <f>D283*(($F$169)+1)+(IF(E283&lt;101,E283,IF(E283&lt;201,E283/2,IF(E283&lt;=301,E283/3,E283/4))))</f>
        <v>1503.1926000000001</v>
      </c>
      <c r="G283" s="87"/>
      <c r="H283" s="88"/>
      <c r="I283" s="35"/>
      <c r="N283" s="35"/>
    </row>
    <row r="284" spans="1:14" s="36" customFormat="1" ht="15.75" customHeight="1" x14ac:dyDescent="0.25">
      <c r="A284" s="89" t="s">
        <v>258</v>
      </c>
      <c r="B284" s="89"/>
      <c r="C284" s="89"/>
      <c r="D284" s="89"/>
      <c r="E284" s="89"/>
      <c r="F284" s="89"/>
      <c r="G284" s="89"/>
      <c r="H284" s="89"/>
      <c r="I284" s="35"/>
      <c r="L284" s="99"/>
      <c r="M284" s="99"/>
    </row>
    <row r="285" spans="1:14" s="36" customFormat="1" ht="15.75" customHeight="1" x14ac:dyDescent="0.25">
      <c r="A285" s="41">
        <v>1</v>
      </c>
      <c r="B285" s="53" t="s">
        <v>175</v>
      </c>
      <c r="C285" s="41" t="s">
        <v>182</v>
      </c>
      <c r="D285" s="54">
        <f>(112.34+10.34)*10.764</f>
        <v>1320.5275200000001</v>
      </c>
      <c r="E285" s="41">
        <v>0</v>
      </c>
      <c r="F285" s="41">
        <f t="shared" ref="F285" si="42">D285*(($F$169)+1)+(IF(E285&lt;101,E285,IF(E285&lt;201,E285/2,IF(E285&lt;=301,E285/3,E285/4))))</f>
        <v>1980.7912800000001</v>
      </c>
      <c r="G285" s="83" t="str">
        <f>A284</f>
        <v>38th Floor</v>
      </c>
      <c r="H285" s="84"/>
      <c r="I285" s="35"/>
      <c r="N285" s="35"/>
    </row>
    <row r="286" spans="1:14" s="36" customFormat="1" ht="45" customHeight="1" x14ac:dyDescent="0.25">
      <c r="A286" s="41">
        <f>A285+1</f>
        <v>2</v>
      </c>
      <c r="B286" s="53" t="s">
        <v>175</v>
      </c>
      <c r="C286" s="41" t="s">
        <v>274</v>
      </c>
      <c r="D286" s="54">
        <f>((99.59+10.34)+(99.59+10.34))*10.764</f>
        <v>2366.5730400000002</v>
      </c>
      <c r="E286" s="41">
        <v>0</v>
      </c>
      <c r="F286" s="41">
        <f t="shared" ref="F286" si="43">D286*(($F$169)+1)+(IF(E286&lt;101,E286,IF(E286&lt;201,E286/2,IF(E286&lt;=301,E286/3,E286/4))))</f>
        <v>3549.8595600000003</v>
      </c>
      <c r="G286" s="85"/>
      <c r="H286" s="86"/>
      <c r="I286" s="35"/>
      <c r="N286" s="35"/>
    </row>
    <row r="287" spans="1:14" s="36" customFormat="1" ht="47.25" customHeight="1" x14ac:dyDescent="0.25">
      <c r="A287" s="41">
        <f>A286+1</f>
        <v>3</v>
      </c>
      <c r="B287" s="53" t="s">
        <v>175</v>
      </c>
      <c r="C287" s="41" t="s">
        <v>274</v>
      </c>
      <c r="D287" s="54">
        <f>((99.59+10.34)+(99.59+10.34))*10.764</f>
        <v>2366.5730400000002</v>
      </c>
      <c r="E287" s="41">
        <v>0</v>
      </c>
      <c r="F287" s="41">
        <f>D287*(($F$169)+1)+(IF(E287&lt;101,E287,IF(E287&lt;201,E287/2,IF(E287&lt;=301,E287/3,E287/4))))</f>
        <v>3549.8595600000003</v>
      </c>
      <c r="G287" s="87"/>
      <c r="H287" s="88"/>
      <c r="I287" s="35"/>
      <c r="N287" s="35"/>
    </row>
    <row r="288" spans="1:14" s="36" customFormat="1" ht="15.75" customHeight="1" x14ac:dyDescent="0.25">
      <c r="A288" s="89" t="s">
        <v>262</v>
      </c>
      <c r="B288" s="89"/>
      <c r="C288" s="89"/>
      <c r="D288" s="89"/>
      <c r="E288" s="89"/>
      <c r="F288" s="89"/>
      <c r="G288" s="89"/>
      <c r="H288" s="89"/>
      <c r="I288" s="35"/>
      <c r="L288" s="99"/>
      <c r="M288" s="99"/>
    </row>
    <row r="289" spans="1:14" s="36" customFormat="1" ht="15.75" customHeight="1" x14ac:dyDescent="0.25">
      <c r="A289" s="41">
        <v>1</v>
      </c>
      <c r="B289" s="53" t="s">
        <v>175</v>
      </c>
      <c r="C289" s="41" t="s">
        <v>182</v>
      </c>
      <c r="D289" s="54">
        <f>(112.34+10.34)*10.764</f>
        <v>1320.5275200000001</v>
      </c>
      <c r="E289" s="41">
        <v>0</v>
      </c>
      <c r="F289" s="41">
        <f t="shared" ref="F289" si="44">D289*(($F$169)+1)+(IF(E289&lt;101,E289,IF(E289&lt;201,E289/2,IF(E289&lt;=301,E289/3,E289/4))))</f>
        <v>1980.7912800000001</v>
      </c>
      <c r="G289" s="83" t="str">
        <f>A288</f>
        <v>39th Floor</v>
      </c>
      <c r="H289" s="84"/>
      <c r="I289" s="35"/>
      <c r="N289" s="35"/>
    </row>
    <row r="290" spans="1:14" s="36" customFormat="1" ht="15.6" customHeight="1" x14ac:dyDescent="0.25">
      <c r="A290" s="41">
        <f>A289+1</f>
        <v>2</v>
      </c>
      <c r="B290" s="53" t="s">
        <v>246</v>
      </c>
      <c r="C290" s="106" t="s">
        <v>264</v>
      </c>
      <c r="D290" s="107"/>
      <c r="E290" s="107"/>
      <c r="F290" s="108"/>
      <c r="G290" s="85"/>
      <c r="H290" s="86"/>
      <c r="I290" s="35"/>
      <c r="N290" s="35"/>
    </row>
    <row r="291" spans="1:14" s="36" customFormat="1" ht="15.6" customHeight="1" x14ac:dyDescent="0.25">
      <c r="A291" s="41">
        <f>A290+1</f>
        <v>3</v>
      </c>
      <c r="B291" s="53" t="s">
        <v>246</v>
      </c>
      <c r="C291" s="106" t="s">
        <v>264</v>
      </c>
      <c r="D291" s="107"/>
      <c r="E291" s="107"/>
      <c r="F291" s="108"/>
      <c r="G291" s="87"/>
      <c r="H291" s="88"/>
      <c r="I291" s="35"/>
      <c r="N291" s="35"/>
    </row>
    <row r="292" spans="1:14" s="36" customFormat="1" x14ac:dyDescent="0.25">
      <c r="A292" s="128" t="s">
        <v>232</v>
      </c>
      <c r="B292" s="128"/>
      <c r="C292" s="128"/>
      <c r="D292" s="128"/>
      <c r="E292" s="128"/>
      <c r="F292" s="128"/>
      <c r="G292" s="128"/>
      <c r="H292" s="128"/>
      <c r="I292" s="35"/>
      <c r="L292" s="99"/>
      <c r="M292" s="99"/>
    </row>
    <row r="293" spans="1:14" s="36" customFormat="1" x14ac:dyDescent="0.25">
      <c r="A293" s="103" t="s">
        <v>223</v>
      </c>
      <c r="B293" s="104"/>
      <c r="C293" s="104"/>
      <c r="D293" s="104"/>
      <c r="E293" s="104"/>
      <c r="F293" s="104"/>
      <c r="G293" s="104"/>
      <c r="H293" s="105"/>
      <c r="I293" s="56"/>
      <c r="J293" s="35"/>
    </row>
    <row r="294" spans="1:14" s="36" customFormat="1" ht="15.75" customHeight="1" x14ac:dyDescent="0.25">
      <c r="A294" s="41">
        <v>1</v>
      </c>
      <c r="B294" s="53" t="s">
        <v>175</v>
      </c>
      <c r="C294" s="41" t="s">
        <v>173</v>
      </c>
      <c r="D294" s="54">
        <f>(52.88)*10.764</f>
        <v>569.20032000000003</v>
      </c>
      <c r="E294" s="41">
        <v>0</v>
      </c>
      <c r="F294" s="41">
        <f t="shared" ref="F294" si="45">D294*(($F$169)+1)+(IF(E294&lt;101,E294,IF(E294&lt;201,E294/2,IF(E294&lt;=301,E294/3,E294/4))))</f>
        <v>853.80048000000011</v>
      </c>
      <c r="G294" s="83" t="str">
        <f>A293</f>
        <v>Ground Floor For Entrance Lobby, Meter Room, Parcel Room, Panel Room, BMC Room &amp; Parking</v>
      </c>
      <c r="H294" s="84"/>
      <c r="I294" s="56"/>
      <c r="L294" s="99"/>
      <c r="M294" s="99"/>
      <c r="N294" s="35"/>
    </row>
    <row r="295" spans="1:14" s="36" customFormat="1" ht="15.75" customHeight="1" x14ac:dyDescent="0.25">
      <c r="A295" s="41">
        <f t="shared" ref="A295:A297" si="46">A294+1</f>
        <v>2</v>
      </c>
      <c r="B295" s="53" t="s">
        <v>175</v>
      </c>
      <c r="C295" s="41" t="s">
        <v>173</v>
      </c>
      <c r="D295" s="54">
        <f>(50.15)*10.764</f>
        <v>539.81459999999993</v>
      </c>
      <c r="E295" s="41">
        <v>0</v>
      </c>
      <c r="F295" s="41">
        <f>D295*(($F$169)+1)+(IF(E295&lt;101,E295,IF(E295&lt;201,E295/2,IF(E295&lt;=301,E295/3,E295/4))))</f>
        <v>809.72189999999989</v>
      </c>
      <c r="G295" s="85"/>
      <c r="H295" s="86"/>
      <c r="I295" s="56"/>
      <c r="L295" s="99"/>
      <c r="M295" s="99"/>
      <c r="N295" s="35"/>
    </row>
    <row r="296" spans="1:14" s="36" customFormat="1" ht="15.75" customHeight="1" x14ac:dyDescent="0.25">
      <c r="A296" s="41">
        <f t="shared" si="46"/>
        <v>3</v>
      </c>
      <c r="B296" s="53" t="s">
        <v>175</v>
      </c>
      <c r="C296" s="41" t="s">
        <v>173</v>
      </c>
      <c r="D296" s="54">
        <f>(27.82)*10.764</f>
        <v>299.45447999999999</v>
      </c>
      <c r="E296" s="41">
        <v>0</v>
      </c>
      <c r="F296" s="41">
        <f t="shared" ref="F296:F297" si="47">D296*(($F$169)+1)+(IF(E296&lt;101,E296,IF(E296&lt;201,E296/2,IF(E296&lt;=301,E296/3,E296/4))))</f>
        <v>449.18171999999998</v>
      </c>
      <c r="G296" s="85"/>
      <c r="H296" s="86"/>
      <c r="I296" s="56"/>
      <c r="L296" s="99"/>
      <c r="M296" s="99"/>
      <c r="N296" s="35"/>
    </row>
    <row r="297" spans="1:14" s="36" customFormat="1" ht="15.75" customHeight="1" x14ac:dyDescent="0.25">
      <c r="A297" s="41">
        <f t="shared" si="46"/>
        <v>4</v>
      </c>
      <c r="B297" s="53" t="s">
        <v>175</v>
      </c>
      <c r="C297" s="41" t="s">
        <v>173</v>
      </c>
      <c r="D297" s="54">
        <f>(43.14)*10.764</f>
        <v>464.35895999999997</v>
      </c>
      <c r="E297" s="41">
        <v>0</v>
      </c>
      <c r="F297" s="41">
        <f t="shared" si="47"/>
        <v>696.53843999999992</v>
      </c>
      <c r="G297" s="87"/>
      <c r="H297" s="88"/>
      <c r="I297" s="56"/>
      <c r="L297" s="99"/>
      <c r="M297" s="99"/>
      <c r="N297" s="35"/>
    </row>
    <row r="298" spans="1:14" s="36" customFormat="1" x14ac:dyDescent="0.25">
      <c r="A298" s="103" t="s">
        <v>224</v>
      </c>
      <c r="B298" s="104"/>
      <c r="C298" s="104"/>
      <c r="D298" s="104"/>
      <c r="E298" s="104"/>
      <c r="F298" s="104"/>
      <c r="G298" s="104"/>
      <c r="H298" s="105"/>
      <c r="I298" s="56"/>
      <c r="J298" s="35"/>
    </row>
    <row r="299" spans="1:14" s="36" customFormat="1" x14ac:dyDescent="0.25">
      <c r="A299" s="103" t="s">
        <v>176</v>
      </c>
      <c r="B299" s="104"/>
      <c r="C299" s="104"/>
      <c r="D299" s="104"/>
      <c r="E299" s="104"/>
      <c r="F299" s="104"/>
      <c r="G299" s="104"/>
      <c r="H299" s="105"/>
      <c r="I299" s="56"/>
      <c r="J299" s="35"/>
    </row>
    <row r="300" spans="1:14" s="36" customFormat="1" ht="15.75" customHeight="1" x14ac:dyDescent="0.25">
      <c r="A300" s="41">
        <v>1</v>
      </c>
      <c r="B300" s="53" t="s">
        <v>175</v>
      </c>
      <c r="C300" s="41" t="s">
        <v>177</v>
      </c>
      <c r="D300" s="54">
        <f>(68.3+9.75)*10.764</f>
        <v>840.13019999999995</v>
      </c>
      <c r="E300" s="41">
        <v>0</v>
      </c>
      <c r="F300" s="41">
        <f t="shared" ref="F300" si="48">D300*(($F$169)+1)+(IF(E300&lt;101,E300,IF(E300&lt;201,E300/2,IF(E300&lt;=301,E300/3,E300/4))))</f>
        <v>1260.1952999999999</v>
      </c>
      <c r="G300" s="83" t="str">
        <f>A299</f>
        <v>1st Floor For Residential</v>
      </c>
      <c r="H300" s="84"/>
      <c r="I300" s="56"/>
      <c r="L300" s="99"/>
      <c r="M300" s="99"/>
      <c r="N300" s="35"/>
    </row>
    <row r="301" spans="1:14" s="36" customFormat="1" ht="15.75" customHeight="1" x14ac:dyDescent="0.25">
      <c r="A301" s="41">
        <f t="shared" ref="A301:A303" si="49">A300+1</f>
        <v>2</v>
      </c>
      <c r="B301" s="53" t="s">
        <v>175</v>
      </c>
      <c r="C301" s="41" t="s">
        <v>177</v>
      </c>
      <c r="D301" s="54">
        <f>(68.3+9.75)*10.764</f>
        <v>840.13019999999995</v>
      </c>
      <c r="E301" s="41">
        <v>0</v>
      </c>
      <c r="F301" s="41">
        <f>D301*(($F$169)+1)+(IF(E301&lt;101,E301,IF(E301&lt;201,E301/2,IF(E301&lt;=301,E301/3,E301/4))))</f>
        <v>1260.1952999999999</v>
      </c>
      <c r="G301" s="85"/>
      <c r="H301" s="86"/>
      <c r="I301" s="56"/>
      <c r="L301" s="99"/>
      <c r="M301" s="99"/>
      <c r="N301" s="35"/>
    </row>
    <row r="302" spans="1:14" s="36" customFormat="1" ht="15.75" customHeight="1" x14ac:dyDescent="0.25">
      <c r="A302" s="41">
        <f t="shared" si="49"/>
        <v>3</v>
      </c>
      <c r="B302" s="53" t="s">
        <v>175</v>
      </c>
      <c r="C302" s="41" t="s">
        <v>251</v>
      </c>
      <c r="D302" s="54">
        <f>(74.25+9.75)*10.764</f>
        <v>904.17599999999993</v>
      </c>
      <c r="E302" s="41">
        <v>0</v>
      </c>
      <c r="F302" s="41">
        <f t="shared" ref="F302:F303" si="50">D302*(($F$169)+1)+(IF(E302&lt;101,E302,IF(E302&lt;201,E302/2,IF(E302&lt;=301,E302/3,E302/4))))</f>
        <v>1356.2639999999999</v>
      </c>
      <c r="G302" s="85"/>
      <c r="H302" s="86"/>
      <c r="I302" s="56"/>
      <c r="L302" s="99"/>
      <c r="M302" s="99"/>
      <c r="N302" s="35"/>
    </row>
    <row r="303" spans="1:14" s="36" customFormat="1" ht="15.75" customHeight="1" x14ac:dyDescent="0.25">
      <c r="A303" s="41">
        <f t="shared" si="49"/>
        <v>4</v>
      </c>
      <c r="B303" s="53" t="s">
        <v>175</v>
      </c>
      <c r="C303" s="41" t="s">
        <v>251</v>
      </c>
      <c r="D303" s="54">
        <f>(74.25+9.75)*10.764</f>
        <v>904.17599999999993</v>
      </c>
      <c r="E303" s="41">
        <v>0</v>
      </c>
      <c r="F303" s="41">
        <f t="shared" si="50"/>
        <v>1356.2639999999999</v>
      </c>
      <c r="G303" s="87"/>
      <c r="H303" s="88"/>
      <c r="I303" s="56"/>
      <c r="L303" s="99"/>
      <c r="M303" s="99"/>
      <c r="N303" s="35"/>
    </row>
    <row r="304" spans="1:14" s="36" customFormat="1" x14ac:dyDescent="0.25">
      <c r="A304" s="103" t="s">
        <v>248</v>
      </c>
      <c r="B304" s="104"/>
      <c r="C304" s="104"/>
      <c r="D304" s="104"/>
      <c r="E304" s="104"/>
      <c r="F304" s="104"/>
      <c r="G304" s="104"/>
      <c r="H304" s="105"/>
      <c r="I304" s="56"/>
      <c r="J304" s="35"/>
    </row>
    <row r="305" spans="1:14" s="36" customFormat="1" ht="15.75" customHeight="1" x14ac:dyDescent="0.25">
      <c r="A305" s="41">
        <v>1</v>
      </c>
      <c r="B305" s="53" t="s">
        <v>175</v>
      </c>
      <c r="C305" s="41" t="s">
        <v>177</v>
      </c>
      <c r="D305" s="54">
        <f>(68.3+9.75)*10.764</f>
        <v>840.13019999999995</v>
      </c>
      <c r="E305" s="41">
        <v>0</v>
      </c>
      <c r="F305" s="41">
        <f t="shared" ref="F305" si="51">D305*(($F$169)+1)+(IF(E305&lt;101,E305,IF(E305&lt;201,E305/2,IF(E305&lt;=301,E305/3,E305/4))))</f>
        <v>1260.1952999999999</v>
      </c>
      <c r="G305" s="83" t="str">
        <f>A304</f>
        <v>2nd to 6th, 8th to 12th Floor</v>
      </c>
      <c r="H305" s="84"/>
      <c r="I305" s="56"/>
      <c r="L305" s="99"/>
      <c r="M305" s="99"/>
      <c r="N305" s="35"/>
    </row>
    <row r="306" spans="1:14" s="36" customFormat="1" ht="15.75" customHeight="1" x14ac:dyDescent="0.25">
      <c r="A306" s="41">
        <f t="shared" ref="A306:A308" si="52">A305+1</f>
        <v>2</v>
      </c>
      <c r="B306" s="53" t="s">
        <v>175</v>
      </c>
      <c r="C306" s="41" t="s">
        <v>177</v>
      </c>
      <c r="D306" s="54">
        <f>(68.3+9.75)*10.764</f>
        <v>840.13019999999995</v>
      </c>
      <c r="E306" s="41">
        <v>0</v>
      </c>
      <c r="F306" s="41">
        <f>D306*(($F$169)+1)+(IF(E306&lt;101,E306,IF(E306&lt;201,E306/2,IF(E306&lt;=301,E306/3,E306/4))))</f>
        <v>1260.1952999999999</v>
      </c>
      <c r="G306" s="85"/>
      <c r="H306" s="86"/>
      <c r="I306" s="56"/>
      <c r="L306" s="99"/>
      <c r="M306" s="99"/>
      <c r="N306" s="35"/>
    </row>
    <row r="307" spans="1:14" s="36" customFormat="1" ht="15.75" customHeight="1" x14ac:dyDescent="0.25">
      <c r="A307" s="41">
        <f t="shared" si="52"/>
        <v>3</v>
      </c>
      <c r="B307" s="53" t="s">
        <v>175</v>
      </c>
      <c r="C307" s="41" t="s">
        <v>251</v>
      </c>
      <c r="D307" s="54">
        <f>(74.25+9.75)*10.764</f>
        <v>904.17599999999993</v>
      </c>
      <c r="E307" s="41">
        <v>0</v>
      </c>
      <c r="F307" s="41">
        <f t="shared" ref="F307:F308" si="53">D307*(($F$169)+1)+(IF(E307&lt;101,E307,IF(E307&lt;201,E307/2,IF(E307&lt;=301,E307/3,E307/4))))</f>
        <v>1356.2639999999999</v>
      </c>
      <c r="G307" s="85"/>
      <c r="H307" s="86"/>
      <c r="I307" s="56"/>
      <c r="L307" s="99"/>
      <c r="M307" s="99"/>
      <c r="N307" s="35"/>
    </row>
    <row r="308" spans="1:14" s="36" customFormat="1" ht="15.75" customHeight="1" x14ac:dyDescent="0.25">
      <c r="A308" s="41">
        <f t="shared" si="52"/>
        <v>4</v>
      </c>
      <c r="B308" s="53" t="s">
        <v>175</v>
      </c>
      <c r="C308" s="41" t="s">
        <v>251</v>
      </c>
      <c r="D308" s="54">
        <f>(74.25+9.75)*10.764</f>
        <v>904.17599999999993</v>
      </c>
      <c r="E308" s="41">
        <v>0</v>
      </c>
      <c r="F308" s="41">
        <f t="shared" si="53"/>
        <v>1356.2639999999999</v>
      </c>
      <c r="G308" s="87"/>
      <c r="H308" s="88"/>
      <c r="I308" s="56"/>
      <c r="L308" s="99"/>
      <c r="M308" s="99"/>
      <c r="N308" s="35"/>
    </row>
    <row r="309" spans="1:14" s="36" customFormat="1" x14ac:dyDescent="0.25">
      <c r="A309" s="103" t="s">
        <v>276</v>
      </c>
      <c r="B309" s="104"/>
      <c r="C309" s="104"/>
      <c r="D309" s="104"/>
      <c r="E309" s="104"/>
      <c r="F309" s="104"/>
      <c r="G309" s="104"/>
      <c r="H309" s="105"/>
      <c r="I309" s="56"/>
      <c r="J309" s="35"/>
    </row>
    <row r="310" spans="1:14" s="36" customFormat="1" x14ac:dyDescent="0.25">
      <c r="A310" s="41">
        <v>1</v>
      </c>
      <c r="B310" s="53" t="s">
        <v>175</v>
      </c>
      <c r="C310" s="41" t="s">
        <v>177</v>
      </c>
      <c r="D310" s="54">
        <f>(68.3+9.75)*10.764</f>
        <v>840.13019999999995</v>
      </c>
      <c r="E310" s="41">
        <v>0</v>
      </c>
      <c r="F310" s="41">
        <f t="shared" ref="F310" si="54">D310*(($F$169)+1)+(IF(E310&lt;101,E310,IF(E310&lt;201,E310/2,IF(E310&lt;=301,E310/3,E310/4))))</f>
        <v>1260.1952999999999</v>
      </c>
      <c r="G310" s="83" t="str">
        <f>A309</f>
        <v>14th, 16th to 21st, 23rd to 28th, 30th to 35th &amp; 37th Floor</v>
      </c>
      <c r="H310" s="84"/>
      <c r="I310" s="56"/>
      <c r="L310" s="99"/>
      <c r="M310" s="99"/>
      <c r="N310" s="35"/>
    </row>
    <row r="311" spans="1:14" s="36" customFormat="1" x14ac:dyDescent="0.25">
      <c r="A311" s="41">
        <f t="shared" ref="A311:A313" si="55">A310+1</f>
        <v>2</v>
      </c>
      <c r="B311" s="53" t="s">
        <v>175</v>
      </c>
      <c r="C311" s="41" t="s">
        <v>177</v>
      </c>
      <c r="D311" s="54">
        <f>(68.3+9.75)*10.764</f>
        <v>840.13019999999995</v>
      </c>
      <c r="E311" s="41">
        <v>0</v>
      </c>
      <c r="F311" s="41">
        <f>D311*(($F$169)+1)+(IF(E311&lt;101,E311,IF(E311&lt;201,E311/2,IF(E311&lt;=301,E311/3,E311/4))))</f>
        <v>1260.1952999999999</v>
      </c>
      <c r="G311" s="85"/>
      <c r="H311" s="86"/>
      <c r="I311" s="56"/>
      <c r="L311" s="99"/>
      <c r="M311" s="99"/>
      <c r="N311" s="35"/>
    </row>
    <row r="312" spans="1:14" s="36" customFormat="1" x14ac:dyDescent="0.25">
      <c r="A312" s="41">
        <f t="shared" si="55"/>
        <v>3</v>
      </c>
      <c r="B312" s="53" t="s">
        <v>175</v>
      </c>
      <c r="C312" s="41" t="s">
        <v>251</v>
      </c>
      <c r="D312" s="54">
        <f>(74.25+9.75)*10.764</f>
        <v>904.17599999999993</v>
      </c>
      <c r="E312" s="41">
        <v>0</v>
      </c>
      <c r="F312" s="41">
        <f t="shared" ref="F312:F313" si="56">D312*(($F$169)+1)+(IF(E312&lt;101,E312,IF(E312&lt;201,E312/2,IF(E312&lt;=301,E312/3,E312/4))))</f>
        <v>1356.2639999999999</v>
      </c>
      <c r="G312" s="85"/>
      <c r="H312" s="86"/>
      <c r="I312" s="56"/>
      <c r="L312" s="99"/>
      <c r="M312" s="99"/>
      <c r="N312" s="35"/>
    </row>
    <row r="313" spans="1:14" s="36" customFormat="1" x14ac:dyDescent="0.25">
      <c r="A313" s="41">
        <f t="shared" si="55"/>
        <v>4</v>
      </c>
      <c r="B313" s="53" t="s">
        <v>175</v>
      </c>
      <c r="C313" s="41" t="s">
        <v>251</v>
      </c>
      <c r="D313" s="54">
        <f>(74.25+9.75)*10.764</f>
        <v>904.17599999999993</v>
      </c>
      <c r="E313" s="41">
        <v>0</v>
      </c>
      <c r="F313" s="41">
        <f t="shared" si="56"/>
        <v>1356.2639999999999</v>
      </c>
      <c r="G313" s="87"/>
      <c r="H313" s="88"/>
      <c r="I313" s="56"/>
      <c r="L313" s="99"/>
      <c r="M313" s="99"/>
      <c r="N313" s="35"/>
    </row>
    <row r="314" spans="1:14" s="36" customFormat="1" x14ac:dyDescent="0.25">
      <c r="A314" s="103" t="s">
        <v>277</v>
      </c>
      <c r="B314" s="104"/>
      <c r="C314" s="104"/>
      <c r="D314" s="104"/>
      <c r="E314" s="104"/>
      <c r="F314" s="104"/>
      <c r="G314" s="104"/>
      <c r="H314" s="105"/>
      <c r="I314" s="56"/>
      <c r="J314" s="35"/>
    </row>
    <row r="315" spans="1:14" s="36" customFormat="1" x14ac:dyDescent="0.25">
      <c r="A315" s="41">
        <v>1</v>
      </c>
      <c r="B315" s="53" t="s">
        <v>246</v>
      </c>
      <c r="C315" s="106" t="s">
        <v>178</v>
      </c>
      <c r="D315" s="107"/>
      <c r="E315" s="107"/>
      <c r="F315" s="108"/>
      <c r="G315" s="83" t="str">
        <f>A314</f>
        <v>7th, 15th, 22nd, 29th &amp; 36th Floor</v>
      </c>
      <c r="H315" s="84"/>
      <c r="I315" s="56"/>
      <c r="L315" s="99"/>
      <c r="M315" s="99"/>
      <c r="N315" s="35"/>
    </row>
    <row r="316" spans="1:14" s="36" customFormat="1" x14ac:dyDescent="0.25">
      <c r="A316" s="41">
        <f t="shared" ref="A316:A318" si="57">A315+1</f>
        <v>2</v>
      </c>
      <c r="B316" s="53" t="s">
        <v>246</v>
      </c>
      <c r="C316" s="106" t="s">
        <v>178</v>
      </c>
      <c r="D316" s="107"/>
      <c r="E316" s="107"/>
      <c r="F316" s="108"/>
      <c r="G316" s="85"/>
      <c r="H316" s="86"/>
      <c r="I316" s="56"/>
      <c r="L316" s="99"/>
      <c r="M316" s="99"/>
      <c r="N316" s="35"/>
    </row>
    <row r="317" spans="1:14" s="36" customFormat="1" x14ac:dyDescent="0.25">
      <c r="A317" s="41">
        <f t="shared" si="57"/>
        <v>3</v>
      </c>
      <c r="B317" s="53" t="s">
        <v>175</v>
      </c>
      <c r="C317" s="41" t="s">
        <v>251</v>
      </c>
      <c r="D317" s="54">
        <f>(74.25+9.75)*10.764</f>
        <v>904.17599999999993</v>
      </c>
      <c r="E317" s="41">
        <v>0</v>
      </c>
      <c r="F317" s="41">
        <f t="shared" ref="F317:F318" si="58">D317*(($F$169)+1)+(IF(E317&lt;101,E317,IF(E317&lt;201,E317/2,IF(E317&lt;=301,E317/3,E317/4))))</f>
        <v>1356.2639999999999</v>
      </c>
      <c r="G317" s="85"/>
      <c r="H317" s="86"/>
      <c r="I317" s="56"/>
      <c r="L317" s="99"/>
      <c r="M317" s="99"/>
      <c r="N317" s="35"/>
    </row>
    <row r="318" spans="1:14" s="36" customFormat="1" x14ac:dyDescent="0.25">
      <c r="A318" s="41">
        <f t="shared" si="57"/>
        <v>4</v>
      </c>
      <c r="B318" s="53" t="s">
        <v>175</v>
      </c>
      <c r="C318" s="41" t="s">
        <v>251</v>
      </c>
      <c r="D318" s="54">
        <f>(74.25+9.75)*10.764</f>
        <v>904.17599999999993</v>
      </c>
      <c r="E318" s="41">
        <v>0</v>
      </c>
      <c r="F318" s="41">
        <f t="shared" si="58"/>
        <v>1356.2639999999999</v>
      </c>
      <c r="G318" s="87"/>
      <c r="H318" s="88"/>
      <c r="I318" s="56"/>
      <c r="L318" s="99"/>
      <c r="M318" s="99"/>
      <c r="N318" s="35"/>
    </row>
    <row r="319" spans="1:14" s="36" customFormat="1" x14ac:dyDescent="0.25">
      <c r="A319" s="103" t="s">
        <v>258</v>
      </c>
      <c r="B319" s="104"/>
      <c r="C319" s="104"/>
      <c r="D319" s="104"/>
      <c r="E319" s="104"/>
      <c r="F319" s="104"/>
      <c r="G319" s="104"/>
      <c r="H319" s="105"/>
      <c r="I319" s="56"/>
      <c r="J319" s="35"/>
    </row>
    <row r="320" spans="1:14" s="36" customFormat="1" ht="49.5" customHeight="1" x14ac:dyDescent="0.25">
      <c r="A320" s="41">
        <v>1</v>
      </c>
      <c r="B320" s="53" t="s">
        <v>175</v>
      </c>
      <c r="C320" s="41" t="s">
        <v>263</v>
      </c>
      <c r="D320" s="54">
        <f>((74.25+9.75)+(74.25+9.75))*10.764</f>
        <v>1808.3519999999999</v>
      </c>
      <c r="E320" s="41">
        <v>0</v>
      </c>
      <c r="F320" s="41">
        <f t="shared" ref="F320:F321" si="59">D320*(($F$169)+1)+(IF(E320&lt;101,E320,IF(E320&lt;201,E320/2,IF(E320&lt;=301,E320/3,E320/4))))</f>
        <v>2712.5279999999998</v>
      </c>
      <c r="G320" s="83" t="str">
        <f>A319</f>
        <v>38th Floor</v>
      </c>
      <c r="H320" s="84"/>
      <c r="I320" s="56"/>
      <c r="L320" s="99"/>
      <c r="M320" s="99"/>
      <c r="N320" s="35"/>
    </row>
    <row r="321" spans="1:14" s="36" customFormat="1" ht="48.75" customHeight="1" x14ac:dyDescent="0.25">
      <c r="A321" s="41">
        <f t="shared" ref="A321:A323" si="60">A320+1</f>
        <v>2</v>
      </c>
      <c r="B321" s="53" t="s">
        <v>175</v>
      </c>
      <c r="C321" s="41" t="s">
        <v>263</v>
      </c>
      <c r="D321" s="54">
        <f>((74.25+9.75)+(74.25+9.75))*10.764</f>
        <v>1808.3519999999999</v>
      </c>
      <c r="E321" s="41">
        <v>0</v>
      </c>
      <c r="F321" s="41">
        <f t="shared" si="59"/>
        <v>2712.5279999999998</v>
      </c>
      <c r="G321" s="85"/>
      <c r="H321" s="86"/>
      <c r="I321" s="56"/>
      <c r="L321" s="99"/>
      <c r="M321" s="99"/>
      <c r="N321" s="35"/>
    </row>
    <row r="322" spans="1:14" s="36" customFormat="1" x14ac:dyDescent="0.25">
      <c r="A322" s="41">
        <f t="shared" si="60"/>
        <v>3</v>
      </c>
      <c r="B322" s="53" t="s">
        <v>175</v>
      </c>
      <c r="C322" s="41" t="s">
        <v>251</v>
      </c>
      <c r="D322" s="54">
        <f>(74.25+9.75)*10.764</f>
        <v>904.17599999999993</v>
      </c>
      <c r="E322" s="41">
        <v>0</v>
      </c>
      <c r="F322" s="41">
        <f t="shared" ref="F322:F323" si="61">D322*(($F$169)+1)+(IF(E322&lt;101,E322,IF(E322&lt;201,E322/2,IF(E322&lt;=301,E322/3,E322/4))))</f>
        <v>1356.2639999999999</v>
      </c>
      <c r="G322" s="85"/>
      <c r="H322" s="86"/>
      <c r="I322" s="56"/>
      <c r="L322" s="99"/>
      <c r="M322" s="99"/>
      <c r="N322" s="35"/>
    </row>
    <row r="323" spans="1:14" s="36" customFormat="1" x14ac:dyDescent="0.25">
      <c r="A323" s="41">
        <f t="shared" si="60"/>
        <v>4</v>
      </c>
      <c r="B323" s="53" t="s">
        <v>175</v>
      </c>
      <c r="C323" s="41" t="s">
        <v>251</v>
      </c>
      <c r="D323" s="54">
        <f>(74.25+9.75)*10.764</f>
        <v>904.17599999999993</v>
      </c>
      <c r="E323" s="41">
        <v>0</v>
      </c>
      <c r="F323" s="41">
        <f t="shared" si="61"/>
        <v>1356.2639999999999</v>
      </c>
      <c r="G323" s="87"/>
      <c r="H323" s="88"/>
      <c r="I323" s="56"/>
      <c r="L323" s="99"/>
      <c r="M323" s="99"/>
      <c r="N323" s="35"/>
    </row>
    <row r="324" spans="1:14" s="36" customFormat="1" x14ac:dyDescent="0.25">
      <c r="A324" s="103" t="s">
        <v>262</v>
      </c>
      <c r="B324" s="104"/>
      <c r="C324" s="104"/>
      <c r="D324" s="104"/>
      <c r="E324" s="104"/>
      <c r="F324" s="104"/>
      <c r="G324" s="104"/>
      <c r="H324" s="105"/>
      <c r="I324" s="56"/>
      <c r="J324" s="35"/>
    </row>
    <row r="325" spans="1:14" s="36" customFormat="1" ht="15.6" customHeight="1" x14ac:dyDescent="0.25">
      <c r="A325" s="41">
        <v>1</v>
      </c>
      <c r="B325" s="53" t="s">
        <v>246</v>
      </c>
      <c r="C325" s="106" t="s">
        <v>264</v>
      </c>
      <c r="D325" s="107"/>
      <c r="E325" s="107"/>
      <c r="F325" s="108"/>
      <c r="G325" s="83" t="str">
        <f>A324</f>
        <v>39th Floor</v>
      </c>
      <c r="H325" s="84"/>
      <c r="I325" s="56"/>
      <c r="L325" s="99"/>
      <c r="M325" s="99"/>
      <c r="N325" s="35"/>
    </row>
    <row r="326" spans="1:14" s="36" customFormat="1" ht="15.6" customHeight="1" x14ac:dyDescent="0.25">
      <c r="A326" s="41">
        <f t="shared" ref="A326:A328" si="62">A325+1</f>
        <v>2</v>
      </c>
      <c r="B326" s="53" t="s">
        <v>246</v>
      </c>
      <c r="C326" s="106" t="s">
        <v>264</v>
      </c>
      <c r="D326" s="107"/>
      <c r="E326" s="107"/>
      <c r="F326" s="108"/>
      <c r="G326" s="85"/>
      <c r="H326" s="86"/>
      <c r="I326" s="56"/>
      <c r="L326" s="99"/>
      <c r="M326" s="99"/>
      <c r="N326" s="35"/>
    </row>
    <row r="327" spans="1:14" s="36" customFormat="1" x14ac:dyDescent="0.25">
      <c r="A327" s="41">
        <f t="shared" si="62"/>
        <v>3</v>
      </c>
      <c r="B327" s="53" t="s">
        <v>175</v>
      </c>
      <c r="C327" s="41" t="s">
        <v>251</v>
      </c>
      <c r="D327" s="54">
        <f>(74.25+9.75)*10.764</f>
        <v>904.17599999999993</v>
      </c>
      <c r="E327" s="41">
        <v>0</v>
      </c>
      <c r="F327" s="41">
        <f>D327*(($F$169)+1)+(IF(E327&lt;101,E327,IF(E327&lt;201,E327/2,IF(E327&lt;=301,E327/3,E327/4))))</f>
        <v>1356.2639999999999</v>
      </c>
      <c r="G327" s="85"/>
      <c r="H327" s="86"/>
      <c r="I327" s="56"/>
      <c r="L327" s="99"/>
      <c r="M327" s="99"/>
      <c r="N327" s="35"/>
    </row>
    <row r="328" spans="1:14" s="36" customFormat="1" x14ac:dyDescent="0.25">
      <c r="A328" s="41">
        <f t="shared" si="62"/>
        <v>4</v>
      </c>
      <c r="B328" s="53" t="s">
        <v>175</v>
      </c>
      <c r="C328" s="41" t="s">
        <v>251</v>
      </c>
      <c r="D328" s="54">
        <f>(74.25+9.75)*10.764</f>
        <v>904.17599999999993</v>
      </c>
      <c r="E328" s="41">
        <v>0</v>
      </c>
      <c r="F328" s="41">
        <f>D328*(($F$169)+1)+(IF(E328&lt;101,E328,IF(E328&lt;201,E328/2,IF(E328&lt;=301,E328/3,E328/4))))</f>
        <v>1356.2639999999999</v>
      </c>
      <c r="G328" s="87"/>
      <c r="H328" s="88"/>
      <c r="I328" s="56"/>
      <c r="L328" s="99"/>
      <c r="M328" s="99"/>
      <c r="N328" s="35"/>
    </row>
    <row r="329" spans="1:14" s="36" customFormat="1" x14ac:dyDescent="0.25">
      <c r="A329" s="128" t="s">
        <v>233</v>
      </c>
      <c r="B329" s="128"/>
      <c r="C329" s="128"/>
      <c r="D329" s="128"/>
      <c r="E329" s="128"/>
      <c r="F329" s="128"/>
      <c r="G329" s="128"/>
      <c r="H329" s="128"/>
      <c r="I329" s="35"/>
      <c r="L329" s="99"/>
      <c r="M329" s="99"/>
    </row>
    <row r="330" spans="1:14" s="36" customFormat="1" x14ac:dyDescent="0.25">
      <c r="A330" s="103" t="s">
        <v>225</v>
      </c>
      <c r="B330" s="104"/>
      <c r="C330" s="104"/>
      <c r="D330" s="104"/>
      <c r="E330" s="104"/>
      <c r="F330" s="104"/>
      <c r="G330" s="104"/>
      <c r="H330" s="105"/>
      <c r="I330" s="56"/>
      <c r="J330" s="35"/>
    </row>
    <row r="331" spans="1:14" s="36" customFormat="1" ht="15.75" customHeight="1" x14ac:dyDescent="0.25">
      <c r="A331" s="41">
        <v>1</v>
      </c>
      <c r="B331" s="53" t="s">
        <v>175</v>
      </c>
      <c r="C331" s="41" t="s">
        <v>173</v>
      </c>
      <c r="D331" s="54">
        <f>(49.59)*10.764</f>
        <v>533.78675999999996</v>
      </c>
      <c r="E331" s="41">
        <v>0</v>
      </c>
      <c r="F331" s="41">
        <f t="shared" ref="F331" si="63">D331*(($F$169)+1)+(IF(E331&lt;101,E331,IF(E331&lt;201,E331/2,IF(E331&lt;=301,E331/3,E331/4))))</f>
        <v>800.68013999999994</v>
      </c>
      <c r="G331" s="83" t="str">
        <f>A330</f>
        <v>Ground Floor For Entrance Lobby, Meter Room, Parcel Room, FMS Room &amp; Parking</v>
      </c>
      <c r="H331" s="84"/>
      <c r="I331" s="56"/>
      <c r="L331" s="99"/>
      <c r="M331" s="99"/>
      <c r="N331" s="35"/>
    </row>
    <row r="332" spans="1:14" s="36" customFormat="1" ht="15.75" customHeight="1" x14ac:dyDescent="0.25">
      <c r="A332" s="41">
        <f t="shared" ref="A332:A334" si="64">A331+1</f>
        <v>2</v>
      </c>
      <c r="B332" s="53" t="s">
        <v>175</v>
      </c>
      <c r="C332" s="41" t="s">
        <v>173</v>
      </c>
      <c r="D332" s="54">
        <f>(55.04)*10.764</f>
        <v>592.45056</v>
      </c>
      <c r="E332" s="41">
        <v>0</v>
      </c>
      <c r="F332" s="41">
        <f>D332*(($F$169)+1)+(IF(E332&lt;101,E332,IF(E332&lt;201,E332/2,IF(E332&lt;=301,E332/3,E332/4))))</f>
        <v>888.67583999999999</v>
      </c>
      <c r="G332" s="85"/>
      <c r="H332" s="86"/>
      <c r="I332" s="56"/>
      <c r="L332" s="99"/>
      <c r="M332" s="99"/>
      <c r="N332" s="35"/>
    </row>
    <row r="333" spans="1:14" s="36" customFormat="1" ht="15.75" customHeight="1" x14ac:dyDescent="0.25">
      <c r="A333" s="41">
        <f t="shared" si="64"/>
        <v>3</v>
      </c>
      <c r="B333" s="53" t="s">
        <v>175</v>
      </c>
      <c r="C333" s="41" t="s">
        <v>173</v>
      </c>
      <c r="D333" s="54">
        <f>(51.39)*10.764</f>
        <v>553.16196000000002</v>
      </c>
      <c r="E333" s="41">
        <v>0</v>
      </c>
      <c r="F333" s="41">
        <f t="shared" ref="F333:F334" si="65">D333*(($F$169)+1)+(IF(E333&lt;101,E333,IF(E333&lt;201,E333/2,IF(E333&lt;=301,E333/3,E333/4))))</f>
        <v>829.74294000000009</v>
      </c>
      <c r="G333" s="85"/>
      <c r="H333" s="86"/>
      <c r="I333" s="56"/>
      <c r="L333" s="99"/>
      <c r="M333" s="99"/>
      <c r="N333" s="35"/>
    </row>
    <row r="334" spans="1:14" s="36" customFormat="1" ht="15.75" customHeight="1" x14ac:dyDescent="0.25">
      <c r="A334" s="41">
        <f t="shared" si="64"/>
        <v>4</v>
      </c>
      <c r="B334" s="53" t="s">
        <v>175</v>
      </c>
      <c r="C334" s="41" t="s">
        <v>173</v>
      </c>
      <c r="D334" s="54">
        <f>(81.22)*10.764</f>
        <v>874.25207999999998</v>
      </c>
      <c r="E334" s="41">
        <v>0</v>
      </c>
      <c r="F334" s="41">
        <f t="shared" si="65"/>
        <v>1311.3781199999999</v>
      </c>
      <c r="G334" s="87"/>
      <c r="H334" s="88"/>
      <c r="I334" s="56"/>
      <c r="L334" s="99"/>
      <c r="M334" s="99"/>
      <c r="N334" s="35"/>
    </row>
    <row r="335" spans="1:14" s="36" customFormat="1" x14ac:dyDescent="0.25">
      <c r="A335" s="103" t="s">
        <v>224</v>
      </c>
      <c r="B335" s="104"/>
      <c r="C335" s="104"/>
      <c r="D335" s="104"/>
      <c r="E335" s="104"/>
      <c r="F335" s="104"/>
      <c r="G335" s="104"/>
      <c r="H335" s="105"/>
      <c r="I335" s="56"/>
      <c r="J335" s="35"/>
    </row>
    <row r="336" spans="1:14" s="36" customFormat="1" x14ac:dyDescent="0.25">
      <c r="A336" s="103" t="s">
        <v>176</v>
      </c>
      <c r="B336" s="104"/>
      <c r="C336" s="104"/>
      <c r="D336" s="104"/>
      <c r="E336" s="104"/>
      <c r="F336" s="104"/>
      <c r="G336" s="104"/>
      <c r="H336" s="105"/>
      <c r="I336" s="56"/>
      <c r="J336" s="35"/>
    </row>
    <row r="337" spans="1:14" s="36" customFormat="1" ht="15.75" customHeight="1" x14ac:dyDescent="0.25">
      <c r="A337" s="41">
        <v>1</v>
      </c>
      <c r="B337" s="53" t="s">
        <v>175</v>
      </c>
      <c r="C337" s="41" t="s">
        <v>201</v>
      </c>
      <c r="D337" s="54">
        <f>(105.26+10.61)*10.764</f>
        <v>1247.22468</v>
      </c>
      <c r="E337" s="41">
        <v>0</v>
      </c>
      <c r="F337" s="41">
        <f t="shared" ref="F337" si="66">D337*(($F$169)+1)+(IF(E337&lt;101,E337,IF(E337&lt;201,E337/2,IF(E337&lt;=301,E337/3,E337/4))))</f>
        <v>1870.8370199999999</v>
      </c>
      <c r="G337" s="83" t="str">
        <f>A336</f>
        <v>1st Floor For Residential</v>
      </c>
      <c r="H337" s="84"/>
      <c r="I337" s="56"/>
      <c r="L337" s="99"/>
      <c r="M337" s="99"/>
      <c r="N337" s="35"/>
    </row>
    <row r="338" spans="1:14" s="36" customFormat="1" ht="15.75" customHeight="1" x14ac:dyDescent="0.25">
      <c r="A338" s="41">
        <f t="shared" ref="A338:A340" si="67">A337+1</f>
        <v>2</v>
      </c>
      <c r="B338" s="53" t="s">
        <v>175</v>
      </c>
      <c r="C338" s="41" t="s">
        <v>201</v>
      </c>
      <c r="D338" s="54">
        <f>(105.26+10.61)*10.764</f>
        <v>1247.22468</v>
      </c>
      <c r="E338" s="41">
        <v>0</v>
      </c>
      <c r="F338" s="41">
        <f>D338*(($F$169)+1)+(IF(E338&lt;101,E338,IF(E338&lt;201,E338/2,IF(E338&lt;=301,E338/3,E338/4))))</f>
        <v>1870.8370199999999</v>
      </c>
      <c r="G338" s="85"/>
      <c r="H338" s="86"/>
      <c r="I338" s="56"/>
      <c r="L338" s="99"/>
      <c r="M338" s="99"/>
      <c r="N338" s="35"/>
    </row>
    <row r="339" spans="1:14" s="36" customFormat="1" ht="15.75" customHeight="1" x14ac:dyDescent="0.25">
      <c r="A339" s="41">
        <f t="shared" si="67"/>
        <v>3</v>
      </c>
      <c r="B339" s="53" t="s">
        <v>175</v>
      </c>
      <c r="C339" s="41" t="s">
        <v>182</v>
      </c>
      <c r="D339" s="54">
        <f>(110.88+9.69)*10.764</f>
        <v>1297.8154799999998</v>
      </c>
      <c r="E339" s="41">
        <v>0</v>
      </c>
      <c r="F339" s="41">
        <f t="shared" ref="F339:F340" si="68">D339*(($F$169)+1)+(IF(E339&lt;101,E339,IF(E339&lt;201,E339/2,IF(E339&lt;=301,E339/3,E339/4))))</f>
        <v>1946.7232199999996</v>
      </c>
      <c r="G339" s="85"/>
      <c r="H339" s="86"/>
      <c r="I339" s="56"/>
      <c r="L339" s="99"/>
      <c r="M339" s="99"/>
      <c r="N339" s="35"/>
    </row>
    <row r="340" spans="1:14" s="36" customFormat="1" ht="15.75" customHeight="1" x14ac:dyDescent="0.25">
      <c r="A340" s="41">
        <f t="shared" si="67"/>
        <v>4</v>
      </c>
      <c r="B340" s="53" t="s">
        <v>175</v>
      </c>
      <c r="C340" s="41" t="s">
        <v>182</v>
      </c>
      <c r="D340" s="54">
        <f>(110.95+9.69)*10.764</f>
        <v>1298.5689599999998</v>
      </c>
      <c r="E340" s="41">
        <v>0</v>
      </c>
      <c r="F340" s="41">
        <f t="shared" si="68"/>
        <v>1947.8534399999999</v>
      </c>
      <c r="G340" s="87"/>
      <c r="H340" s="88"/>
      <c r="I340" s="56"/>
      <c r="L340" s="99"/>
      <c r="M340" s="99"/>
      <c r="N340" s="35"/>
    </row>
    <row r="341" spans="1:14" s="36" customFormat="1" x14ac:dyDescent="0.25">
      <c r="A341" s="103" t="s">
        <v>248</v>
      </c>
      <c r="B341" s="104"/>
      <c r="C341" s="104"/>
      <c r="D341" s="104"/>
      <c r="E341" s="104"/>
      <c r="F341" s="104"/>
      <c r="G341" s="104"/>
      <c r="H341" s="105"/>
      <c r="I341" s="56"/>
      <c r="J341" s="35"/>
    </row>
    <row r="342" spans="1:14" s="36" customFormat="1" ht="15.75" customHeight="1" x14ac:dyDescent="0.25">
      <c r="A342" s="41">
        <v>1</v>
      </c>
      <c r="B342" s="53" t="s">
        <v>175</v>
      </c>
      <c r="C342" s="41" t="s">
        <v>201</v>
      </c>
      <c r="D342" s="54">
        <f>(105.26+10.61)*10.764</f>
        <v>1247.22468</v>
      </c>
      <c r="E342" s="41">
        <v>0</v>
      </c>
      <c r="F342" s="41">
        <f t="shared" ref="F342" si="69">D342*(($F$169)+1)+(IF(E342&lt;101,E342,IF(E342&lt;201,E342/2,IF(E342&lt;=301,E342/3,E342/4))))</f>
        <v>1870.8370199999999</v>
      </c>
      <c r="G342" s="83" t="str">
        <f>A341</f>
        <v>2nd to 6th, 8th to 12th Floor</v>
      </c>
      <c r="H342" s="84"/>
      <c r="I342" s="56"/>
      <c r="L342" s="99"/>
      <c r="M342" s="99"/>
      <c r="N342" s="35"/>
    </row>
    <row r="343" spans="1:14" s="36" customFormat="1" ht="15.75" customHeight="1" x14ac:dyDescent="0.25">
      <c r="A343" s="41">
        <f t="shared" ref="A343:A345" si="70">A342+1</f>
        <v>2</v>
      </c>
      <c r="B343" s="53" t="s">
        <v>175</v>
      </c>
      <c r="C343" s="41" t="s">
        <v>201</v>
      </c>
      <c r="D343" s="54">
        <f>(105.26+10.61)*10.764</f>
        <v>1247.22468</v>
      </c>
      <c r="E343" s="41">
        <v>0</v>
      </c>
      <c r="F343" s="41">
        <f>D343*(($F$169)+1)+(IF(E343&lt;101,E343,IF(E343&lt;201,E343/2,IF(E343&lt;=301,E343/3,E343/4))))</f>
        <v>1870.8370199999999</v>
      </c>
      <c r="G343" s="85"/>
      <c r="H343" s="86"/>
      <c r="I343" s="56"/>
      <c r="L343" s="99"/>
      <c r="M343" s="99"/>
      <c r="N343" s="35"/>
    </row>
    <row r="344" spans="1:14" s="36" customFormat="1" ht="15.75" customHeight="1" x14ac:dyDescent="0.25">
      <c r="A344" s="41">
        <f t="shared" si="70"/>
        <v>3</v>
      </c>
      <c r="B344" s="53" t="s">
        <v>175</v>
      </c>
      <c r="C344" s="41" t="s">
        <v>182</v>
      </c>
      <c r="D344" s="54">
        <f>(110.88+9.69)*10.764</f>
        <v>1297.8154799999998</v>
      </c>
      <c r="E344" s="41">
        <v>0</v>
      </c>
      <c r="F344" s="41">
        <f t="shared" ref="F344:F345" si="71">D344*(($F$169)+1)+(IF(E344&lt;101,E344,IF(E344&lt;201,E344/2,IF(E344&lt;=301,E344/3,E344/4))))</f>
        <v>1946.7232199999996</v>
      </c>
      <c r="G344" s="85"/>
      <c r="H344" s="86"/>
      <c r="I344" s="56"/>
      <c r="L344" s="99"/>
      <c r="M344" s="99"/>
      <c r="N344" s="35"/>
    </row>
    <row r="345" spans="1:14" s="36" customFormat="1" ht="15.75" customHeight="1" x14ac:dyDescent="0.25">
      <c r="A345" s="41">
        <f t="shared" si="70"/>
        <v>4</v>
      </c>
      <c r="B345" s="53" t="s">
        <v>175</v>
      </c>
      <c r="C345" s="41" t="s">
        <v>182</v>
      </c>
      <c r="D345" s="54">
        <f>(110.95+9.69)*10.764</f>
        <v>1298.5689599999998</v>
      </c>
      <c r="E345" s="41">
        <v>0</v>
      </c>
      <c r="F345" s="41">
        <f t="shared" si="71"/>
        <v>1947.8534399999999</v>
      </c>
      <c r="G345" s="87"/>
      <c r="H345" s="88"/>
      <c r="I345" s="56"/>
      <c r="L345" s="99"/>
      <c r="M345" s="99"/>
      <c r="N345" s="35"/>
    </row>
    <row r="346" spans="1:14" s="36" customFormat="1" x14ac:dyDescent="0.25">
      <c r="A346" s="103" t="s">
        <v>276</v>
      </c>
      <c r="B346" s="104"/>
      <c r="C346" s="104"/>
      <c r="D346" s="104"/>
      <c r="E346" s="104"/>
      <c r="F346" s="104"/>
      <c r="G346" s="104"/>
      <c r="H346" s="105"/>
      <c r="I346" s="56">
        <f>1+6+6+6+1</f>
        <v>20</v>
      </c>
      <c r="J346" s="35"/>
    </row>
    <row r="347" spans="1:14" s="36" customFormat="1" x14ac:dyDescent="0.25">
      <c r="A347" s="41">
        <v>1</v>
      </c>
      <c r="B347" s="53" t="s">
        <v>175</v>
      </c>
      <c r="C347" s="41" t="s">
        <v>201</v>
      </c>
      <c r="D347" s="54">
        <f>(105.26+10.61)*10.764</f>
        <v>1247.22468</v>
      </c>
      <c r="E347" s="41">
        <v>0</v>
      </c>
      <c r="F347" s="41">
        <f t="shared" ref="F347" si="72">D347*(($F$169)+1)+(IF(E347&lt;101,E347,IF(E347&lt;201,E347/2,IF(E347&lt;=301,E347/3,E347/4))))</f>
        <v>1870.8370199999999</v>
      </c>
      <c r="G347" s="83" t="str">
        <f>A346</f>
        <v>14th, 16th to 21st, 23rd to 28th, 30th to 35th &amp; 37th Floor</v>
      </c>
      <c r="H347" s="84"/>
      <c r="I347" s="56"/>
      <c r="L347" s="99"/>
      <c r="M347" s="99"/>
      <c r="N347" s="35"/>
    </row>
    <row r="348" spans="1:14" s="36" customFormat="1" x14ac:dyDescent="0.25">
      <c r="A348" s="41">
        <f t="shared" ref="A348:A350" si="73">A347+1</f>
        <v>2</v>
      </c>
      <c r="B348" s="53" t="s">
        <v>175</v>
      </c>
      <c r="C348" s="41" t="s">
        <v>201</v>
      </c>
      <c r="D348" s="54">
        <f>(105.26+10.61)*10.764</f>
        <v>1247.22468</v>
      </c>
      <c r="E348" s="41">
        <v>0</v>
      </c>
      <c r="F348" s="41">
        <f>D348*(($F$169)+1)+(IF(E348&lt;101,E348,IF(E348&lt;201,E348/2,IF(E348&lt;=301,E348/3,E348/4))))</f>
        <v>1870.8370199999999</v>
      </c>
      <c r="G348" s="85"/>
      <c r="H348" s="86"/>
      <c r="I348" s="56"/>
      <c r="L348" s="99"/>
      <c r="M348" s="99"/>
      <c r="N348" s="35"/>
    </row>
    <row r="349" spans="1:14" s="36" customFormat="1" x14ac:dyDescent="0.25">
      <c r="A349" s="41">
        <f t="shared" si="73"/>
        <v>3</v>
      </c>
      <c r="B349" s="53" t="s">
        <v>175</v>
      </c>
      <c r="C349" s="41" t="s">
        <v>182</v>
      </c>
      <c r="D349" s="54">
        <f>(110.88+9.69)*10.764</f>
        <v>1297.8154799999998</v>
      </c>
      <c r="E349" s="41">
        <v>0</v>
      </c>
      <c r="F349" s="41">
        <f t="shared" ref="F349:F350" si="74">D349*(($F$169)+1)+(IF(E349&lt;101,E349,IF(E349&lt;201,E349/2,IF(E349&lt;=301,E349/3,E349/4))))</f>
        <v>1946.7232199999996</v>
      </c>
      <c r="G349" s="85"/>
      <c r="H349" s="86"/>
      <c r="I349" s="56"/>
      <c r="L349" s="99"/>
      <c r="M349" s="99"/>
      <c r="N349" s="35"/>
    </row>
    <row r="350" spans="1:14" s="36" customFormat="1" x14ac:dyDescent="0.25">
      <c r="A350" s="41">
        <f t="shared" si="73"/>
        <v>4</v>
      </c>
      <c r="B350" s="53" t="s">
        <v>175</v>
      </c>
      <c r="C350" s="41" t="s">
        <v>182</v>
      </c>
      <c r="D350" s="54">
        <f>(110.95+9.69)*10.764</f>
        <v>1298.5689599999998</v>
      </c>
      <c r="E350" s="41">
        <v>0</v>
      </c>
      <c r="F350" s="41">
        <f t="shared" si="74"/>
        <v>1947.8534399999999</v>
      </c>
      <c r="G350" s="87"/>
      <c r="H350" s="88"/>
      <c r="I350" s="56"/>
      <c r="L350" s="99"/>
      <c r="M350" s="99"/>
      <c r="N350" s="35"/>
    </row>
    <row r="351" spans="1:14" s="36" customFormat="1" x14ac:dyDescent="0.25">
      <c r="A351" s="103" t="s">
        <v>282</v>
      </c>
      <c r="B351" s="104"/>
      <c r="C351" s="104"/>
      <c r="D351" s="104"/>
      <c r="E351" s="104"/>
      <c r="F351" s="104"/>
      <c r="G351" s="104"/>
      <c r="H351" s="105"/>
      <c r="I351" s="56"/>
      <c r="J351" s="35"/>
    </row>
    <row r="352" spans="1:14" s="36" customFormat="1" x14ac:dyDescent="0.25">
      <c r="A352" s="41">
        <v>1</v>
      </c>
      <c r="B352" s="53" t="s">
        <v>175</v>
      </c>
      <c r="C352" s="41" t="s">
        <v>252</v>
      </c>
      <c r="D352" s="54">
        <f>(126.97+10.61)*10.764</f>
        <v>1480.9111199999998</v>
      </c>
      <c r="E352" s="41">
        <v>0</v>
      </c>
      <c r="F352" s="41">
        <f t="shared" ref="F352" si="75">D352*(($F$169)+1)+(IF(E352&lt;101,E352,IF(E352&lt;201,E352/2,IF(E352&lt;=301,E352/3,E352/4))))</f>
        <v>2221.3666799999996</v>
      </c>
      <c r="G352" s="83" t="str">
        <f>A351</f>
        <v>15th, 22nd, 29th &amp; 36th Floor (Part Refuge Area)</v>
      </c>
      <c r="H352" s="84"/>
      <c r="I352" s="56"/>
      <c r="L352" s="99"/>
      <c r="M352" s="99"/>
      <c r="N352" s="35"/>
    </row>
    <row r="353" spans="1:14" s="36" customFormat="1" x14ac:dyDescent="0.25">
      <c r="A353" s="41">
        <f t="shared" ref="A353:A355" si="76">A352+1</f>
        <v>2</v>
      </c>
      <c r="B353" s="53" t="s">
        <v>246</v>
      </c>
      <c r="C353" s="106" t="s">
        <v>178</v>
      </c>
      <c r="D353" s="107"/>
      <c r="E353" s="107"/>
      <c r="F353" s="108"/>
      <c r="G353" s="85"/>
      <c r="H353" s="86"/>
      <c r="I353" s="56"/>
      <c r="L353" s="99"/>
      <c r="M353" s="99"/>
      <c r="N353" s="35"/>
    </row>
    <row r="354" spans="1:14" s="36" customFormat="1" x14ac:dyDescent="0.25">
      <c r="A354" s="41">
        <f t="shared" si="76"/>
        <v>3</v>
      </c>
      <c r="B354" s="53" t="s">
        <v>175</v>
      </c>
      <c r="C354" s="41" t="s">
        <v>182</v>
      </c>
      <c r="D354" s="54">
        <f>(110.88+9.69)*10.764</f>
        <v>1297.8154799999998</v>
      </c>
      <c r="E354" s="41">
        <v>0</v>
      </c>
      <c r="F354" s="41">
        <f t="shared" ref="F354:F355" si="77">D354*(($F$169)+1)+(IF(E354&lt;101,E354,IF(E354&lt;201,E354/2,IF(E354&lt;=301,E354/3,E354/4))))</f>
        <v>1946.7232199999996</v>
      </c>
      <c r="G354" s="85"/>
      <c r="H354" s="86"/>
      <c r="I354" s="56"/>
      <c r="L354" s="99"/>
      <c r="M354" s="99"/>
      <c r="N354" s="35"/>
    </row>
    <row r="355" spans="1:14" s="36" customFormat="1" x14ac:dyDescent="0.25">
      <c r="A355" s="41">
        <f t="shared" si="76"/>
        <v>4</v>
      </c>
      <c r="B355" s="53" t="s">
        <v>175</v>
      </c>
      <c r="C355" s="41" t="s">
        <v>182</v>
      </c>
      <c r="D355" s="54">
        <f>(110.95+9.69)*10.764</f>
        <v>1298.5689599999998</v>
      </c>
      <c r="E355" s="41">
        <v>0</v>
      </c>
      <c r="F355" s="41">
        <f t="shared" si="77"/>
        <v>1947.8534399999999</v>
      </c>
      <c r="G355" s="87"/>
      <c r="H355" s="88"/>
      <c r="I355" s="56"/>
      <c r="L355" s="99"/>
      <c r="M355" s="99"/>
      <c r="N355" s="35"/>
    </row>
    <row r="356" spans="1:14" s="36" customFormat="1" x14ac:dyDescent="0.25">
      <c r="A356" s="103" t="s">
        <v>258</v>
      </c>
      <c r="B356" s="104"/>
      <c r="C356" s="104"/>
      <c r="D356" s="104"/>
      <c r="E356" s="104"/>
      <c r="F356" s="104"/>
      <c r="G356" s="104"/>
      <c r="H356" s="105"/>
      <c r="I356" s="56"/>
      <c r="J356" s="35"/>
    </row>
    <row r="357" spans="1:14" s="36" customFormat="1" ht="56.45" customHeight="1" x14ac:dyDescent="0.25">
      <c r="A357" s="41">
        <v>1</v>
      </c>
      <c r="B357" s="53" t="s">
        <v>175</v>
      </c>
      <c r="C357" s="41" t="s">
        <v>278</v>
      </c>
      <c r="D357" s="54">
        <f>(210.52+21.22)*10.764</f>
        <v>2494.4493600000001</v>
      </c>
      <c r="E357" s="41">
        <v>0</v>
      </c>
      <c r="F357" s="41">
        <f t="shared" ref="F357" si="78">D357*(($F$169)+1)+(IF(E357&lt;101,E357,IF(E357&lt;201,E357/2,IF(E357&lt;=301,E357/3,E357/4))))</f>
        <v>3741.6740399999999</v>
      </c>
      <c r="G357" s="83" t="str">
        <f>A356</f>
        <v>38th Floor</v>
      </c>
      <c r="H357" s="84"/>
      <c r="I357" s="56"/>
      <c r="L357" s="99"/>
      <c r="M357" s="99"/>
      <c r="N357" s="35"/>
    </row>
    <row r="358" spans="1:14" s="36" customFormat="1" ht="61.9" customHeight="1" x14ac:dyDescent="0.25">
      <c r="A358" s="41">
        <f t="shared" ref="A358:A360" si="79">A357+1</f>
        <v>2</v>
      </c>
      <c r="B358" s="53" t="s">
        <v>175</v>
      </c>
      <c r="C358" s="41" t="s">
        <v>278</v>
      </c>
      <c r="D358" s="54">
        <f>(210.52+21.22)*10.764</f>
        <v>2494.4493600000001</v>
      </c>
      <c r="E358" s="41">
        <v>0</v>
      </c>
      <c r="F358" s="41">
        <f>D358*(($F$169)+1)+(IF(E358&lt;101,E358,IF(E358&lt;201,E358/2,IF(E358&lt;=301,E358/3,E358/4))))</f>
        <v>3741.6740399999999</v>
      </c>
      <c r="G358" s="85"/>
      <c r="H358" s="86"/>
      <c r="I358" s="56"/>
      <c r="L358" s="99"/>
      <c r="M358" s="99"/>
      <c r="N358" s="35"/>
    </row>
    <row r="359" spans="1:14" s="36" customFormat="1" x14ac:dyDescent="0.25">
      <c r="A359" s="41">
        <f t="shared" si="79"/>
        <v>3</v>
      </c>
      <c r="B359" s="53" t="s">
        <v>175</v>
      </c>
      <c r="C359" s="41" t="s">
        <v>182</v>
      </c>
      <c r="D359" s="54">
        <f>(110.88+9.69)*10.764</f>
        <v>1297.8154799999998</v>
      </c>
      <c r="E359" s="41">
        <v>0</v>
      </c>
      <c r="F359" s="41">
        <f t="shared" ref="F359:F360" si="80">D359*(($F$169)+1)+(IF(E359&lt;101,E359,IF(E359&lt;201,E359/2,IF(E359&lt;=301,E359/3,E359/4))))</f>
        <v>1946.7232199999996</v>
      </c>
      <c r="G359" s="85"/>
      <c r="H359" s="86"/>
      <c r="I359" s="56"/>
      <c r="L359" s="99"/>
      <c r="M359" s="99"/>
      <c r="N359" s="35"/>
    </row>
    <row r="360" spans="1:14" s="36" customFormat="1" x14ac:dyDescent="0.25">
      <c r="A360" s="41">
        <f t="shared" si="79"/>
        <v>4</v>
      </c>
      <c r="B360" s="53" t="s">
        <v>175</v>
      </c>
      <c r="C360" s="41" t="s">
        <v>182</v>
      </c>
      <c r="D360" s="54">
        <f>(110.95+9.69)*10.764</f>
        <v>1298.5689599999998</v>
      </c>
      <c r="E360" s="41">
        <v>0</v>
      </c>
      <c r="F360" s="41">
        <f t="shared" si="80"/>
        <v>1947.8534399999999</v>
      </c>
      <c r="G360" s="87"/>
      <c r="H360" s="88"/>
      <c r="I360" s="56"/>
      <c r="L360" s="99"/>
      <c r="M360" s="99"/>
      <c r="N360" s="35"/>
    </row>
    <row r="361" spans="1:14" s="36" customFormat="1" x14ac:dyDescent="0.25">
      <c r="A361" s="103" t="s">
        <v>262</v>
      </c>
      <c r="B361" s="104"/>
      <c r="C361" s="104"/>
      <c r="D361" s="104"/>
      <c r="E361" s="104"/>
      <c r="F361" s="104"/>
      <c r="G361" s="104"/>
      <c r="H361" s="105"/>
      <c r="I361" s="56"/>
      <c r="J361" s="35"/>
    </row>
    <row r="362" spans="1:14" s="36" customFormat="1" ht="15.6" customHeight="1" x14ac:dyDescent="0.25">
      <c r="A362" s="41">
        <v>1</v>
      </c>
      <c r="B362" s="53" t="s">
        <v>246</v>
      </c>
      <c r="C362" s="106" t="s">
        <v>264</v>
      </c>
      <c r="D362" s="107"/>
      <c r="E362" s="107"/>
      <c r="F362" s="108"/>
      <c r="G362" s="83" t="str">
        <f>A361</f>
        <v>39th Floor</v>
      </c>
      <c r="H362" s="84"/>
      <c r="I362" s="56"/>
      <c r="L362" s="99"/>
      <c r="M362" s="99"/>
      <c r="N362" s="35"/>
    </row>
    <row r="363" spans="1:14" s="36" customFormat="1" ht="15.6" customHeight="1" x14ac:dyDescent="0.25">
      <c r="A363" s="41">
        <f t="shared" ref="A363:A365" si="81">A362+1</f>
        <v>2</v>
      </c>
      <c r="B363" s="53" t="s">
        <v>246</v>
      </c>
      <c r="C363" s="106" t="s">
        <v>264</v>
      </c>
      <c r="D363" s="107"/>
      <c r="E363" s="107"/>
      <c r="F363" s="108"/>
      <c r="G363" s="85"/>
      <c r="H363" s="86"/>
      <c r="I363" s="56"/>
      <c r="L363" s="99"/>
      <c r="M363" s="99"/>
      <c r="N363" s="35"/>
    </row>
    <row r="364" spans="1:14" s="36" customFormat="1" x14ac:dyDescent="0.25">
      <c r="A364" s="41">
        <f t="shared" si="81"/>
        <v>3</v>
      </c>
      <c r="B364" s="53" t="s">
        <v>175</v>
      </c>
      <c r="C364" s="41" t="s">
        <v>182</v>
      </c>
      <c r="D364" s="54">
        <f>(110.88+9.69)*10.764</f>
        <v>1297.8154799999998</v>
      </c>
      <c r="E364" s="41">
        <v>0</v>
      </c>
      <c r="F364" s="41">
        <f t="shared" ref="F364:F365" si="82">D364*(($F$169)+1)+(IF(E364&lt;101,E364,IF(E364&lt;201,E364/2,IF(E364&lt;=301,E364/3,E364/4))))</f>
        <v>1946.7232199999996</v>
      </c>
      <c r="G364" s="85"/>
      <c r="H364" s="86"/>
      <c r="I364" s="56"/>
      <c r="L364" s="99"/>
      <c r="M364" s="99"/>
      <c r="N364" s="35"/>
    </row>
    <row r="365" spans="1:14" s="36" customFormat="1" x14ac:dyDescent="0.25">
      <c r="A365" s="41">
        <f t="shared" si="81"/>
        <v>4</v>
      </c>
      <c r="B365" s="53" t="s">
        <v>175</v>
      </c>
      <c r="C365" s="41" t="s">
        <v>182</v>
      </c>
      <c r="D365" s="54">
        <f>(110.95+9.69)*10.764</f>
        <v>1298.5689599999998</v>
      </c>
      <c r="E365" s="41">
        <v>0</v>
      </c>
      <c r="F365" s="41">
        <f t="shared" si="82"/>
        <v>1947.8534399999999</v>
      </c>
      <c r="G365" s="87"/>
      <c r="H365" s="88"/>
      <c r="I365" s="56"/>
      <c r="L365" s="99"/>
      <c r="M365" s="99"/>
      <c r="N365" s="35"/>
    </row>
    <row r="366" spans="1:14" s="34" customFormat="1" x14ac:dyDescent="0.25">
      <c r="A366" s="220" t="s">
        <v>68</v>
      </c>
      <c r="B366" s="220"/>
      <c r="C366" s="220"/>
      <c r="D366" s="220"/>
      <c r="E366" s="220"/>
      <c r="F366" s="220"/>
      <c r="G366" s="220"/>
      <c r="H366" s="220"/>
    </row>
    <row r="367" spans="1:14" s="34" customFormat="1" ht="48.75" customHeight="1" x14ac:dyDescent="0.25">
      <c r="A367" s="46">
        <v>1</v>
      </c>
      <c r="B367" s="68" t="s">
        <v>283</v>
      </c>
      <c r="C367" s="69"/>
      <c r="D367" s="69"/>
      <c r="E367" s="69"/>
      <c r="F367" s="69"/>
      <c r="G367" s="69"/>
      <c r="H367" s="70"/>
    </row>
    <row r="368" spans="1:14" s="34" customFormat="1" x14ac:dyDescent="0.25">
      <c r="A368" s="46">
        <f>A367+1</f>
        <v>2</v>
      </c>
      <c r="B368" s="68" t="str">
        <f>(IF(F168="Saleable area Loading :","We have considered Saleable area of Flats as per our Calculation.","We considered Saleable area of Flat as per Builder area Sheet."))</f>
        <v>We have considered Saleable area of Flats as per our Calculation.</v>
      </c>
      <c r="C368" s="69"/>
      <c r="D368" s="69"/>
      <c r="E368" s="69"/>
      <c r="F368" s="69"/>
      <c r="G368" s="69"/>
      <c r="H368" s="70"/>
    </row>
    <row r="369" spans="1:8" s="34" customFormat="1" x14ac:dyDescent="0.25">
      <c r="A369" s="46">
        <f t="shared" ref="A369:A386" si="83">A368+1</f>
        <v>3</v>
      </c>
      <c r="B369" s="136" t="s">
        <v>122</v>
      </c>
      <c r="C369" s="137"/>
      <c r="D369" s="137"/>
      <c r="E369" s="137"/>
      <c r="F369" s="137"/>
      <c r="G369" s="137"/>
      <c r="H369" s="138"/>
    </row>
    <row r="370" spans="1:8" s="34" customFormat="1" x14ac:dyDescent="0.25">
      <c r="A370" s="46">
        <f t="shared" si="83"/>
        <v>4</v>
      </c>
      <c r="B370" s="136" t="s">
        <v>180</v>
      </c>
      <c r="C370" s="137"/>
      <c r="D370" s="137"/>
      <c r="E370" s="137"/>
      <c r="F370" s="137"/>
      <c r="G370" s="137"/>
      <c r="H370" s="138"/>
    </row>
    <row r="371" spans="1:8" s="34" customFormat="1" x14ac:dyDescent="0.25">
      <c r="A371" s="46">
        <f t="shared" si="83"/>
        <v>5</v>
      </c>
      <c r="B371" s="136" t="s">
        <v>150</v>
      </c>
      <c r="C371" s="137"/>
      <c r="D371" s="137"/>
      <c r="E371" s="137"/>
      <c r="F371" s="137"/>
      <c r="G371" s="137"/>
      <c r="H371" s="138"/>
    </row>
    <row r="372" spans="1:8" s="34" customFormat="1" x14ac:dyDescent="0.25">
      <c r="A372" s="46">
        <f t="shared" si="83"/>
        <v>6</v>
      </c>
      <c r="B372" s="136" t="s">
        <v>123</v>
      </c>
      <c r="C372" s="137"/>
      <c r="D372" s="137"/>
      <c r="E372" s="137"/>
      <c r="F372" s="137"/>
      <c r="G372" s="137"/>
      <c r="H372" s="138"/>
    </row>
    <row r="373" spans="1:8" s="34" customFormat="1" ht="34.5" customHeight="1" x14ac:dyDescent="0.25">
      <c r="A373" s="46">
        <f t="shared" si="83"/>
        <v>7</v>
      </c>
      <c r="B373" s="136" t="s">
        <v>151</v>
      </c>
      <c r="C373" s="137"/>
      <c r="D373" s="137"/>
      <c r="E373" s="137"/>
      <c r="F373" s="137"/>
      <c r="G373" s="137"/>
      <c r="H373" s="138"/>
    </row>
    <row r="374" spans="1:8" s="34" customFormat="1" x14ac:dyDescent="0.25">
      <c r="A374" s="46">
        <f t="shared" si="83"/>
        <v>8</v>
      </c>
      <c r="B374" s="136" t="s">
        <v>124</v>
      </c>
      <c r="C374" s="137"/>
      <c r="D374" s="137"/>
      <c r="E374" s="137"/>
      <c r="F374" s="137"/>
      <c r="G374" s="137"/>
      <c r="H374" s="138"/>
    </row>
    <row r="375" spans="1:8" s="34" customFormat="1" ht="79.5" customHeight="1" x14ac:dyDescent="0.25">
      <c r="A375" s="46">
        <f t="shared" si="83"/>
        <v>9</v>
      </c>
      <c r="B375" s="68" t="s">
        <v>205</v>
      </c>
      <c r="C375" s="69"/>
      <c r="D375" s="69"/>
      <c r="E375" s="69"/>
      <c r="F375" s="69"/>
      <c r="G375" s="69"/>
      <c r="H375" s="70"/>
    </row>
    <row r="376" spans="1:8" s="34" customFormat="1" x14ac:dyDescent="0.25">
      <c r="A376" s="46">
        <f t="shared" si="83"/>
        <v>10</v>
      </c>
      <c r="B376" s="68" t="s">
        <v>206</v>
      </c>
      <c r="C376" s="69"/>
      <c r="D376" s="69"/>
      <c r="E376" s="69"/>
      <c r="F376" s="69"/>
      <c r="G376" s="69"/>
      <c r="H376" s="70"/>
    </row>
    <row r="377" spans="1:8" s="34" customFormat="1" x14ac:dyDescent="0.25">
      <c r="A377" s="46">
        <f t="shared" si="83"/>
        <v>11</v>
      </c>
      <c r="B377" s="68" t="s">
        <v>229</v>
      </c>
      <c r="C377" s="69"/>
      <c r="D377" s="69"/>
      <c r="E377" s="69"/>
      <c r="F377" s="69"/>
      <c r="G377" s="69"/>
      <c r="H377" s="70"/>
    </row>
    <row r="378" spans="1:8" s="34" customFormat="1" x14ac:dyDescent="0.25">
      <c r="A378" s="46">
        <f t="shared" si="83"/>
        <v>12</v>
      </c>
      <c r="B378" s="68" t="s">
        <v>296</v>
      </c>
      <c r="C378" s="69"/>
      <c r="D378" s="69"/>
      <c r="E378" s="69"/>
      <c r="F378" s="69"/>
      <c r="G378" s="69"/>
      <c r="H378" s="70"/>
    </row>
    <row r="379" spans="1:8" s="34" customFormat="1" ht="33" customHeight="1" x14ac:dyDescent="0.25">
      <c r="A379" s="46">
        <f t="shared" si="83"/>
        <v>13</v>
      </c>
      <c r="B379" s="68" t="s">
        <v>226</v>
      </c>
      <c r="C379" s="69"/>
      <c r="D379" s="69"/>
      <c r="E379" s="69"/>
      <c r="F379" s="69"/>
      <c r="G379" s="69"/>
      <c r="H379" s="70"/>
    </row>
    <row r="380" spans="1:8" s="34" customFormat="1" x14ac:dyDescent="0.25">
      <c r="A380" s="46">
        <f t="shared" si="83"/>
        <v>14</v>
      </c>
      <c r="B380" s="68" t="s">
        <v>294</v>
      </c>
      <c r="C380" s="69"/>
      <c r="D380" s="69"/>
      <c r="E380" s="69"/>
      <c r="F380" s="69"/>
      <c r="G380" s="69"/>
      <c r="H380" s="70"/>
    </row>
    <row r="381" spans="1:8" s="34" customFormat="1" x14ac:dyDescent="0.25">
      <c r="A381" s="46">
        <f t="shared" si="83"/>
        <v>15</v>
      </c>
      <c r="B381" s="68" t="s">
        <v>297</v>
      </c>
      <c r="C381" s="69"/>
      <c r="D381" s="69"/>
      <c r="E381" s="69"/>
      <c r="F381" s="69"/>
      <c r="G381" s="69"/>
      <c r="H381" s="70"/>
    </row>
    <row r="382" spans="1:8" s="34" customFormat="1" x14ac:dyDescent="0.25">
      <c r="A382" s="46">
        <f t="shared" si="83"/>
        <v>16</v>
      </c>
      <c r="B382" s="68" t="s">
        <v>290</v>
      </c>
      <c r="C382" s="69"/>
      <c r="D382" s="69"/>
      <c r="E382" s="69"/>
      <c r="F382" s="69"/>
      <c r="G382" s="69"/>
      <c r="H382" s="70"/>
    </row>
    <row r="383" spans="1:8" s="34" customFormat="1" x14ac:dyDescent="0.25">
      <c r="A383" s="46">
        <f t="shared" si="83"/>
        <v>17</v>
      </c>
      <c r="B383" s="68" t="s">
        <v>310</v>
      </c>
      <c r="C383" s="69"/>
      <c r="D383" s="69"/>
      <c r="E383" s="69"/>
      <c r="F383" s="69"/>
      <c r="G383" s="69"/>
      <c r="H383" s="70"/>
    </row>
    <row r="384" spans="1:8" s="34" customFormat="1" ht="96.75" customHeight="1" x14ac:dyDescent="0.25">
      <c r="A384" s="46">
        <f t="shared" si="83"/>
        <v>18</v>
      </c>
      <c r="B384" s="68" t="s">
        <v>284</v>
      </c>
      <c r="C384" s="69"/>
      <c r="D384" s="69"/>
      <c r="E384" s="69"/>
      <c r="F384" s="69"/>
      <c r="G384" s="69"/>
      <c r="H384" s="70"/>
    </row>
    <row r="385" spans="1:8" s="34" customFormat="1" ht="96.75" customHeight="1" x14ac:dyDescent="0.25">
      <c r="A385" s="46">
        <f t="shared" si="83"/>
        <v>19</v>
      </c>
      <c r="B385" s="68" t="s">
        <v>285</v>
      </c>
      <c r="C385" s="69"/>
      <c r="D385" s="69"/>
      <c r="E385" s="69"/>
      <c r="F385" s="69"/>
      <c r="G385" s="69"/>
      <c r="H385" s="70"/>
    </row>
    <row r="386" spans="1:8" s="34" customFormat="1" ht="96.75" customHeight="1" x14ac:dyDescent="0.25">
      <c r="A386" s="46">
        <f t="shared" si="83"/>
        <v>20</v>
      </c>
      <c r="B386" s="68" t="s">
        <v>286</v>
      </c>
      <c r="C386" s="69"/>
      <c r="D386" s="69"/>
      <c r="E386" s="69"/>
      <c r="F386" s="69"/>
      <c r="G386" s="69"/>
      <c r="H386" s="70"/>
    </row>
    <row r="387" spans="1:8" x14ac:dyDescent="0.25">
      <c r="A387" s="170" t="s">
        <v>61</v>
      </c>
      <c r="B387" s="170"/>
      <c r="C387" s="170"/>
      <c r="D387" s="170"/>
      <c r="E387" s="170"/>
      <c r="F387" s="170"/>
      <c r="G387" s="170"/>
      <c r="H387" s="170"/>
    </row>
    <row r="388" spans="1:8" x14ac:dyDescent="0.25">
      <c r="A388" s="117" t="s">
        <v>62</v>
      </c>
      <c r="B388" s="117"/>
      <c r="C388" s="117"/>
      <c r="D388" s="117"/>
      <c r="E388" s="117"/>
      <c r="F388" s="117"/>
      <c r="G388" s="117"/>
      <c r="H388" s="117"/>
    </row>
    <row r="389" spans="1:8" ht="15.75" customHeight="1" x14ac:dyDescent="0.25">
      <c r="A389" s="130" t="s">
        <v>63</v>
      </c>
      <c r="B389" s="130"/>
      <c r="C389" s="130"/>
      <c r="D389" s="130"/>
      <c r="E389" s="130"/>
      <c r="F389" s="130"/>
      <c r="G389" s="130"/>
      <c r="H389" s="130"/>
    </row>
    <row r="390" spans="1:8" x14ac:dyDescent="0.25">
      <c r="A390" s="117" t="s">
        <v>64</v>
      </c>
      <c r="B390" s="117"/>
      <c r="C390" s="117"/>
      <c r="D390" s="117"/>
      <c r="E390" s="117"/>
      <c r="F390" s="117"/>
      <c r="G390" s="117"/>
      <c r="H390" s="117"/>
    </row>
    <row r="391" spans="1:8" x14ac:dyDescent="0.25">
      <c r="A391" s="117" t="s">
        <v>65</v>
      </c>
      <c r="B391" s="117"/>
      <c r="C391" s="117"/>
      <c r="D391" s="117"/>
      <c r="E391" s="117"/>
      <c r="F391" s="117"/>
      <c r="G391" s="117"/>
      <c r="H391" s="117"/>
    </row>
    <row r="392" spans="1:8" x14ac:dyDescent="0.25">
      <c r="A392" s="117" t="s">
        <v>125</v>
      </c>
      <c r="B392" s="117"/>
      <c r="C392" s="117"/>
      <c r="D392" s="117"/>
      <c r="E392" s="117"/>
      <c r="F392" s="117"/>
      <c r="G392" s="117"/>
      <c r="H392" s="117"/>
    </row>
    <row r="393" spans="1:8" x14ac:dyDescent="0.25">
      <c r="A393" s="158" t="s">
        <v>126</v>
      </c>
      <c r="B393" s="158"/>
      <c r="C393" s="158"/>
      <c r="D393" s="158"/>
      <c r="E393" s="158"/>
      <c r="F393" s="158"/>
      <c r="G393" s="158"/>
      <c r="H393" s="158"/>
    </row>
    <row r="394" spans="1:8" x14ac:dyDescent="0.25">
      <c r="A394" s="167" t="s">
        <v>76</v>
      </c>
      <c r="B394" s="167"/>
      <c r="C394" s="167" t="s">
        <v>312</v>
      </c>
      <c r="D394" s="167"/>
      <c r="E394" s="167" t="s">
        <v>105</v>
      </c>
      <c r="F394" s="167"/>
      <c r="G394" s="167" t="s">
        <v>311</v>
      </c>
      <c r="H394" s="167"/>
    </row>
    <row r="395" spans="1:8" x14ac:dyDescent="0.25">
      <c r="A395" s="166" t="s">
        <v>78</v>
      </c>
      <c r="B395" s="166"/>
      <c r="C395" s="166"/>
      <c r="D395" s="166"/>
      <c r="E395" s="166"/>
      <c r="F395" s="166"/>
      <c r="G395" s="166"/>
      <c r="H395" s="166"/>
    </row>
    <row r="396" spans="1:8" x14ac:dyDescent="0.25">
      <c r="A396" s="166"/>
      <c r="B396" s="166"/>
      <c r="C396" s="166"/>
      <c r="D396" s="166"/>
      <c r="E396" s="166"/>
      <c r="F396" s="166"/>
      <c r="G396" s="166"/>
      <c r="H396" s="166"/>
    </row>
    <row r="397" spans="1:8" x14ac:dyDescent="0.25">
      <c r="A397" s="166"/>
      <c r="B397" s="166"/>
      <c r="C397" s="166"/>
      <c r="D397" s="166"/>
      <c r="E397" s="166"/>
      <c r="F397" s="166"/>
      <c r="G397" s="166"/>
      <c r="H397" s="166"/>
    </row>
    <row r="398" spans="1:8" x14ac:dyDescent="0.25">
      <c r="A398" s="37" t="s">
        <v>66</v>
      </c>
      <c r="B398" s="38"/>
      <c r="C398" s="38"/>
      <c r="D398" s="37" t="str">
        <f>E8</f>
        <v>Bellissimo Matunga</v>
      </c>
      <c r="F398" s="38"/>
      <c r="G398" s="38"/>
      <c r="H398" s="38"/>
    </row>
    <row r="399" spans="1:8" x14ac:dyDescent="0.25">
      <c r="A399" s="38"/>
      <c r="B399" s="38"/>
      <c r="C399" s="38"/>
      <c r="D399" s="38"/>
      <c r="E399" s="38"/>
      <c r="F399" s="38"/>
      <c r="G399" s="38"/>
      <c r="H399" s="38"/>
    </row>
    <row r="400" spans="1:8" x14ac:dyDescent="0.25">
      <c r="A400" s="38"/>
      <c r="B400" s="38"/>
      <c r="C400" s="38"/>
      <c r="D400" s="38"/>
      <c r="E400" s="38"/>
      <c r="F400" s="38"/>
      <c r="G400" s="38"/>
      <c r="H400" s="38"/>
    </row>
    <row r="401" ht="15" customHeight="1" x14ac:dyDescent="0.25"/>
    <row r="441" spans="1:1" x14ac:dyDescent="0.25">
      <c r="A441" s="40" t="s">
        <v>161</v>
      </c>
    </row>
    <row r="485" spans="1:1" x14ac:dyDescent="0.25">
      <c r="A485" s="40" t="s">
        <v>304</v>
      </c>
    </row>
    <row r="506" spans="1:1" x14ac:dyDescent="0.25">
      <c r="A506" s="40" t="s">
        <v>305</v>
      </c>
    </row>
    <row r="523" spans="1:1" x14ac:dyDescent="0.25">
      <c r="A523" s="40" t="s">
        <v>306</v>
      </c>
    </row>
    <row r="561" spans="1:1" x14ac:dyDescent="0.25">
      <c r="A561" s="40" t="s">
        <v>307</v>
      </c>
    </row>
    <row r="599" spans="1:1" x14ac:dyDescent="0.25">
      <c r="A599" s="40" t="s">
        <v>308</v>
      </c>
    </row>
    <row r="637" spans="1:1" x14ac:dyDescent="0.25">
      <c r="A637" s="40" t="s">
        <v>295</v>
      </c>
    </row>
    <row r="676" spans="1:1" x14ac:dyDescent="0.25">
      <c r="A676" s="40" t="s">
        <v>67</v>
      </c>
    </row>
  </sheetData>
  <mergeCells count="569">
    <mergeCell ref="B378:H378"/>
    <mergeCell ref="B380:H380"/>
    <mergeCell ref="B381:H381"/>
    <mergeCell ref="B383:H383"/>
    <mergeCell ref="B382:H382"/>
    <mergeCell ref="C270:F271"/>
    <mergeCell ref="B270:B271"/>
    <mergeCell ref="L260:M260"/>
    <mergeCell ref="L280:M280"/>
    <mergeCell ref="A336:H336"/>
    <mergeCell ref="L310:M310"/>
    <mergeCell ref="A366:H366"/>
    <mergeCell ref="A298:H298"/>
    <mergeCell ref="A293:H293"/>
    <mergeCell ref="A304:H304"/>
    <mergeCell ref="A299:H299"/>
    <mergeCell ref="B377:H377"/>
    <mergeCell ref="A329:H329"/>
    <mergeCell ref="C362:F362"/>
    <mergeCell ref="C363:F363"/>
    <mergeCell ref="A346:H346"/>
    <mergeCell ref="B376:H376"/>
    <mergeCell ref="A341:H341"/>
    <mergeCell ref="A264:H264"/>
    <mergeCell ref="L264:M264"/>
    <mergeCell ref="G265:H267"/>
    <mergeCell ref="A228:H228"/>
    <mergeCell ref="L228:M228"/>
    <mergeCell ref="G229:H231"/>
    <mergeCell ref="G193:H196"/>
    <mergeCell ref="B195:F195"/>
    <mergeCell ref="A197:H197"/>
    <mergeCell ref="G198:H201"/>
    <mergeCell ref="A202:H202"/>
    <mergeCell ref="G203:H206"/>
    <mergeCell ref="C205:F205"/>
    <mergeCell ref="C206:F206"/>
    <mergeCell ref="A220:H220"/>
    <mergeCell ref="L215:M215"/>
    <mergeCell ref="L232:M232"/>
    <mergeCell ref="G233:H235"/>
    <mergeCell ref="L240:M240"/>
    <mergeCell ref="L214:M214"/>
    <mergeCell ref="G241:H242"/>
    <mergeCell ref="A236:H236"/>
    <mergeCell ref="G237:H239"/>
    <mergeCell ref="A351:H351"/>
    <mergeCell ref="G352:H355"/>
    <mergeCell ref="F140:H140"/>
    <mergeCell ref="A140:E140"/>
    <mergeCell ref="A142:E142"/>
    <mergeCell ref="C282:F282"/>
    <mergeCell ref="A276:H276"/>
    <mergeCell ref="L357:M357"/>
    <mergeCell ref="L284:M284"/>
    <mergeCell ref="G285:H287"/>
    <mergeCell ref="L288:M288"/>
    <mergeCell ref="G289:H291"/>
    <mergeCell ref="L276:M276"/>
    <mergeCell ref="G277:H279"/>
    <mergeCell ref="G155:H155"/>
    <mergeCell ref="E163:F163"/>
    <mergeCell ref="G160:H160"/>
    <mergeCell ref="E160:F160"/>
    <mergeCell ref="C160:D160"/>
    <mergeCell ref="F148:H148"/>
    <mergeCell ref="A163:B163"/>
    <mergeCell ref="C154:D154"/>
    <mergeCell ref="E154:F154"/>
    <mergeCell ref="A182:H182"/>
    <mergeCell ref="L362:M362"/>
    <mergeCell ref="C353:F353"/>
    <mergeCell ref="A356:H356"/>
    <mergeCell ref="G357:H360"/>
    <mergeCell ref="L358:M358"/>
    <mergeCell ref="L359:M359"/>
    <mergeCell ref="L360:M360"/>
    <mergeCell ref="A361:H361"/>
    <mergeCell ref="G362:H365"/>
    <mergeCell ref="L363:M363"/>
    <mergeCell ref="L364:M364"/>
    <mergeCell ref="L365:M365"/>
    <mergeCell ref="L353:M353"/>
    <mergeCell ref="L354:M354"/>
    <mergeCell ref="L355:M355"/>
    <mergeCell ref="A124:B124"/>
    <mergeCell ref="F145:H145"/>
    <mergeCell ref="A139:E139"/>
    <mergeCell ref="A76:C76"/>
    <mergeCell ref="E86:F95"/>
    <mergeCell ref="G86:H95"/>
    <mergeCell ref="A94:B94"/>
    <mergeCell ref="A95:B95"/>
    <mergeCell ref="D76:H76"/>
    <mergeCell ref="A92:B92"/>
    <mergeCell ref="A85:B85"/>
    <mergeCell ref="A88:B88"/>
    <mergeCell ref="A84:B84"/>
    <mergeCell ref="C82:H82"/>
    <mergeCell ref="A90:B90"/>
    <mergeCell ref="A77:C77"/>
    <mergeCell ref="D77:H77"/>
    <mergeCell ref="F138:H138"/>
    <mergeCell ref="F143:H143"/>
    <mergeCell ref="C124:H124"/>
    <mergeCell ref="A126:B126"/>
    <mergeCell ref="C126:H126"/>
    <mergeCell ref="A127:B127"/>
    <mergeCell ref="E85:F85"/>
    <mergeCell ref="A81:C81"/>
    <mergeCell ref="D81:H81"/>
    <mergeCell ref="A86:B86"/>
    <mergeCell ref="A93:B93"/>
    <mergeCell ref="C96:H96"/>
    <mergeCell ref="C84:H84"/>
    <mergeCell ref="G85:H85"/>
    <mergeCell ref="C110:H110"/>
    <mergeCell ref="A112:B112"/>
    <mergeCell ref="C112:H112"/>
    <mergeCell ref="A109:B109"/>
    <mergeCell ref="A102:B102"/>
    <mergeCell ref="A103:B103"/>
    <mergeCell ref="A104:B104"/>
    <mergeCell ref="A105:B105"/>
    <mergeCell ref="A106:B106"/>
    <mergeCell ref="A107:B107"/>
    <mergeCell ref="A108:B108"/>
    <mergeCell ref="A87:B87"/>
    <mergeCell ref="A89:B89"/>
    <mergeCell ref="A98:B98"/>
    <mergeCell ref="C98:H98"/>
    <mergeCell ref="A99:B99"/>
    <mergeCell ref="E99:F99"/>
    <mergeCell ref="A113:B113"/>
    <mergeCell ref="E113:F113"/>
    <mergeCell ref="G113:H113"/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D80:H80"/>
    <mergeCell ref="A91:B91"/>
    <mergeCell ref="A49:H49"/>
    <mergeCell ref="D70:H70"/>
    <mergeCell ref="A70:C70"/>
    <mergeCell ref="G52:H52"/>
    <mergeCell ref="A53:B54"/>
    <mergeCell ref="A69:C69"/>
    <mergeCell ref="C63:E63"/>
    <mergeCell ref="G63:H63"/>
    <mergeCell ref="A57:B58"/>
    <mergeCell ref="C57:E57"/>
    <mergeCell ref="G57:H57"/>
    <mergeCell ref="C58:H58"/>
    <mergeCell ref="A59:B59"/>
    <mergeCell ref="C56:H56"/>
    <mergeCell ref="A50:B50"/>
    <mergeCell ref="C50:H50"/>
    <mergeCell ref="D69:H69"/>
    <mergeCell ref="C51:E51"/>
    <mergeCell ref="G51:H51"/>
    <mergeCell ref="A67:H67"/>
    <mergeCell ref="D73:H73"/>
    <mergeCell ref="A79:C79"/>
    <mergeCell ref="G62:H62"/>
    <mergeCell ref="A63:B63"/>
    <mergeCell ref="A44:D44"/>
    <mergeCell ref="E44:H44"/>
    <mergeCell ref="A51:B51"/>
    <mergeCell ref="A55:B56"/>
    <mergeCell ref="E45:H45"/>
    <mergeCell ref="A47:D47"/>
    <mergeCell ref="E46:H46"/>
    <mergeCell ref="E47:H47"/>
    <mergeCell ref="A45:D45"/>
    <mergeCell ref="A61:B61"/>
    <mergeCell ref="C61:H61"/>
    <mergeCell ref="C52:E52"/>
    <mergeCell ref="C59:E59"/>
    <mergeCell ref="A23:D24"/>
    <mergeCell ref="E23:H24"/>
    <mergeCell ref="A25:D25"/>
    <mergeCell ref="E25:H25"/>
    <mergeCell ref="A19:B19"/>
    <mergeCell ref="A46:D46"/>
    <mergeCell ref="A38:H38"/>
    <mergeCell ref="A37:B37"/>
    <mergeCell ref="C37:E37"/>
    <mergeCell ref="A42:D42"/>
    <mergeCell ref="E42:H42"/>
    <mergeCell ref="A41:H41"/>
    <mergeCell ref="C36:E36"/>
    <mergeCell ref="F36:H36"/>
    <mergeCell ref="E43:H43"/>
    <mergeCell ref="A43:D43"/>
    <mergeCell ref="A21:B21"/>
    <mergeCell ref="C21:D21"/>
    <mergeCell ref="E21:F21"/>
    <mergeCell ref="G21:H21"/>
    <mergeCell ref="C19:D19"/>
    <mergeCell ref="E19:F19"/>
    <mergeCell ref="G19:H19"/>
    <mergeCell ref="A20:B2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9:D9"/>
    <mergeCell ref="E9:H9"/>
    <mergeCell ref="A11:D11"/>
    <mergeCell ref="E11:H11"/>
    <mergeCell ref="E15:H15"/>
    <mergeCell ref="A16:B16"/>
    <mergeCell ref="C16:H16"/>
    <mergeCell ref="C17:H17"/>
    <mergeCell ref="A18:B18"/>
    <mergeCell ref="C18:H18"/>
    <mergeCell ref="E20:F20"/>
    <mergeCell ref="G20:H20"/>
    <mergeCell ref="C20:D20"/>
    <mergeCell ref="A12:D12"/>
    <mergeCell ref="E12:H12"/>
    <mergeCell ref="A13:D13"/>
    <mergeCell ref="E13:H13"/>
    <mergeCell ref="A17:B17"/>
    <mergeCell ref="A14:D14"/>
    <mergeCell ref="E14:H14"/>
    <mergeCell ref="A15:D15"/>
    <mergeCell ref="A35:B35"/>
    <mergeCell ref="C35:E35"/>
    <mergeCell ref="E27:H27"/>
    <mergeCell ref="A29:D29"/>
    <mergeCell ref="E29:H29"/>
    <mergeCell ref="A31:D31"/>
    <mergeCell ref="E31:H31"/>
    <mergeCell ref="A32:D32"/>
    <mergeCell ref="E32:H32"/>
    <mergeCell ref="A28:D28"/>
    <mergeCell ref="E28:H28"/>
    <mergeCell ref="C33:E33"/>
    <mergeCell ref="F33:H33"/>
    <mergeCell ref="A33:B33"/>
    <mergeCell ref="A34:B34"/>
    <mergeCell ref="C34:E34"/>
    <mergeCell ref="F34:H34"/>
    <mergeCell ref="F35:H35"/>
    <mergeCell ref="A26:D26"/>
    <mergeCell ref="E26:H26"/>
    <mergeCell ref="B375:H375"/>
    <mergeCell ref="B384:H384"/>
    <mergeCell ref="A22:B22"/>
    <mergeCell ref="C22:D22"/>
    <mergeCell ref="E22:F22"/>
    <mergeCell ref="G22:H22"/>
    <mergeCell ref="A30:D30"/>
    <mergeCell ref="E30:H30"/>
    <mergeCell ref="A27:D27"/>
    <mergeCell ref="A36:B36"/>
    <mergeCell ref="F37:H37"/>
    <mergeCell ref="A39:B39"/>
    <mergeCell ref="C39:H39"/>
    <mergeCell ref="A40:B40"/>
    <mergeCell ref="C40:H40"/>
    <mergeCell ref="G64:H64"/>
    <mergeCell ref="A66:B66"/>
    <mergeCell ref="C66:E66"/>
    <mergeCell ref="G66:H66"/>
    <mergeCell ref="A48:H48"/>
    <mergeCell ref="A60:H60"/>
    <mergeCell ref="C65:H65"/>
    <mergeCell ref="A395:H397"/>
    <mergeCell ref="A394:B394"/>
    <mergeCell ref="E394:F394"/>
    <mergeCell ref="C394:D394"/>
    <mergeCell ref="G394:H394"/>
    <mergeCell ref="A150:E150"/>
    <mergeCell ref="F150:H150"/>
    <mergeCell ref="A151:E151"/>
    <mergeCell ref="F151:H151"/>
    <mergeCell ref="A177:H177"/>
    <mergeCell ref="A390:H390"/>
    <mergeCell ref="A152:H152"/>
    <mergeCell ref="A393:H393"/>
    <mergeCell ref="A391:H391"/>
    <mergeCell ref="A387:H387"/>
    <mergeCell ref="A388:H388"/>
    <mergeCell ref="E153:F153"/>
    <mergeCell ref="B374:H374"/>
    <mergeCell ref="B372:H372"/>
    <mergeCell ref="A168:A169"/>
    <mergeCell ref="A288:H288"/>
    <mergeCell ref="B379:H379"/>
    <mergeCell ref="A292:H292"/>
    <mergeCell ref="A170:H170"/>
    <mergeCell ref="D72:H72"/>
    <mergeCell ref="D74:H74"/>
    <mergeCell ref="G59:H59"/>
    <mergeCell ref="A52:B52"/>
    <mergeCell ref="A64:B65"/>
    <mergeCell ref="C64:E64"/>
    <mergeCell ref="A68:C68"/>
    <mergeCell ref="A80:C80"/>
    <mergeCell ref="C55:E55"/>
    <mergeCell ref="G55:H55"/>
    <mergeCell ref="A71:C74"/>
    <mergeCell ref="A75:C75"/>
    <mergeCell ref="D75:H75"/>
    <mergeCell ref="A78:C78"/>
    <mergeCell ref="D78:H78"/>
    <mergeCell ref="C54:E54"/>
    <mergeCell ref="G54:H54"/>
    <mergeCell ref="G53:H53"/>
    <mergeCell ref="D68:H68"/>
    <mergeCell ref="C53:E53"/>
    <mergeCell ref="D71:H71"/>
    <mergeCell ref="D79:H79"/>
    <mergeCell ref="A62:B62"/>
    <mergeCell ref="C62:E62"/>
    <mergeCell ref="A133:B133"/>
    <mergeCell ref="A134:B134"/>
    <mergeCell ref="A392:H392"/>
    <mergeCell ref="A389:H389"/>
    <mergeCell ref="B367:H367"/>
    <mergeCell ref="B368:H368"/>
    <mergeCell ref="A192:H192"/>
    <mergeCell ref="A176:H176"/>
    <mergeCell ref="G173:H175"/>
    <mergeCell ref="B168:B169"/>
    <mergeCell ref="A187:H187"/>
    <mergeCell ref="A280:H280"/>
    <mergeCell ref="G178:H181"/>
    <mergeCell ref="G188:H191"/>
    <mergeCell ref="G225:H227"/>
    <mergeCell ref="A232:H232"/>
    <mergeCell ref="B373:H373"/>
    <mergeCell ref="B371:H371"/>
    <mergeCell ref="B369:H369"/>
    <mergeCell ref="B370:H370"/>
    <mergeCell ref="A171:H171"/>
    <mergeCell ref="D168:D169"/>
    <mergeCell ref="E168:E169"/>
    <mergeCell ref="G168:H169"/>
    <mergeCell ref="L171:M171"/>
    <mergeCell ref="L174:M174"/>
    <mergeCell ref="L224:M224"/>
    <mergeCell ref="L220:M220"/>
    <mergeCell ref="G221:H223"/>
    <mergeCell ref="A207:H207"/>
    <mergeCell ref="L207:M207"/>
    <mergeCell ref="L176:M176"/>
    <mergeCell ref="A208:H208"/>
    <mergeCell ref="L209:M209"/>
    <mergeCell ref="L210:M210"/>
    <mergeCell ref="G209:H217"/>
    <mergeCell ref="A224:H224"/>
    <mergeCell ref="A219:H219"/>
    <mergeCell ref="L219:M219"/>
    <mergeCell ref="L212:M212"/>
    <mergeCell ref="L213:M213"/>
    <mergeCell ref="L182:M182"/>
    <mergeCell ref="G183:H186"/>
    <mergeCell ref="A218:H218"/>
    <mergeCell ref="L218:M218"/>
    <mergeCell ref="G273:H275"/>
    <mergeCell ref="L170:M170"/>
    <mergeCell ref="L243:M243"/>
    <mergeCell ref="G244:H246"/>
    <mergeCell ref="A255:H255"/>
    <mergeCell ref="L255:M255"/>
    <mergeCell ref="A256:H256"/>
    <mergeCell ref="L256:M256"/>
    <mergeCell ref="G257:H259"/>
    <mergeCell ref="L247:M247"/>
    <mergeCell ref="G248:H250"/>
    <mergeCell ref="A251:H251"/>
    <mergeCell ref="L251:M251"/>
    <mergeCell ref="G252:H254"/>
    <mergeCell ref="A247:H247"/>
    <mergeCell ref="C190:F190"/>
    <mergeCell ref="L211:M211"/>
    <mergeCell ref="L173:M173"/>
    <mergeCell ref="L175:M175"/>
    <mergeCell ref="L177:M177"/>
    <mergeCell ref="L268:M268"/>
    <mergeCell ref="G269:H271"/>
    <mergeCell ref="A272:H272"/>
    <mergeCell ref="L272:M272"/>
    <mergeCell ref="F141:H141"/>
    <mergeCell ref="L236:M236"/>
    <mergeCell ref="L216:M216"/>
    <mergeCell ref="L217:M217"/>
    <mergeCell ref="C252:F252"/>
    <mergeCell ref="C253:F253"/>
    <mergeCell ref="A240:H240"/>
    <mergeCell ref="A335:H335"/>
    <mergeCell ref="C290:F290"/>
    <mergeCell ref="C291:F291"/>
    <mergeCell ref="G331:H334"/>
    <mergeCell ref="A319:H319"/>
    <mergeCell ref="G320:H323"/>
    <mergeCell ref="L321:M321"/>
    <mergeCell ref="L322:M322"/>
    <mergeCell ref="L323:M323"/>
    <mergeCell ref="L315:M315"/>
    <mergeCell ref="L320:M320"/>
    <mergeCell ref="A330:H330"/>
    <mergeCell ref="L297:M297"/>
    <mergeCell ref="G300:H303"/>
    <mergeCell ref="L300:M300"/>
    <mergeCell ref="L301:M301"/>
    <mergeCell ref="L302:M302"/>
    <mergeCell ref="F149:H149"/>
    <mergeCell ref="F147:H147"/>
    <mergeCell ref="A148:E148"/>
    <mergeCell ref="C163:D163"/>
    <mergeCell ref="F142:H142"/>
    <mergeCell ref="A149:E149"/>
    <mergeCell ref="A143:E143"/>
    <mergeCell ref="A144:E144"/>
    <mergeCell ref="F144:H144"/>
    <mergeCell ref="A145:E145"/>
    <mergeCell ref="A147:E147"/>
    <mergeCell ref="A154:A155"/>
    <mergeCell ref="C158:D158"/>
    <mergeCell ref="E158:F158"/>
    <mergeCell ref="G158:H158"/>
    <mergeCell ref="C156:D156"/>
    <mergeCell ref="E156:F156"/>
    <mergeCell ref="G156:H156"/>
    <mergeCell ref="C157:D157"/>
    <mergeCell ref="E157:F157"/>
    <mergeCell ref="G154:H154"/>
    <mergeCell ref="A161:A162"/>
    <mergeCell ref="C161:D161"/>
    <mergeCell ref="E161:F161"/>
    <mergeCell ref="E162:F162"/>
    <mergeCell ref="G162:H162"/>
    <mergeCell ref="A164:B164"/>
    <mergeCell ref="C164:D164"/>
    <mergeCell ref="E164:F164"/>
    <mergeCell ref="G164:H164"/>
    <mergeCell ref="A165:B165"/>
    <mergeCell ref="C165:D165"/>
    <mergeCell ref="E165:F165"/>
    <mergeCell ref="G165:H165"/>
    <mergeCell ref="G127:H127"/>
    <mergeCell ref="A128:B128"/>
    <mergeCell ref="E128:F137"/>
    <mergeCell ref="C159:D159"/>
    <mergeCell ref="E159:F159"/>
    <mergeCell ref="A172:H172"/>
    <mergeCell ref="A167:H167"/>
    <mergeCell ref="C168:C169"/>
    <mergeCell ref="F139:H139"/>
    <mergeCell ref="E127:F127"/>
    <mergeCell ref="G163:H163"/>
    <mergeCell ref="C155:D155"/>
    <mergeCell ref="E155:F155"/>
    <mergeCell ref="C153:D153"/>
    <mergeCell ref="G153:H153"/>
    <mergeCell ref="F146:H146"/>
    <mergeCell ref="A138:E138"/>
    <mergeCell ref="A130:B130"/>
    <mergeCell ref="A135:B135"/>
    <mergeCell ref="A153:B153"/>
    <mergeCell ref="G161:H161"/>
    <mergeCell ref="A146:E146"/>
    <mergeCell ref="A141:E141"/>
    <mergeCell ref="C162:D162"/>
    <mergeCell ref="L294:M294"/>
    <mergeCell ref="L295:M295"/>
    <mergeCell ref="L296:M296"/>
    <mergeCell ref="G294:H297"/>
    <mergeCell ref="L327:M327"/>
    <mergeCell ref="L328:M328"/>
    <mergeCell ref="L318:M318"/>
    <mergeCell ref="L292:M292"/>
    <mergeCell ref="L305:M305"/>
    <mergeCell ref="L306:M306"/>
    <mergeCell ref="L307:M307"/>
    <mergeCell ref="G305:H308"/>
    <mergeCell ref="G315:H318"/>
    <mergeCell ref="L325:M325"/>
    <mergeCell ref="A324:H324"/>
    <mergeCell ref="L326:M326"/>
    <mergeCell ref="C325:F325"/>
    <mergeCell ref="L303:M303"/>
    <mergeCell ref="G325:H328"/>
    <mergeCell ref="C315:F315"/>
    <mergeCell ref="C316:F316"/>
    <mergeCell ref="C326:F326"/>
    <mergeCell ref="G337:H340"/>
    <mergeCell ref="L347:M347"/>
    <mergeCell ref="L348:M348"/>
    <mergeCell ref="L349:M349"/>
    <mergeCell ref="L331:M331"/>
    <mergeCell ref="L332:M332"/>
    <mergeCell ref="L333:M333"/>
    <mergeCell ref="L334:M334"/>
    <mergeCell ref="G342:H345"/>
    <mergeCell ref="L342:M342"/>
    <mergeCell ref="L337:M337"/>
    <mergeCell ref="L338:M338"/>
    <mergeCell ref="L339:M339"/>
    <mergeCell ref="L340:M340"/>
    <mergeCell ref="G100:H109"/>
    <mergeCell ref="A101:B101"/>
    <mergeCell ref="A131:B131"/>
    <mergeCell ref="A132:B132"/>
    <mergeCell ref="G157:H157"/>
    <mergeCell ref="L352:M352"/>
    <mergeCell ref="G347:H350"/>
    <mergeCell ref="A166:H166"/>
    <mergeCell ref="I157:I158"/>
    <mergeCell ref="J157:J158"/>
    <mergeCell ref="L350:M350"/>
    <mergeCell ref="L329:M329"/>
    <mergeCell ref="L308:M308"/>
    <mergeCell ref="A309:H309"/>
    <mergeCell ref="G310:H313"/>
    <mergeCell ref="L311:M311"/>
    <mergeCell ref="L312:M312"/>
    <mergeCell ref="L313:M313"/>
    <mergeCell ref="A314:H314"/>
    <mergeCell ref="L316:M316"/>
    <mergeCell ref="L317:M317"/>
    <mergeCell ref="L343:M343"/>
    <mergeCell ref="L344:M344"/>
    <mergeCell ref="L345:M345"/>
    <mergeCell ref="B385:H385"/>
    <mergeCell ref="B386:H386"/>
    <mergeCell ref="A82:B82"/>
    <mergeCell ref="A96:B96"/>
    <mergeCell ref="A110:B110"/>
    <mergeCell ref="A120:B120"/>
    <mergeCell ref="A121:B121"/>
    <mergeCell ref="A122:B122"/>
    <mergeCell ref="A123:B123"/>
    <mergeCell ref="G128:H137"/>
    <mergeCell ref="A129:B129"/>
    <mergeCell ref="G281:H283"/>
    <mergeCell ref="A284:H284"/>
    <mergeCell ref="A243:H243"/>
    <mergeCell ref="G261:H263"/>
    <mergeCell ref="A268:H268"/>
    <mergeCell ref="A260:H260"/>
    <mergeCell ref="G159:H159"/>
    <mergeCell ref="A159:A160"/>
    <mergeCell ref="A136:B136"/>
    <mergeCell ref="A137:B137"/>
    <mergeCell ref="G99:H99"/>
    <mergeCell ref="A100:B100"/>
    <mergeCell ref="E100:F109"/>
  </mergeCells>
  <hyperlinks>
    <hyperlink ref="C40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9" manualBreakCount="9">
    <brk id="59" max="7" man="1"/>
    <brk id="397" max="16383" man="1"/>
    <brk id="440" max="16383" man="1"/>
    <brk id="484" max="16383" man="1"/>
    <brk id="522" max="16383" man="1"/>
    <brk id="560" max="16383" man="1"/>
    <brk id="598" max="16383" man="1"/>
    <brk id="636" max="16383" man="1"/>
    <brk id="67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1" t="s">
        <v>106</v>
      </c>
      <c r="C3" s="221"/>
      <c r="D3" s="221"/>
      <c r="E3" s="221"/>
      <c r="F3" s="221"/>
      <c r="G3" s="221"/>
      <c r="H3" s="221"/>
    </row>
    <row r="4" spans="1:9" x14ac:dyDescent="0.2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12" zoomScale="160" zoomScaleNormal="16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2025-07-14T06:15:47Z</cp:lastPrinted>
  <dcterms:created xsi:type="dcterms:W3CDTF">2019-07-16T09:29:46Z</dcterms:created>
  <dcterms:modified xsi:type="dcterms:W3CDTF">2025-07-14T06:26:04Z</dcterms:modified>
</cp:coreProperties>
</file>