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July 25\Dump\"/>
    </mc:Choice>
  </mc:AlternateContent>
  <xr:revisionPtr revIDLastSave="0" documentId="13_ncr:1_{C2448B62-0A2E-40A0-B635-99EF44FF681A}" xr6:coauthVersionLast="36" xr6:coauthVersionMax="36" xr10:uidLastSave="{00000000-0000-0000-0000-000000000000}"/>
  <bookViews>
    <workbookView xWindow="0" yWindow="0" windowWidth="20490" windowHeight="7125"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0" i="1" l="1"/>
  <c r="D206" i="1" l="1"/>
  <c r="D195" i="1"/>
  <c r="D175" i="1"/>
  <c r="C16" i="1"/>
  <c r="D64" i="1"/>
  <c r="J134" i="1" l="1"/>
  <c r="D265" i="1"/>
  <c r="D338" i="1"/>
  <c r="D337" i="1"/>
  <c r="D336" i="1"/>
  <c r="D335" i="1"/>
  <c r="D334" i="1"/>
  <c r="D333" i="1"/>
  <c r="D332" i="1"/>
  <c r="D331" i="1"/>
  <c r="D330" i="1"/>
  <c r="D329" i="1"/>
  <c r="D328" i="1"/>
  <c r="D327" i="1"/>
  <c r="D326" i="1"/>
  <c r="D325" i="1"/>
  <c r="D324" i="1"/>
  <c r="D323" i="1"/>
  <c r="D322" i="1"/>
  <c r="D321" i="1"/>
  <c r="D320" i="1"/>
  <c r="D319" i="1"/>
  <c r="D318" i="1"/>
  <c r="D316" i="1"/>
  <c r="D315" i="1"/>
  <c r="D314" i="1"/>
  <c r="D313" i="1"/>
  <c r="D312" i="1"/>
  <c r="D311" i="1"/>
  <c r="D310" i="1"/>
  <c r="D309" i="1"/>
  <c r="D308" i="1"/>
  <c r="D307" i="1"/>
  <c r="D306" i="1"/>
  <c r="D305" i="1"/>
  <c r="D304" i="1"/>
  <c r="D303" i="1"/>
  <c r="D302" i="1"/>
  <c r="D301" i="1"/>
  <c r="D300" i="1"/>
  <c r="D299" i="1"/>
  <c r="D298" i="1"/>
  <c r="D297" i="1"/>
  <c r="D296" i="1"/>
  <c r="D295" i="1"/>
  <c r="D294"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4" i="1"/>
  <c r="D263" i="1"/>
  <c r="D262" i="1"/>
  <c r="D261" i="1"/>
  <c r="D260" i="1"/>
  <c r="D259" i="1"/>
  <c r="D258" i="1"/>
  <c r="D257" i="1"/>
  <c r="D256" i="1"/>
  <c r="D255" i="1"/>
  <c r="D254" i="1"/>
  <c r="D253" i="1"/>
  <c r="D252" i="1"/>
  <c r="D251" i="1"/>
  <c r="D250" i="1"/>
  <c r="D249" i="1"/>
  <c r="D248" i="1"/>
  <c r="D247" i="1"/>
  <c r="D246" i="1"/>
  <c r="D245"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5" i="1"/>
  <c r="D204" i="1"/>
  <c r="D203" i="1"/>
  <c r="D202" i="1"/>
  <c r="D201" i="1"/>
  <c r="D200" i="1"/>
  <c r="D199" i="1"/>
  <c r="D198" i="1"/>
  <c r="D196" i="1"/>
  <c r="D194" i="1"/>
  <c r="D193" i="1"/>
  <c r="D192" i="1"/>
  <c r="D191" i="1"/>
  <c r="D190" i="1"/>
  <c r="D189" i="1"/>
  <c r="D188" i="1"/>
  <c r="D187" i="1"/>
  <c r="D186" i="1"/>
  <c r="D185" i="1"/>
  <c r="D184" i="1"/>
  <c r="D183" i="1"/>
  <c r="D182" i="1"/>
  <c r="D181" i="1"/>
  <c r="D180" i="1"/>
  <c r="D179" i="1"/>
  <c r="D178" i="1"/>
  <c r="D177" i="1"/>
  <c r="D176"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K131" i="1"/>
  <c r="C134" i="1" l="1"/>
  <c r="C133" i="1"/>
  <c r="C135" i="1"/>
  <c r="F338" i="1"/>
  <c r="H338" i="1" s="1"/>
  <c r="F337" i="1"/>
  <c r="H337" i="1" s="1"/>
  <c r="F336" i="1"/>
  <c r="H336" i="1" s="1"/>
  <c r="F335" i="1"/>
  <c r="H335" i="1" s="1"/>
  <c r="F334" i="1"/>
  <c r="H334" i="1" s="1"/>
  <c r="F333" i="1"/>
  <c r="H333" i="1" s="1"/>
  <c r="F332" i="1"/>
  <c r="H332" i="1" s="1"/>
  <c r="F331" i="1"/>
  <c r="H331" i="1" s="1"/>
  <c r="F330" i="1"/>
  <c r="H330" i="1" s="1"/>
  <c r="F329" i="1"/>
  <c r="H329" i="1" s="1"/>
  <c r="F328" i="1"/>
  <c r="H328" i="1" s="1"/>
  <c r="F327" i="1"/>
  <c r="H327" i="1" s="1"/>
  <c r="F326" i="1"/>
  <c r="H326" i="1" s="1"/>
  <c r="F325" i="1"/>
  <c r="H325" i="1" s="1"/>
  <c r="F324" i="1"/>
  <c r="H324" i="1" s="1"/>
  <c r="F323" i="1"/>
  <c r="H323" i="1" s="1"/>
  <c r="I322" i="1"/>
  <c r="F322" i="1"/>
  <c r="H322" i="1" s="1"/>
  <c r="F321" i="1"/>
  <c r="H321" i="1" s="1"/>
  <c r="F320" i="1"/>
  <c r="H320" i="1" s="1"/>
  <c r="I319" i="1"/>
  <c r="F319" i="1"/>
  <c r="H319" i="1" s="1"/>
  <c r="F318" i="1"/>
  <c r="H318" i="1" s="1"/>
  <c r="F315" i="1"/>
  <c r="H315" i="1" s="1"/>
  <c r="F313" i="1"/>
  <c r="H313" i="1" s="1"/>
  <c r="F311" i="1"/>
  <c r="H311" i="1" s="1"/>
  <c r="F304" i="1"/>
  <c r="H304" i="1" s="1"/>
  <c r="F302" i="1"/>
  <c r="H302" i="1" s="1"/>
  <c r="F300" i="1"/>
  <c r="H300" i="1" s="1"/>
  <c r="F294" i="1"/>
  <c r="I293" i="1"/>
  <c r="F316" i="1"/>
  <c r="H316" i="1" s="1"/>
  <c r="F314" i="1"/>
  <c r="H314" i="1" s="1"/>
  <c r="F312" i="1"/>
  <c r="H312" i="1" s="1"/>
  <c r="F310" i="1"/>
  <c r="H310" i="1" s="1"/>
  <c r="F309" i="1"/>
  <c r="H309" i="1" s="1"/>
  <c r="F308" i="1"/>
  <c r="H308" i="1" s="1"/>
  <c r="F307" i="1"/>
  <c r="H307" i="1" s="1"/>
  <c r="F306" i="1"/>
  <c r="H306" i="1" s="1"/>
  <c r="F305" i="1"/>
  <c r="H305" i="1" s="1"/>
  <c r="F303" i="1"/>
  <c r="H303" i="1" s="1"/>
  <c r="F301" i="1"/>
  <c r="H301" i="1" s="1"/>
  <c r="F299" i="1"/>
  <c r="H299" i="1" s="1"/>
  <c r="I298" i="1"/>
  <c r="F298" i="1"/>
  <c r="H298" i="1" s="1"/>
  <c r="F297" i="1"/>
  <c r="H297" i="1" s="1"/>
  <c r="F296" i="1"/>
  <c r="H296" i="1" s="1"/>
  <c r="I295" i="1"/>
  <c r="F295" i="1"/>
  <c r="H295" i="1" s="1"/>
  <c r="F288" i="1"/>
  <c r="H288" i="1" s="1"/>
  <c r="F285" i="1"/>
  <c r="H285" i="1" s="1"/>
  <c r="F284" i="1"/>
  <c r="H284" i="1" s="1"/>
  <c r="F283" i="1"/>
  <c r="H283" i="1" s="1"/>
  <c r="F280" i="1"/>
  <c r="H280" i="1" s="1"/>
  <c r="F277" i="1"/>
  <c r="H277" i="1" s="1"/>
  <c r="F276" i="1"/>
  <c r="H276" i="1" s="1"/>
  <c r="F275" i="1"/>
  <c r="H275" i="1" s="1"/>
  <c r="F274" i="1"/>
  <c r="H274" i="1" s="1"/>
  <c r="F272" i="1"/>
  <c r="H272" i="1" s="1"/>
  <c r="F270" i="1"/>
  <c r="H270" i="1" s="1"/>
  <c r="F269" i="1"/>
  <c r="H269" i="1" s="1"/>
  <c r="F268" i="1"/>
  <c r="H268" i="1" s="1"/>
  <c r="F267" i="1"/>
  <c r="H267" i="1" s="1"/>
  <c r="F266" i="1"/>
  <c r="H266" i="1" s="1"/>
  <c r="F265" i="1"/>
  <c r="H265" i="1" s="1"/>
  <c r="F264" i="1"/>
  <c r="H264" i="1" s="1"/>
  <c r="F263" i="1"/>
  <c r="H263" i="1" s="1"/>
  <c r="F262" i="1"/>
  <c r="H262" i="1" s="1"/>
  <c r="F261" i="1"/>
  <c r="H261" i="1" s="1"/>
  <c r="F260" i="1"/>
  <c r="H260" i="1" s="1"/>
  <c r="F259" i="1"/>
  <c r="H259" i="1" s="1"/>
  <c r="F256" i="1"/>
  <c r="H256" i="1" s="1"/>
  <c r="F251" i="1"/>
  <c r="H251" i="1" s="1"/>
  <c r="F249" i="1"/>
  <c r="H249" i="1" s="1"/>
  <c r="F248" i="1"/>
  <c r="H248" i="1" s="1"/>
  <c r="F245" i="1"/>
  <c r="H245" i="1" s="1"/>
  <c r="I249" i="1"/>
  <c r="I246" i="1"/>
  <c r="F291" i="1"/>
  <c r="H291" i="1" s="1"/>
  <c r="F290" i="1"/>
  <c r="H290" i="1" s="1"/>
  <c r="F289" i="1"/>
  <c r="H289" i="1" s="1"/>
  <c r="F287" i="1"/>
  <c r="H287" i="1" s="1"/>
  <c r="F286" i="1"/>
  <c r="H286" i="1" s="1"/>
  <c r="F282" i="1"/>
  <c r="H282" i="1" s="1"/>
  <c r="F281" i="1"/>
  <c r="H281" i="1" s="1"/>
  <c r="F279" i="1"/>
  <c r="H279" i="1" s="1"/>
  <c r="F278" i="1"/>
  <c r="H278" i="1" s="1"/>
  <c r="F273" i="1"/>
  <c r="H273" i="1" s="1"/>
  <c r="F271" i="1"/>
  <c r="H271" i="1" s="1"/>
  <c r="F258" i="1"/>
  <c r="H258" i="1" s="1"/>
  <c r="F257" i="1"/>
  <c r="H257" i="1" s="1"/>
  <c r="F255" i="1"/>
  <c r="H255" i="1" s="1"/>
  <c r="F254" i="1"/>
  <c r="H254" i="1" s="1"/>
  <c r="F253" i="1"/>
  <c r="H253" i="1" s="1"/>
  <c r="F252" i="1"/>
  <c r="H252" i="1" s="1"/>
  <c r="F250" i="1"/>
  <c r="H250" i="1" s="1"/>
  <c r="F247" i="1"/>
  <c r="H247" i="1" s="1"/>
  <c r="F246" i="1"/>
  <c r="H246" i="1" s="1"/>
  <c r="F243" i="1"/>
  <c r="H243" i="1" s="1"/>
  <c r="F241" i="1"/>
  <c r="H241" i="1" s="1"/>
  <c r="F239" i="1"/>
  <c r="H239" i="1" s="1"/>
  <c r="F238" i="1"/>
  <c r="H238" i="1" s="1"/>
  <c r="F233" i="1"/>
  <c r="H233" i="1" s="1"/>
  <c r="F232" i="1"/>
  <c r="H232" i="1" s="1"/>
  <c r="F228" i="1"/>
  <c r="H228" i="1" s="1"/>
  <c r="F223" i="1"/>
  <c r="H223" i="1" s="1"/>
  <c r="F218" i="1"/>
  <c r="H218" i="1" s="1"/>
  <c r="F216" i="1"/>
  <c r="H216" i="1" s="1"/>
  <c r="F215" i="1"/>
  <c r="H215" i="1" s="1"/>
  <c r="F214" i="1"/>
  <c r="H214" i="1" s="1"/>
  <c r="F212" i="1"/>
  <c r="H212" i="1" s="1"/>
  <c r="F204" i="1"/>
  <c r="H204" i="1" s="1"/>
  <c r="F202" i="1"/>
  <c r="H202" i="1" s="1"/>
  <c r="F200" i="1"/>
  <c r="H200" i="1" s="1"/>
  <c r="I198" i="1"/>
  <c r="F198" i="1"/>
  <c r="H198" i="1" s="1"/>
  <c r="F242" i="1"/>
  <c r="H242" i="1" s="1"/>
  <c r="F240" i="1"/>
  <c r="H240" i="1" s="1"/>
  <c r="F237" i="1"/>
  <c r="H237" i="1" s="1"/>
  <c r="F236" i="1"/>
  <c r="H236" i="1" s="1"/>
  <c r="F235" i="1"/>
  <c r="H235" i="1" s="1"/>
  <c r="F234" i="1"/>
  <c r="H234" i="1" s="1"/>
  <c r="F231" i="1"/>
  <c r="H231" i="1" s="1"/>
  <c r="F230" i="1"/>
  <c r="H230" i="1" s="1"/>
  <c r="F229" i="1"/>
  <c r="H229" i="1" s="1"/>
  <c r="F227" i="1"/>
  <c r="H227" i="1" s="1"/>
  <c r="F226" i="1"/>
  <c r="H226" i="1" s="1"/>
  <c r="F225" i="1"/>
  <c r="H225" i="1" s="1"/>
  <c r="F224" i="1"/>
  <c r="H224" i="1" s="1"/>
  <c r="F222" i="1"/>
  <c r="H222" i="1" s="1"/>
  <c r="F221" i="1"/>
  <c r="H221" i="1" s="1"/>
  <c r="F220" i="1"/>
  <c r="H220" i="1" s="1"/>
  <c r="F219" i="1"/>
  <c r="H219" i="1" s="1"/>
  <c r="F217" i="1"/>
  <c r="H217" i="1" s="1"/>
  <c r="F213" i="1"/>
  <c r="H213" i="1" s="1"/>
  <c r="F211" i="1"/>
  <c r="H211" i="1" s="1"/>
  <c r="F210" i="1"/>
  <c r="H210" i="1" s="1"/>
  <c r="F209" i="1"/>
  <c r="H209" i="1" s="1"/>
  <c r="F208" i="1"/>
  <c r="H208" i="1" s="1"/>
  <c r="F207" i="1"/>
  <c r="H207" i="1" s="1"/>
  <c r="F206" i="1"/>
  <c r="H206" i="1" s="1"/>
  <c r="F205" i="1"/>
  <c r="H205" i="1" s="1"/>
  <c r="F203" i="1"/>
  <c r="H203" i="1" s="1"/>
  <c r="F201" i="1"/>
  <c r="H201" i="1" s="1"/>
  <c r="F199" i="1"/>
  <c r="H199" i="1" s="1"/>
  <c r="F196" i="1"/>
  <c r="H196" i="1" s="1"/>
  <c r="F194" i="1"/>
  <c r="H194" i="1" s="1"/>
  <c r="F192" i="1"/>
  <c r="H192" i="1" s="1"/>
  <c r="F191" i="1"/>
  <c r="H191" i="1" s="1"/>
  <c r="F187" i="1"/>
  <c r="H187" i="1" s="1"/>
  <c r="F180" i="1"/>
  <c r="H180" i="1" s="1"/>
  <c r="F174" i="1"/>
  <c r="H174" i="1" s="1"/>
  <c r="F169" i="1"/>
  <c r="H169" i="1" s="1"/>
  <c r="F168" i="1"/>
  <c r="H168" i="1" s="1"/>
  <c r="F163" i="1"/>
  <c r="H163" i="1" s="1"/>
  <c r="F159" i="1"/>
  <c r="H159" i="1" s="1"/>
  <c r="F152" i="1"/>
  <c r="H152" i="1" s="1"/>
  <c r="I148" i="1"/>
  <c r="F195" i="1"/>
  <c r="H195" i="1" s="1"/>
  <c r="F193" i="1"/>
  <c r="H193" i="1" s="1"/>
  <c r="F190" i="1"/>
  <c r="H190" i="1" s="1"/>
  <c r="F189" i="1"/>
  <c r="H189" i="1" s="1"/>
  <c r="F188" i="1"/>
  <c r="H188" i="1" s="1"/>
  <c r="F186" i="1"/>
  <c r="H186" i="1" s="1"/>
  <c r="F185" i="1"/>
  <c r="H185" i="1" s="1"/>
  <c r="F184" i="1"/>
  <c r="H184" i="1" s="1"/>
  <c r="F183" i="1"/>
  <c r="H183" i="1" s="1"/>
  <c r="F182" i="1"/>
  <c r="H182" i="1" s="1"/>
  <c r="F181" i="1"/>
  <c r="H181" i="1" s="1"/>
  <c r="F179" i="1"/>
  <c r="H179" i="1" s="1"/>
  <c r="F178" i="1"/>
  <c r="H178" i="1" s="1"/>
  <c r="F177" i="1"/>
  <c r="H177" i="1" s="1"/>
  <c r="F176" i="1"/>
  <c r="H176" i="1" s="1"/>
  <c r="F175" i="1"/>
  <c r="H175" i="1" s="1"/>
  <c r="F173" i="1"/>
  <c r="H173" i="1" s="1"/>
  <c r="F172" i="1"/>
  <c r="H172" i="1" s="1"/>
  <c r="F171" i="1"/>
  <c r="H171" i="1" s="1"/>
  <c r="F170" i="1"/>
  <c r="H170" i="1" s="1"/>
  <c r="F167" i="1"/>
  <c r="H167" i="1" s="1"/>
  <c r="F166" i="1"/>
  <c r="H166" i="1" s="1"/>
  <c r="F165" i="1"/>
  <c r="H165" i="1" s="1"/>
  <c r="F164" i="1"/>
  <c r="H164" i="1" s="1"/>
  <c r="F162" i="1"/>
  <c r="H162" i="1" s="1"/>
  <c r="F161" i="1"/>
  <c r="H161" i="1" s="1"/>
  <c r="F160" i="1"/>
  <c r="H160" i="1" s="1"/>
  <c r="F158" i="1"/>
  <c r="H158" i="1" s="1"/>
  <c r="F157" i="1"/>
  <c r="H157" i="1" s="1"/>
  <c r="F156" i="1"/>
  <c r="H156" i="1" s="1"/>
  <c r="F155" i="1"/>
  <c r="H155" i="1" s="1"/>
  <c r="F154" i="1"/>
  <c r="H154" i="1" s="1"/>
  <c r="F153" i="1"/>
  <c r="H153" i="1" s="1"/>
  <c r="H294" i="1" l="1"/>
  <c r="G134" i="1" s="1"/>
  <c r="E134" i="1"/>
  <c r="B38" i="6" l="1"/>
  <c r="B39" i="6" s="1"/>
  <c r="B40" i="6" s="1"/>
  <c r="B41" i="6" s="1"/>
  <c r="B42" i="6" s="1"/>
  <c r="B43" i="6" s="1"/>
  <c r="B44" i="6" s="1"/>
  <c r="B45" i="6" s="1"/>
  <c r="B46" i="6" s="1"/>
  <c r="B47" i="6" s="1"/>
  <c r="B48" i="6" s="1"/>
  <c r="B49" i="6" s="1"/>
  <c r="B50" i="6" s="1"/>
  <c r="B51" i="6" s="1"/>
  <c r="F148" i="1" l="1"/>
  <c r="H148" i="1"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402" i="1"/>
  <c r="B376" i="1"/>
  <c r="B375" i="1"/>
  <c r="F372" i="1"/>
  <c r="H372" i="1" s="1"/>
  <c r="F371" i="1"/>
  <c r="H371" i="1" s="1"/>
  <c r="F370" i="1"/>
  <c r="H370" i="1" s="1"/>
  <c r="F369" i="1"/>
  <c r="H369" i="1" s="1"/>
  <c r="F368" i="1"/>
  <c r="H368" i="1" s="1"/>
  <c r="F366" i="1"/>
  <c r="H366" i="1" s="1"/>
  <c r="F365" i="1"/>
  <c r="H365" i="1" s="1"/>
  <c r="F364" i="1"/>
  <c r="H364" i="1" s="1"/>
  <c r="F363" i="1"/>
  <c r="H363" i="1" s="1"/>
  <c r="F362" i="1"/>
  <c r="H362" i="1" s="1"/>
  <c r="F360" i="1"/>
  <c r="H360" i="1" s="1"/>
  <c r="F359" i="1"/>
  <c r="H359" i="1" s="1"/>
  <c r="F358" i="1"/>
  <c r="H358" i="1" s="1"/>
  <c r="F357" i="1"/>
  <c r="H357" i="1" s="1"/>
  <c r="F356" i="1"/>
  <c r="H356" i="1" s="1"/>
  <c r="F354" i="1"/>
  <c r="H354" i="1" s="1"/>
  <c r="F353" i="1"/>
  <c r="H353" i="1" s="1"/>
  <c r="F352" i="1"/>
  <c r="H352" i="1" s="1"/>
  <c r="F351" i="1"/>
  <c r="H351" i="1" s="1"/>
  <c r="F350" i="1"/>
  <c r="H350" i="1" s="1"/>
  <c r="A350" i="1"/>
  <c r="A351" i="1" s="1"/>
  <c r="A352" i="1" s="1"/>
  <c r="A353" i="1" s="1"/>
  <c r="A354" i="1" s="1"/>
  <c r="F348" i="1"/>
  <c r="H348" i="1" s="1"/>
  <c r="F347" i="1"/>
  <c r="H347" i="1" s="1"/>
  <c r="F346" i="1"/>
  <c r="H346" i="1" s="1"/>
  <c r="A346" i="1"/>
  <c r="A347" i="1" s="1"/>
  <c r="A348" i="1" s="1"/>
  <c r="F345" i="1"/>
  <c r="H345" i="1" s="1"/>
  <c r="F151" i="1"/>
  <c r="H151" i="1" s="1"/>
  <c r="F150" i="1"/>
  <c r="H150" i="1" s="1"/>
  <c r="F149" i="1"/>
  <c r="H149" i="1" s="1"/>
  <c r="C141" i="1"/>
  <c r="C103" i="1"/>
  <c r="C89" i="1"/>
  <c r="C75" i="1"/>
  <c r="B76" i="1" s="1"/>
  <c r="D69" i="1"/>
  <c r="K56" i="1"/>
  <c r="G53" i="1"/>
  <c r="C53" i="1"/>
  <c r="C54" i="1" s="1"/>
  <c r="E46" i="1"/>
  <c r="E47" i="1" s="1"/>
  <c r="S34" i="1"/>
  <c r="E32" i="1"/>
  <c r="E29" i="1"/>
  <c r="E27" i="1"/>
  <c r="I15" i="1"/>
  <c r="Z13" i="1"/>
  <c r="E8" i="1"/>
  <c r="E3" i="1"/>
  <c r="B388" i="1" s="1"/>
  <c r="A356" i="1"/>
  <c r="A368" i="1"/>
  <c r="A362" i="1"/>
  <c r="H76" i="1"/>
  <c r="H90" i="1"/>
  <c r="H104" i="1"/>
  <c r="E133" i="1" l="1"/>
  <c r="E135" i="1" s="1"/>
  <c r="E141" i="1" s="1"/>
  <c r="G133" i="1"/>
  <c r="G135" i="1" s="1"/>
  <c r="G141" i="1" s="1"/>
  <c r="J83" i="1"/>
  <c r="J84" i="1"/>
  <c r="B104" i="1"/>
  <c r="J112" i="1" s="1"/>
  <c r="I42" i="7"/>
  <c r="H42" i="7" s="1"/>
  <c r="L42" i="7"/>
  <c r="K42" i="7" s="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D113" i="1"/>
  <c r="J107" i="1"/>
  <c r="J103" i="1"/>
  <c r="J105" i="1" s="1"/>
  <c r="J106" i="1"/>
  <c r="D111" i="1"/>
  <c r="D116" i="1"/>
  <c r="D110" i="1"/>
  <c r="D115" i="1"/>
  <c r="D109" i="1"/>
  <c r="D112" i="1"/>
  <c r="J108" i="1"/>
  <c r="C107" i="1" s="1"/>
  <c r="D107" i="1" s="1"/>
  <c r="D114" i="1"/>
  <c r="D42" i="7"/>
  <c r="L56" i="1"/>
  <c r="B90" i="1"/>
  <c r="J85" i="1"/>
  <c r="J86" i="1"/>
  <c r="I54" i="1"/>
  <c r="J81" i="1"/>
  <c r="A369" i="1"/>
  <c r="A363" i="1"/>
  <c r="A357" i="1"/>
  <c r="J82" i="1" l="1"/>
  <c r="J87" i="1" s="1"/>
  <c r="J88" i="1" s="1"/>
  <c r="C80" i="1"/>
  <c r="G79" i="1" s="1"/>
  <c r="D73" i="1" s="1"/>
  <c r="J114" i="1"/>
  <c r="J113" i="1"/>
  <c r="D44" i="7"/>
  <c r="E44" i="7"/>
  <c r="J111" i="1"/>
  <c r="J109" i="1"/>
  <c r="J110" i="1" s="1"/>
  <c r="J115" i="1" s="1"/>
  <c r="J116" i="1" s="1"/>
  <c r="C108" i="1" s="1"/>
  <c r="G107" i="1" s="1"/>
  <c r="D79" i="1"/>
  <c r="D93" i="1"/>
  <c r="J98" i="1"/>
  <c r="J95" i="1"/>
  <c r="J96" i="1" s="1"/>
  <c r="J101" i="1" s="1"/>
  <c r="J102" i="1" s="1"/>
  <c r="C94" i="1" s="1"/>
  <c r="J100" i="1"/>
  <c r="J97" i="1"/>
  <c r="J99" i="1"/>
  <c r="A370" i="1"/>
  <c r="A364" i="1"/>
  <c r="A358" i="1"/>
  <c r="D80" i="1" l="1"/>
  <c r="I76" i="1" s="1"/>
  <c r="I77" i="1" s="1"/>
  <c r="E79" i="1"/>
  <c r="D108" i="1"/>
  <c r="I104" i="1" s="1"/>
  <c r="I105" i="1" s="1"/>
  <c r="J104" i="1"/>
  <c r="E107" i="1"/>
  <c r="J76" i="1"/>
  <c r="E93" i="1"/>
  <c r="D94" i="1"/>
  <c r="I90" i="1" s="1"/>
  <c r="J90" i="1"/>
  <c r="G93" i="1"/>
  <c r="D74" i="1"/>
  <c r="F74" i="1"/>
  <c r="A371" i="1"/>
  <c r="A359" i="1"/>
  <c r="A365" i="1"/>
  <c r="I103" i="1" l="1"/>
  <c r="C105" i="1" s="1"/>
  <c r="I75" i="1"/>
  <c r="C77" i="1" s="1"/>
  <c r="I91" i="1"/>
  <c r="I89" i="1" s="1"/>
  <c r="C91" i="1" s="1"/>
  <c r="A360" i="1"/>
  <c r="A366" i="1"/>
  <c r="A3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7" authorId="1" shapeId="0" xr:uid="{00000000-0006-0000-0000-000003000000}">
      <text>
        <r>
          <rPr>
            <b/>
            <sz val="9"/>
            <color indexed="81"/>
            <rFont val="Tahoma"/>
            <family val="2"/>
          </rPr>
          <t>SACHIN:</t>
        </r>
        <r>
          <rPr>
            <sz val="9"/>
            <color indexed="81"/>
            <rFont val="Tahoma"/>
            <family val="2"/>
          </rPr>
          <t xml:space="preserve">
Floor with height</t>
        </r>
      </text>
    </comment>
    <comment ref="D64" authorId="0" shapeId="0" xr:uid="{00000000-0006-0000-0000-000004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xr:uid="{00000000-0006-0000-0000-000005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343" authorId="1" shapeId="0" xr:uid="{00000000-0006-0000-0000-000006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<sst xmlns="http://schemas.openxmlformats.org/spreadsheetml/2006/main" count="893" uniqueCount="436">
  <si>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</si>
  <si>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</si>
  <si>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</si>
  <si>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</si>
  <si>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</si>
  <si>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</si>
  <si>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</si>
  <si>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</si>
  <si>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</si>
  <si>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</si>
  <si>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</si>
  <si>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</si>
  <si>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</si>
  <si>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</si>
  <si>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</si>
  <si>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</si>
  <si>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</si>
  <si>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</si>
  <si>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</si>
  <si>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</si>
  <si>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</si>
  <si>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</si>
  <si>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</si>
  <si>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</si>
  <si>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</si>
  <si>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</si>
  <si>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</si>
  <si>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</si>
  <si>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</si>
  <si>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</si>
  <si>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</si>
  <si>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</si>
  <si>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</si>
  <si>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</si>
  <si>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</si>
  <si>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</si>
  <si>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</si>
  <si>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</si>
  <si>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</si>
  <si>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</si>
  <si>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</si>
  <si>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</si>
  <si>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</si>
  <si>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</si>
  <si>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</si>
  <si>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</si>
  <si>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</si>
  <si>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</si>
  <si>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</si>
  <si>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</si>
  <si>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</si>
  <si>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</si>
  <si>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</si>
  <si>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</si>
  <si>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</si>
  <si>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</si>
  <si>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</si>
  <si>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</si>
  <si>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</si>
  <si>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</si>
  <si>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</si>
  <si>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</si>
  <si>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</si>
  <si>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</si>
  <si>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</si>
  <si>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</si>
  <si>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</si>
  <si>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</si>
  <si>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</si>
  <si>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</si>
  <si>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</si>
  <si>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</si>
  <si>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</si>
  <si>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</si>
  <si>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</si>
  <si>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</si>
  <si>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</si>
  <si>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</si>
  <si>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</si>
  <si>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</si>
  <si>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</si>
  <si>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</si>
  <si>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</si>
  <si>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</si>
  <si>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</si>
  <si>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</si>
  <si>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</si>
  <si>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</si>
  <si>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</si>
  <si>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</si>
  <si>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</si>
  <si>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</si>
  <si>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</si>
  <si>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</si>
  <si>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</si>
  <si>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</si>
  <si>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</si>
  <si>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</si>
  <si>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</si>
  <si>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</si>
  <si>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</si>
  <si>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</si>
  <si>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</si>
  <si>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</si>
  <si>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</si>
  <si>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</si>
  <si>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</si>
  <si>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</si>
  <si>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</si>
  <si>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</si>
  <si>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</si>
  <si>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</si>
  <si>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</si>
  <si>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</si>
  <si>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</si>
  <si>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</si>
  <si>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</si>
  <si>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</si>
  <si>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</si>
  <si>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</si>
  <si>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</si>
  <si>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</si>
  <si>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</si>
  <si>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</si>
  <si>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</si>
  <si>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</si>
  <si>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</si>
  <si>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</si>
  <si>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</si>
  <si>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</si>
  <si>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</si>
  <si>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</si>
  <si>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</si>
  <si>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</si>
  <si>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</si>
  <si>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</si>
  <si>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</si>
  <si>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</si>
  <si>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</si>
  <si>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</si>
  <si>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</si>
  <si>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</si>
  <si>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</si>
  <si>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</si>
  <si>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</si>
  <si>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</si>
  <si>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</si>
  <si>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</si>
  <si>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</si>
  <si>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</si>
  <si>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</si>
  <si>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</si>
  <si>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</si>
  <si>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</si>
  <si>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</si>
  <si>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</si>
  <si>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</si>
  <si>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</si>
  <si>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</si>
  <si>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</si>
  <si>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</si>
  <si>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</si>
  <si>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</si>
  <si>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</si>
  <si>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</si>
  <si>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</si>
  <si>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</si>
  <si>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</si>
  <si>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</si>
  <si>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</si>
  <si>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</si>
  <si>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</si>
  <si>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</si>
  <si>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</si>
  <si>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</si>
  <si>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</si>
  <si>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</si>
  <si>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</si>
  <si>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</si>
  <si>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</si>
  <si>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</si>
  <si>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</si>
  <si>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</si>
  <si>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</si>
  <si>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</si>
  <si>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</si>
  <si>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</si>
  <si>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</si>
  <si>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</si>
  <si>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</si>
  <si>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</si>
  <si>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</si>
  <si>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</si>
  <si>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</si>
  <si>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</si>
  <si>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</si>
  <si>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</si>
  <si>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</si>
  <si>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</si>
  <si>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</si>
  <si>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</si>
  <si>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</si>
  <si>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</si>
  <si>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</si>
  <si>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</si>
  <si>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</si>
  <si>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</si>
  <si>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</si>
  <si>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</si>
  <si>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</si>
  <si>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</si>
  <si>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</si>
  <si>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</si>
  <si>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</si>
  <si>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</si>
  <si>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</si>
  <si>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</si>
  <si>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</si>
  <si>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</si>
  <si>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</si>
  <si>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</si>
  <si>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</si>
  <si>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</si>
  <si>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</si>
  <si>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</si>
  <si>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</si>
  <si>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</si>
  <si>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</si>
  <si>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</si>
  <si>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</si>
  <si>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</si>
  <si>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</si>
  <si>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</si>
  <si>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</si>
  <si>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</si>
  <si>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</si>
  <si>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</si>
  <si>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</si>
  <si>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</si>
  <si>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</si>
  <si>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</si>
  <si>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</si>
  <si>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</si>
  <si>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</si>
  <si>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</si>
  <si>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</si>
  <si>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</si>
  <si>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</si>
  <si>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</si>
  <si>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</si>
  <si>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</si>
  <si>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</si>
  <si>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</si>
  <si>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</si>
  <si>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</si>
  <si>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</si>
  <si>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</si>
  <si>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</si>
  <si>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</si>
  <si>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</si>
  <si>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</si>
  <si>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</si>
  <si>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</si>
  <si>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</si>
  <si>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</si>
  <si>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</si>
  <si>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</si>
  <si>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</si>
  <si>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</si>
  <si>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</si>
  <si>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</si>
  <si>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</si>
  <si>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</si>
  <si>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</si>
  <si>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</si>
  <si>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</si>
  <si>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</si>
  <si>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</si>
  <si>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</si>
  <si>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</si>
  <si>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</si>
  <si>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</si>
  <si>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</si>
  <si>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</si>
  <si>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</si>
  <si>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</si>
  <si>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</si>
  <si>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</si>
  <si>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</si>
  <si>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</si>
  <si>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</si>
  <si>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</si>
  <si>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</si>
  <si>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</si>
  <si>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</si>
  <si>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</si>
  <si>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</si>
  <si>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</si>
  <si>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</si>
  <si>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</si>
  <si>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</si>
  <si>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</si>
  <si>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</si>
  <si>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</si>
  <si>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</si>
  <si>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</si>
  <si>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</si>
  <si>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</si>
  <si>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</si>
  <si>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</si>
  <si>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</si>
  <si>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</si>
  <si>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</si>
  <si>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</si>
  <si>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</si>
  <si>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</si>
  <si>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</si>
  <si>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</si>
  <si>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</si>
  <si>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</si>
  <si>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</si>
  <si>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</si>
  <si>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</si>
  <si>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</si>
  <si>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</si>
  <si>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</si>
  <si>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</si>
  <si>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</si>
  <si>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</si>
  <si>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</si>
  <si>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</si>
  <si>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</si>
  <si>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</si>
  <si>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</si>
  <si>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</si>
  <si>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</si>
  <si>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</si>
  <si>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</si>
  <si>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</si>
  <si>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</si>
  <si>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</si>
  <si>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</si>
  <si>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</si>
  <si>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</si>
  <si>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</si>
  <si>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</si>
  <si>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</si>
  <si>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</si>
  <si>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</si>
  <si>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</si>
  <si>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</si>
  <si>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</si>
  <si>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</si>
  <si>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</si>
  <si>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</si>
  <si>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</si>
  <si>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</si>
  <si>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</si>
  <si>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</si>
  <si>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</si>
  <si>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</si>
  <si>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</si>
  <si>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</si>
  <si>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</si>
  <si>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</si>
  <si>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</si>
  <si>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</si>
  <si>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</si>
  <si>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</si>
  <si>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</si>
  <si>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</si>
  <si>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</si>
  <si>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</si>
  <si>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Runwal Shopping Arcade 2 - R Galleria 2</t>
  </si>
  <si>
    <t xml:space="preserve">Horizon Projects Pvt Ltd
</t>
  </si>
  <si>
    <t>Mr.Vinod Thakare - 8149970104</t>
  </si>
  <si>
    <t>P51700078830</t>
  </si>
  <si>
    <t>Survey No</t>
  </si>
  <si>
    <t>17/1, 17/2, 17/3/A, 17/3/B, 17/4, 17/5, 19/1, 19/2, 19/3, 19/4, 20/3, 20/4, 20/5, 34/1, 36/1/A, 36/1/B, 37/1, 37/2, 38/1, 38/2, 38/3, 38/4, 70/9, 70/10, 70/11, 71/1, 71/2, 71/3, 71/4, 71/8, 91/1, 91/2, 91/3, 91/4, 91/5, 92/1, 92/2, 93/P, 103/12, 103/12, 103/13, 103/14/B, 103/15, 103/16, 103/17, 103/18, 106/2, 106/3, 107/1, 107/2/A, 107/3, 107/4, 107/5, 107/6, 107/7, 107/8, 107/9, 107/10, 107/11, 107/12, 107/13, 107/14, 107/15, 107/16, 107/19, 107/20, 107/22, 107/23, 107/24, 107/25A, 107/25B, 107/26A, 107/26B, 108/1, 108/2, 108/3, 109P, 134/1, 134/2, 134/3</t>
  </si>
  <si>
    <t>https://maps.app.goo.gl/9s8JcD73jLwe1WGN7</t>
  </si>
  <si>
    <t>19.18154807,73.0772066</t>
  </si>
  <si>
    <t>53JG+JV8, Runwal MyCity Rd, Usarghar Gaon, Thane, Maharashtra 400612</t>
  </si>
  <si>
    <t>Usarghar Gaon</t>
  </si>
  <si>
    <t>Runwal My City Road</t>
  </si>
  <si>
    <t>3.7 KM from Dativali Railway Station</t>
  </si>
  <si>
    <t>Internal Road</t>
  </si>
  <si>
    <t>Open Plot</t>
  </si>
  <si>
    <t>Datiwali East</t>
  </si>
  <si>
    <t>24 MW DP Road</t>
  </si>
  <si>
    <t>24 MW Internal Road</t>
  </si>
  <si>
    <t>Other Plot</t>
  </si>
  <si>
    <t>As per RERA - 30/06/2029</t>
  </si>
  <si>
    <t>Basement For Pump Room, Domestic Water Tank, Fire Fighting Water Tank, Rain Water Tank, Fire Lobby &amp; Parking</t>
  </si>
  <si>
    <t>Shop</t>
  </si>
  <si>
    <t>RERA Carpet area</t>
  </si>
  <si>
    <t>Ground Floor For Commercial, Meter Room, Fire Room &amp; Parking</t>
  </si>
  <si>
    <t>1st Floor For Commercial, Meter Room, Fire Room &amp; Parking</t>
  </si>
  <si>
    <t>2nd Floor For Commerical</t>
  </si>
  <si>
    <t>3rd to 5th, 7th to 9th &amp; 11th Floor</t>
  </si>
  <si>
    <t>Office</t>
  </si>
  <si>
    <t>Refuge Area</t>
  </si>
  <si>
    <t>6th &amp; 10th Floor (Part Refuge Area)</t>
  </si>
  <si>
    <t>We considered Gross carpet area = Net carpet.</t>
  </si>
  <si>
    <t>Gangaram Parshuram Lambore</t>
  </si>
  <si>
    <t xml:space="preserve">1B + Gr + 1st  to 2nd Floor + Service Floor + 3rd to 11th Floor
</t>
  </si>
  <si>
    <t xml:space="preserve"> </t>
  </si>
  <si>
    <t xml:space="preserve">1B + Gr to 2nd Floor (Shops) + 3rd to 11th Floor (Offices)
</t>
  </si>
  <si>
    <t>Service Floor Between 2nd &amp; 3rd Floor</t>
  </si>
  <si>
    <t>Shops -142, Offices - 203</t>
  </si>
  <si>
    <t>Runwal My City</t>
  </si>
  <si>
    <t xml:space="preserve">Secured By CCTV &amp; Fire Safety Precautions, Natural Skylight &amp; Stone Facade With Glass, Elevators &amp; Escalators On All Levels
Grand Double Heighted Entrance, Designated Drop Off Zones
Separate Entry &amp; Exit For Goods, Parking Etc.
</t>
  </si>
  <si>
    <t>https://runwalenterprises.com/retail-projects/r-galleria-dombivli.php</t>
  </si>
  <si>
    <t>Approved Plans, CC &amp; EC</t>
  </si>
  <si>
    <t xml:space="preserve">We have refered approved layout from RERA website on 07/04/2025.
</t>
  </si>
  <si>
    <t>Survey No.
As per RERA and Title Report.</t>
  </si>
  <si>
    <t>93(P)</t>
  </si>
  <si>
    <t>Total land area of the project Runwal Shopping Arcade 2 - R Galleria 2 in Sq. Mt. as per RERA</t>
  </si>
  <si>
    <t>Sandap</t>
  </si>
  <si>
    <r>
      <t xml:space="preserve">Proposed Amenities :                                                                                                                                                                                                                         </t>
    </r>
    <r>
      <rPr>
        <b/>
        <sz val="12"/>
        <rFont val="Times New Roman"/>
        <family val="1"/>
      </rPr>
      <t xml:space="preserve">                                               </t>
    </r>
  </si>
  <si>
    <t>SROT/Growth Center/2401/BP/ITP- Usarghar-Sandap-01/Vol-24/1123/2024</t>
  </si>
  <si>
    <r>
      <t xml:space="preserve">Shop No.
</t>
    </r>
    <r>
      <rPr>
        <b/>
        <sz val="11"/>
        <rFont val="Times New Roman"/>
        <family val="1"/>
      </rPr>
      <t>(Approved Plan)</t>
    </r>
  </si>
  <si>
    <t>SIA/MH/NCP/41140/2017</t>
  </si>
  <si>
    <t>Environmental Clearance Certificate No.</t>
  </si>
  <si>
    <t>Survey No. 17/1, 17/2, 17/3/A, 17/3/B, 17/4, 17/5, 19/1, 19/2, 19/3, 19/4, 20/3, 20/4, 20/5, 34/1, 36/1/A, 36/1/B, 37/1, 37/2, 38/1, 38/2, 38/3, 38/4, 70/9, 70/10, 70/11, 71/1, 71/2, 71/3, 71/4, 71/8, 91/1, 91/2, 91/3, 91/4, 91/5, 92/1, 92/2, 93/P, 103/12, 103/12, 103/13, 103/14/B, 103/15, 103/16, 103/17, 103/18, 106/2, 106/3, 107/1, 107/2/A, 107/3, 107/4, 107/5, 107/6, 107/7, 107/8, 107/9, 107/10, 107/11, 107/12, 107/13, 107/14, 107/15, 107/16, 107/19, 107/20, 107/22, 107/23, 107/24, 107/25A, 107/25B, 107/26A, 107/26B, 108/1, 108/2, 108/3, 109P, 134/1, 134/2, 134/3
Proposed Builtup Area = 1597875.53 Sq.m</t>
  </si>
  <si>
    <t>FIRE/HQ/KDMC/OW/2024/E-32</t>
  </si>
  <si>
    <t>Fire Noc No</t>
  </si>
  <si>
    <t>R- Galleria 2 = 2B + Gr to 2nd Floor + Service Floor  + 3rd to 11th Floor 
(46.95 M Height)</t>
  </si>
  <si>
    <t xml:space="preserve">Valid Up for: 
</t>
  </si>
  <si>
    <t>We have update Environmental Clearance Certificate &amp; Fire Noc on 14/05/2025</t>
  </si>
  <si>
    <t>Recommended rate of the Shop Per Sq. Ft. (For Ground Floor)</t>
  </si>
  <si>
    <t>Recommended rate of the Shop Per Sq. Ft. (For 1st &amp; 2nd Floor)</t>
  </si>
  <si>
    <t>15000 to 19500 by bhargav on 25/06/2025</t>
  </si>
  <si>
    <t>Recommended Rates/Other Charges of the Property have been revised on 25/06/2025.</t>
  </si>
  <si>
    <t>Mr. Kunal Kate 9967393445</t>
  </si>
  <si>
    <t xml:space="preserve">Construction work is same as last visit dtd. 06/04/2025 but work is in process at the time of Visit.(Slow Speed)
</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</si>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</sst>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64" fontId="7" fillId="0" borderId="0" xfId="1" applyNumberFormat="1" applyFont="1" applyAlignment="1">
      <alignment horizontal="left" vertical="center"/>
    </xf>
    <xf numFmtId="164" fontId="7" fillId="0" borderId="0" xfId="1" applyNumberFormat="1" applyFont="1" applyAlignment="1">
      <alignment horizontal="center" vertical="center"/>
    </xf>
    <xf numFmtId="1" fontId="7" fillId="0" borderId="1" xfId="0" applyNumberFormat="1" applyFont="1" applyBorder="1" applyAlignment="1">
      <alignment horizontal="center" vertical="center"/>
    </xf>
    <xf numFmtId="0" fontId="27" fillId="0" borderId="0" xfId="10"/>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3" fillId="0" borderId="16"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21" xfId="1"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 fontId="12"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7" fillId="0" borderId="0" xfId="1" applyFont="1" applyAlignment="1">
      <alignment horizontal="center" vertical="center"/>
    </xf>
    <xf numFmtId="0" fontId="7" fillId="0" borderId="1" xfId="0"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0" fillId="0" borderId="33" xfId="0"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8</xdr:col>
      <xdr:colOff>447675</xdr:colOff>
      <xdr:row>12</xdr:row>
      <xdr:rowOff>9525</xdr:rowOff>
    </xdr:from>
    <xdr:to>
      <xdr:col>14</xdr:col>
      <xdr:colOff>75593</xdr:colOff>
      <xdr:row>16</xdr:row>
      <xdr:rowOff>1314132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62750" y="2790825"/>
          <a:ext cx="4857143" cy="2542857"/>
        </a:xfrm>
        <a:prstGeom prst="rect">
          <a:avLst/>
        </a:prstGeom>
      </xdr:spPr>
    </xdr:pic>
    <xdr:clientData/>
  </xdr:twoCellAnchor>
  <xdr:twoCellAnchor editAs="oneCell">
    <xdr:from>
      <xdr:col>8</xdr:col>
      <xdr:colOff>619125</xdr:colOff>
      <xdr:row>41</xdr:row>
      <xdr:rowOff>104775</xdr:rowOff>
    </xdr:from>
    <xdr:to>
      <xdr:col>12</xdr:col>
      <xdr:colOff>352008</xdr:colOff>
      <xdr:row>53</xdr:row>
      <xdr:rowOff>113890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934200" y="10506075"/>
          <a:ext cx="3333333" cy="3276190"/>
        </a:xfrm>
        <a:prstGeom prst="rect">
          <a:avLst/>
        </a:prstGeom>
      </xdr:spPr>
    </xdr:pic>
    <xdr:clientData/>
  </xdr:twoCellAnchor>
  <xdr:twoCellAnchor editAs="oneCell">
    <xdr:from>
      <xdr:col>8</xdr:col>
      <xdr:colOff>800100</xdr:colOff>
      <xdr:row>135</xdr:row>
      <xdr:rowOff>190500</xdr:rowOff>
    </xdr:from>
    <xdr:to>
      <xdr:col>11</xdr:col>
      <xdr:colOff>828337</xdr:colOff>
      <xdr:row>168</xdr:row>
      <xdr:rowOff>113561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7115175" y="32966025"/>
          <a:ext cx="2704762" cy="5914286"/>
        </a:xfrm>
        <a:prstGeom prst="rect">
          <a:avLst/>
        </a:prstGeom>
      </xdr:spPr>
    </xdr:pic>
    <xdr:clientData/>
  </xdr:twoCellAnchor>
  <xdr:twoCellAnchor editAs="oneCell">
    <xdr:from>
      <xdr:col>8</xdr:col>
      <xdr:colOff>857250</xdr:colOff>
      <xdr:row>182</xdr:row>
      <xdr:rowOff>123825</xdr:rowOff>
    </xdr:from>
    <xdr:to>
      <xdr:col>11</xdr:col>
      <xdr:colOff>56915</xdr:colOff>
      <xdr:row>193</xdr:row>
      <xdr:rowOff>56883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7172325" y="33489900"/>
          <a:ext cx="1876190" cy="2133333"/>
        </a:xfrm>
        <a:prstGeom prst="rect">
          <a:avLst/>
        </a:prstGeom>
      </xdr:spPr>
    </xdr:pic>
    <xdr:clientData/>
  </xdr:twoCellAnchor>
  <xdr:twoCellAnchor editAs="oneCell">
    <xdr:from>
      <xdr:col>8</xdr:col>
      <xdr:colOff>704850</xdr:colOff>
      <xdr:row>197</xdr:row>
      <xdr:rowOff>105936</xdr:rowOff>
    </xdr:from>
    <xdr:to>
      <xdr:col>12</xdr:col>
      <xdr:colOff>152400</xdr:colOff>
      <xdr:row>226</xdr:row>
      <xdr:rowOff>180343</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7019925" y="36472386"/>
          <a:ext cx="3048000" cy="5875132"/>
        </a:xfrm>
        <a:prstGeom prst="rect">
          <a:avLst/>
        </a:prstGeom>
      </xdr:spPr>
    </xdr:pic>
    <xdr:clientData/>
  </xdr:twoCellAnchor>
  <xdr:twoCellAnchor editAs="oneCell">
    <xdr:from>
      <xdr:col>12</xdr:col>
      <xdr:colOff>380999</xdr:colOff>
      <xdr:row>216</xdr:row>
      <xdr:rowOff>104774</xdr:rowOff>
    </xdr:from>
    <xdr:to>
      <xdr:col>15</xdr:col>
      <xdr:colOff>47624</xdr:colOff>
      <xdr:row>227</xdr:row>
      <xdr:rowOff>38164</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stretch>
          <a:fillRect/>
        </a:stretch>
      </xdr:blipFill>
      <xdr:spPr>
        <a:xfrm>
          <a:off x="10296524" y="40528874"/>
          <a:ext cx="2105025" cy="2133665"/>
        </a:xfrm>
        <a:prstGeom prst="rect">
          <a:avLst/>
        </a:prstGeom>
      </xdr:spPr>
    </xdr:pic>
    <xdr:clientData/>
  </xdr:twoCellAnchor>
  <xdr:twoCellAnchor editAs="oneCell">
    <xdr:from>
      <xdr:col>8</xdr:col>
      <xdr:colOff>561975</xdr:colOff>
      <xdr:row>237</xdr:row>
      <xdr:rowOff>38100</xdr:rowOff>
    </xdr:from>
    <xdr:to>
      <xdr:col>11</xdr:col>
      <xdr:colOff>438150</xdr:colOff>
      <xdr:row>267</xdr:row>
      <xdr:rowOff>18302</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a:stretch>
          <a:fillRect/>
        </a:stretch>
      </xdr:blipFill>
      <xdr:spPr>
        <a:xfrm>
          <a:off x="6877050" y="44662725"/>
          <a:ext cx="2552700" cy="5980952"/>
        </a:xfrm>
        <a:prstGeom prst="rect">
          <a:avLst/>
        </a:prstGeom>
      </xdr:spPr>
    </xdr:pic>
    <xdr:clientData/>
  </xdr:twoCellAnchor>
  <xdr:twoCellAnchor editAs="oneCell">
    <xdr:from>
      <xdr:col>8</xdr:col>
      <xdr:colOff>628650</xdr:colOff>
      <xdr:row>264</xdr:row>
      <xdr:rowOff>190500</xdr:rowOff>
    </xdr:from>
    <xdr:to>
      <xdr:col>11</xdr:col>
      <xdr:colOff>180696</xdr:colOff>
      <xdr:row>290</xdr:row>
      <xdr:rowOff>161279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stretch>
          <a:fillRect/>
        </a:stretch>
      </xdr:blipFill>
      <xdr:spPr>
        <a:xfrm>
          <a:off x="6943725" y="49958625"/>
          <a:ext cx="2228571" cy="5171429"/>
        </a:xfrm>
        <a:prstGeom prst="rect">
          <a:avLst/>
        </a:prstGeom>
      </xdr:spPr>
    </xdr:pic>
    <xdr:clientData/>
  </xdr:twoCellAnchor>
  <xdr:twoCellAnchor editAs="oneCell">
    <xdr:from>
      <xdr:col>8</xdr:col>
      <xdr:colOff>523874</xdr:colOff>
      <xdr:row>291</xdr:row>
      <xdr:rowOff>123825</xdr:rowOff>
    </xdr:from>
    <xdr:to>
      <xdr:col>12</xdr:col>
      <xdr:colOff>76199</xdr:colOff>
      <xdr:row>314</xdr:row>
      <xdr:rowOff>56066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stretch>
          <a:fillRect/>
        </a:stretch>
      </xdr:blipFill>
      <xdr:spPr>
        <a:xfrm>
          <a:off x="6838949" y="55292625"/>
          <a:ext cx="3152775" cy="4532816"/>
        </a:xfrm>
        <a:prstGeom prst="rect">
          <a:avLst/>
        </a:prstGeom>
      </xdr:spPr>
    </xdr:pic>
    <xdr:clientData/>
  </xdr:twoCellAnchor>
  <xdr:twoCellAnchor editAs="oneCell">
    <xdr:from>
      <xdr:col>8</xdr:col>
      <xdr:colOff>800100</xdr:colOff>
      <xdr:row>316</xdr:row>
      <xdr:rowOff>9525</xdr:rowOff>
    </xdr:from>
    <xdr:to>
      <xdr:col>12</xdr:col>
      <xdr:colOff>790126</xdr:colOff>
      <xdr:row>339</xdr:row>
      <xdr:rowOff>132759</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0"/>
        <a:stretch>
          <a:fillRect/>
        </a:stretch>
      </xdr:blipFill>
      <xdr:spPr>
        <a:xfrm>
          <a:off x="7115175" y="60178950"/>
          <a:ext cx="3590476" cy="4723809"/>
        </a:xfrm>
        <a:prstGeom prst="rect">
          <a:avLst/>
        </a:prstGeom>
      </xdr:spPr>
    </xdr:pic>
    <xdr:clientData/>
  </xdr:twoCellAnchor>
  <xdr:twoCellAnchor>
    <xdr:from>
      <xdr:col>8</xdr:col>
      <xdr:colOff>447675</xdr:colOff>
      <xdr:row>402</xdr:row>
      <xdr:rowOff>0</xdr:rowOff>
    </xdr:from>
    <xdr:to>
      <xdr:col>15</xdr:col>
      <xdr:colOff>522621</xdr:colOff>
      <xdr:row>435</xdr:row>
      <xdr:rowOff>147646</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6762750" y="72132825"/>
          <a:ext cx="6113796" cy="6738946"/>
          <a:chOff x="123825" y="72618600"/>
          <a:chExt cx="6113796" cy="6738946"/>
        </a:xfrm>
      </xdr:grpSpPr>
      <xdr:pic>
        <xdr:nvPicPr>
          <xdr:cNvPr id="17" name="Picture 16" descr="https://vsjcllp.vsjadon.com/upload/insp-226100-1525.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3547741" y="77197546"/>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26100-843.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3204842" y="72618600"/>
            <a:ext cx="2982131" cy="2238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26100-845.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3014342" y="74993798"/>
            <a:ext cx="1567385" cy="20920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26100-844.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591649" y="77197546"/>
            <a:ext cx="286860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26100-847.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4670236" y="75003323"/>
            <a:ext cx="1567385" cy="20920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26100-862.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23825" y="74984273"/>
            <a:ext cx="2787155" cy="20920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26100-861.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133351" y="72618600"/>
            <a:ext cx="2982131" cy="2238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95250</xdr:colOff>
      <xdr:row>490</xdr:row>
      <xdr:rowOff>133350</xdr:rowOff>
    </xdr:from>
    <xdr:to>
      <xdr:col>7</xdr:col>
      <xdr:colOff>665981</xdr:colOff>
      <xdr:row>523</xdr:row>
      <xdr:rowOff>85270</xdr:rowOff>
    </xdr:to>
    <xdr:grpSp>
      <xdr:nvGrpSpPr>
        <xdr:cNvPr id="32" name="Group 31">
          <a:extLst>
            <a:ext uri="{FF2B5EF4-FFF2-40B4-BE49-F238E27FC236}">
              <a16:creationId xmlns:a16="http://schemas.microsoft.com/office/drawing/2014/main" id="{00000000-0008-0000-0000-000020000000}"/>
            </a:ext>
          </a:extLst>
        </xdr:cNvPr>
        <xdr:cNvGrpSpPr/>
      </xdr:nvGrpSpPr>
      <xdr:grpSpPr>
        <a:xfrm>
          <a:off x="95250" y="89858850"/>
          <a:ext cx="6152381" cy="6552745"/>
          <a:chOff x="95250" y="90306525"/>
          <a:chExt cx="6152381" cy="6552745"/>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8"/>
          <a:stretch>
            <a:fillRect/>
          </a:stretch>
        </xdr:blipFill>
        <xdr:spPr>
          <a:xfrm>
            <a:off x="95250" y="90306525"/>
            <a:ext cx="6152381" cy="2666667"/>
          </a:xfrm>
          <a:prstGeom prst="rect">
            <a:avLst/>
          </a:prstGeom>
          <a:ln>
            <a:solidFill>
              <a:schemeClr val="tx1"/>
            </a:solidFill>
          </a:ln>
        </xdr:spPr>
      </xdr:pic>
      <xdr:grpSp>
        <xdr:nvGrpSpPr>
          <xdr:cNvPr id="27" name="Group 26">
            <a:extLst>
              <a:ext uri="{FF2B5EF4-FFF2-40B4-BE49-F238E27FC236}">
                <a16:creationId xmlns:a16="http://schemas.microsoft.com/office/drawing/2014/main" id="{00000000-0008-0000-0000-00001B000000}"/>
              </a:ext>
            </a:extLst>
          </xdr:cNvPr>
          <xdr:cNvGrpSpPr/>
        </xdr:nvGrpSpPr>
        <xdr:grpSpPr>
          <a:xfrm>
            <a:off x="371475" y="93221175"/>
            <a:ext cx="5190476" cy="3638095"/>
            <a:chOff x="428625" y="92554425"/>
            <a:chExt cx="5190476" cy="3638095"/>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9"/>
            <a:stretch>
              <a:fillRect/>
            </a:stretch>
          </xdr:blipFill>
          <xdr:spPr>
            <a:xfrm>
              <a:off x="428625" y="92554425"/>
              <a:ext cx="5190476" cy="3638095"/>
            </a:xfrm>
            <a:prstGeom prst="rect">
              <a:avLst/>
            </a:prstGeom>
            <a:ln>
              <a:solidFill>
                <a:schemeClr val="tx1"/>
              </a:solidFill>
            </a:ln>
          </xdr:spPr>
        </xdr:pic>
        <xdr:sp macro="" textlink="">
          <xdr:nvSpPr>
            <xdr:cNvPr id="26" name="Trapezoid 25">
              <a:extLst>
                <a:ext uri="{FF2B5EF4-FFF2-40B4-BE49-F238E27FC236}">
                  <a16:creationId xmlns:a16="http://schemas.microsoft.com/office/drawing/2014/main" id="{00000000-0008-0000-0000-00001A000000}"/>
                </a:ext>
              </a:extLst>
            </xdr:cNvPr>
            <xdr:cNvSpPr/>
          </xdr:nvSpPr>
          <xdr:spPr>
            <a:xfrm rot="15268100">
              <a:off x="2728826" y="93233056"/>
              <a:ext cx="1016366" cy="1030441"/>
            </a:xfrm>
            <a:prstGeom prst="trapezoid">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xdr:from>
      <xdr:col>0</xdr:col>
      <xdr:colOff>133350</xdr:colOff>
      <xdr:row>446</xdr:row>
      <xdr:rowOff>0</xdr:rowOff>
    </xdr:from>
    <xdr:to>
      <xdr:col>7</xdr:col>
      <xdr:colOff>386596</xdr:colOff>
      <xdr:row>475</xdr:row>
      <xdr:rowOff>199277</xdr:rowOff>
    </xdr:to>
    <xdr:grpSp>
      <xdr:nvGrpSpPr>
        <xdr:cNvPr id="31" name="Group 30">
          <a:extLst>
            <a:ext uri="{FF2B5EF4-FFF2-40B4-BE49-F238E27FC236}">
              <a16:creationId xmlns:a16="http://schemas.microsoft.com/office/drawing/2014/main" id="{00000000-0008-0000-0000-00001F000000}"/>
            </a:ext>
          </a:extLst>
        </xdr:cNvPr>
        <xdr:cNvGrpSpPr/>
      </xdr:nvGrpSpPr>
      <xdr:grpSpPr>
        <a:xfrm>
          <a:off x="133350" y="80924400"/>
          <a:ext cx="5834896" cy="6000002"/>
          <a:chOff x="133350" y="81372075"/>
          <a:chExt cx="5834896" cy="6000002"/>
        </a:xfrm>
      </xdr:grpSpPr>
      <xdr:grpSp>
        <xdr:nvGrpSpPr>
          <xdr:cNvPr id="30" name="Group 29">
            <a:extLst>
              <a:ext uri="{FF2B5EF4-FFF2-40B4-BE49-F238E27FC236}">
                <a16:creationId xmlns:a16="http://schemas.microsoft.com/office/drawing/2014/main" id="{00000000-0008-0000-0000-00001E000000}"/>
              </a:ext>
            </a:extLst>
          </xdr:cNvPr>
          <xdr:cNvGrpSpPr/>
        </xdr:nvGrpSpPr>
        <xdr:grpSpPr>
          <a:xfrm>
            <a:off x="133350" y="81391125"/>
            <a:ext cx="3114286" cy="5980952"/>
            <a:chOff x="1400175" y="80724375"/>
            <a:chExt cx="3114286" cy="5980952"/>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0"/>
            <a:stretch>
              <a:fillRect/>
            </a:stretch>
          </xdr:blipFill>
          <xdr:spPr>
            <a:xfrm>
              <a:off x="1400175" y="80724375"/>
              <a:ext cx="3114286" cy="5980952"/>
            </a:xfrm>
            <a:prstGeom prst="rect">
              <a:avLst/>
            </a:prstGeom>
            <a:ln>
              <a:solidFill>
                <a:sysClr val="windowText" lastClr="000000"/>
              </a:solidFill>
            </a:ln>
          </xdr:spPr>
        </xdr:pic>
        <xdr:sp macro="" textlink="">
          <xdr:nvSpPr>
            <xdr:cNvPr id="15" name="Trapezoid 14">
              <a:extLst>
                <a:ext uri="{FF2B5EF4-FFF2-40B4-BE49-F238E27FC236}">
                  <a16:creationId xmlns:a16="http://schemas.microsoft.com/office/drawing/2014/main" id="{00000000-0008-0000-0000-00000F000000}"/>
                </a:ext>
              </a:extLst>
            </xdr:cNvPr>
            <xdr:cNvSpPr/>
          </xdr:nvSpPr>
          <xdr:spPr>
            <a:xfrm rot="15191463">
              <a:off x="2944124" y="84009847"/>
              <a:ext cx="528008" cy="478129"/>
            </a:xfrm>
            <a:prstGeom prst="trapezoid">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1"/>
          <a:stretch>
            <a:fillRect/>
          </a:stretch>
        </xdr:blipFill>
        <xdr:spPr>
          <a:xfrm>
            <a:off x="3381375" y="81372075"/>
            <a:ext cx="2586871" cy="2880000"/>
          </a:xfrm>
          <a:prstGeom prst="rect">
            <a:avLst/>
          </a:prstGeom>
          <a:ln>
            <a:solidFill>
              <a:schemeClr val="tx1"/>
            </a:solidFill>
          </a:ln>
        </xdr:spPr>
      </xdr:pic>
    </xdr:grpSp>
    <xdr:clientData/>
  </xdr:twoCellAnchor>
  <xdr:twoCellAnchor editAs="oneCell">
    <xdr:from>
      <xdr:col>11</xdr:col>
      <xdr:colOff>209550</xdr:colOff>
      <xdr:row>59</xdr:row>
      <xdr:rowOff>19050</xdr:rowOff>
    </xdr:from>
    <xdr:to>
      <xdr:col>14</xdr:col>
      <xdr:colOff>437802</xdr:colOff>
      <xdr:row>69</xdr:row>
      <xdr:rowOff>133106</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2"/>
        <a:stretch>
          <a:fillRect/>
        </a:stretch>
      </xdr:blipFill>
      <xdr:spPr>
        <a:xfrm>
          <a:off x="9201150" y="17392650"/>
          <a:ext cx="2780952" cy="1952381"/>
        </a:xfrm>
        <a:prstGeom prst="rect">
          <a:avLst/>
        </a:prstGeom>
      </xdr:spPr>
    </xdr:pic>
    <xdr:clientData/>
  </xdr:twoCellAnchor>
  <xdr:twoCellAnchor editAs="oneCell">
    <xdr:from>
      <xdr:col>8</xdr:col>
      <xdr:colOff>923925</xdr:colOff>
      <xdr:row>56</xdr:row>
      <xdr:rowOff>200025</xdr:rowOff>
    </xdr:from>
    <xdr:to>
      <xdr:col>11</xdr:col>
      <xdr:colOff>742638</xdr:colOff>
      <xdr:row>56</xdr:row>
      <xdr:rowOff>457168</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3"/>
        <a:stretch>
          <a:fillRect/>
        </a:stretch>
      </xdr:blipFill>
      <xdr:spPr>
        <a:xfrm>
          <a:off x="7239000" y="15354300"/>
          <a:ext cx="2495238" cy="257143"/>
        </a:xfrm>
        <a:prstGeom prst="rect">
          <a:avLst/>
        </a:prstGeom>
      </xdr:spPr>
    </xdr:pic>
    <xdr:clientData/>
  </xdr:twoCellAnchor>
  <xdr:twoCellAnchor>
    <xdr:from>
      <xdr:col>0</xdr:col>
      <xdr:colOff>76200</xdr:colOff>
      <xdr:row>402</xdr:row>
      <xdr:rowOff>152399</xdr:rowOff>
    </xdr:from>
    <xdr:to>
      <xdr:col>7</xdr:col>
      <xdr:colOff>647700</xdr:colOff>
      <xdr:row>442</xdr:row>
      <xdr:rowOff>19049</xdr:rowOff>
    </xdr:to>
    <xdr:grpSp>
      <xdr:nvGrpSpPr>
        <xdr:cNvPr id="33" name="Group 32">
          <a:extLst>
            <a:ext uri="{FF2B5EF4-FFF2-40B4-BE49-F238E27FC236}">
              <a16:creationId xmlns:a16="http://schemas.microsoft.com/office/drawing/2014/main" id="{63C84E2A-6A63-4CFC-8D9B-A80C6E55B4C4}"/>
            </a:ext>
          </a:extLst>
        </xdr:cNvPr>
        <xdr:cNvGrpSpPr/>
      </xdr:nvGrpSpPr>
      <xdr:grpSpPr>
        <a:xfrm>
          <a:off x="76200" y="72285224"/>
          <a:ext cx="6153150" cy="7858125"/>
          <a:chOff x="268942" y="221064"/>
          <a:chExt cx="6423166" cy="7856124"/>
        </a:xfrm>
      </xdr:grpSpPr>
      <xdr:pic>
        <xdr:nvPicPr>
          <xdr:cNvPr id="34" name="Picture 33">
            <a:extLst>
              <a:ext uri="{FF2B5EF4-FFF2-40B4-BE49-F238E27FC236}">
                <a16:creationId xmlns:a16="http://schemas.microsoft.com/office/drawing/2014/main" id="{9125D813-194A-4B47-88C5-DFF725B8A5BB}"/>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891426" y="221064"/>
            <a:ext cx="4860000" cy="3647896"/>
          </a:xfrm>
          <a:prstGeom prst="rect">
            <a:avLst/>
          </a:prstGeom>
          <a:ln>
            <a:solidFill>
              <a:schemeClr val="tx1"/>
            </a:solidFill>
          </a:ln>
        </xdr:spPr>
      </xdr:pic>
      <xdr:pic>
        <xdr:nvPicPr>
          <xdr:cNvPr id="35" name="Picture 34">
            <a:extLst>
              <a:ext uri="{FF2B5EF4-FFF2-40B4-BE49-F238E27FC236}">
                <a16:creationId xmlns:a16="http://schemas.microsoft.com/office/drawing/2014/main" id="{B2BD3D8D-0728-464B-950F-7FE13FF528F2}"/>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551285" y="4083074"/>
            <a:ext cx="2637905" cy="1980000"/>
          </a:xfrm>
          <a:prstGeom prst="rect">
            <a:avLst/>
          </a:prstGeom>
          <a:ln>
            <a:solidFill>
              <a:schemeClr val="tx1"/>
            </a:solidFill>
          </a:ln>
        </xdr:spPr>
      </xdr:pic>
      <xdr:pic>
        <xdr:nvPicPr>
          <xdr:cNvPr id="36" name="Picture 35">
            <a:extLst>
              <a:ext uri="{FF2B5EF4-FFF2-40B4-BE49-F238E27FC236}">
                <a16:creationId xmlns:a16="http://schemas.microsoft.com/office/drawing/2014/main" id="{D8B781C3-F620-4A1A-BA38-3480DE350535}"/>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429000" y="4083074"/>
            <a:ext cx="2637905" cy="1980000"/>
          </a:xfrm>
          <a:prstGeom prst="rect">
            <a:avLst/>
          </a:prstGeom>
          <a:ln>
            <a:solidFill>
              <a:schemeClr val="tx1"/>
            </a:solidFill>
          </a:ln>
        </xdr:spPr>
      </xdr:pic>
      <xdr:pic>
        <xdr:nvPicPr>
          <xdr:cNvPr id="37" name="Picture 36">
            <a:extLst>
              <a:ext uri="{FF2B5EF4-FFF2-40B4-BE49-F238E27FC236}">
                <a16:creationId xmlns:a16="http://schemas.microsoft.com/office/drawing/2014/main" id="{8DDF390B-1FAA-48CD-B1B0-DA82F1E41911}"/>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268942" y="6277188"/>
            <a:ext cx="2398095" cy="1800000"/>
          </a:xfrm>
          <a:prstGeom prst="rect">
            <a:avLst/>
          </a:prstGeom>
          <a:ln>
            <a:solidFill>
              <a:schemeClr val="tx1"/>
            </a:solidFill>
          </a:ln>
        </xdr:spPr>
      </xdr:pic>
      <xdr:pic>
        <xdr:nvPicPr>
          <xdr:cNvPr id="38" name="Picture 37">
            <a:extLst>
              <a:ext uri="{FF2B5EF4-FFF2-40B4-BE49-F238E27FC236}">
                <a16:creationId xmlns:a16="http://schemas.microsoft.com/office/drawing/2014/main" id="{99D5A7A7-4EC1-4498-BF1B-4C2A9BE09779}"/>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2804522" y="6277188"/>
            <a:ext cx="2390506" cy="1800000"/>
          </a:xfrm>
          <a:prstGeom prst="rect">
            <a:avLst/>
          </a:prstGeom>
          <a:ln>
            <a:solidFill>
              <a:schemeClr val="tx1"/>
            </a:solidFill>
          </a:ln>
        </xdr:spPr>
      </xdr:pic>
      <xdr:pic>
        <xdr:nvPicPr>
          <xdr:cNvPr id="39" name="Picture 38">
            <a:extLst>
              <a:ext uri="{FF2B5EF4-FFF2-40B4-BE49-F238E27FC236}">
                <a16:creationId xmlns:a16="http://schemas.microsoft.com/office/drawing/2014/main" id="{25F062A3-C780-453C-B498-B2C68D68137C}"/>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a:ext>
            </a:extLst>
          </a:blip>
          <a:srcRect/>
          <a:stretch/>
        </xdr:blipFill>
        <xdr:spPr>
          <a:xfrm>
            <a:off x="5343514" y="6277188"/>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runwalenterprises.com/retail-projects/r-galleria-dombivli.php" TargetMode="External"/><Relationship Id="rId1" Type="http://schemas.openxmlformats.org/officeDocument/2006/relationships/hyperlink" Target="https://maps.app.goo.gl/9s8JcD73jLwe1WGN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90"/>
  <sheetViews>
    <sheetView tabSelected="1" view="pageBreakPreview" topLeftCell="A399" zoomScaleNormal="100" zoomScaleSheetLayoutView="100" zoomScalePageLayoutView="85" workbookViewId="0">
      <selection activeCell="I400" sqref="I40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2" t="s">
        <v>165</v>
      </c>
      <c r="B1" s="192"/>
      <c r="C1" s="192"/>
      <c r="D1" s="192"/>
      <c r="E1" s="192"/>
      <c r="F1" s="192"/>
      <c r="G1" s="192"/>
      <c r="H1" s="192"/>
    </row>
    <row r="2" spans="1:26" ht="16.5" customHeight="1" x14ac:dyDescent="0.25">
      <c r="A2" s="193" t="s">
        <v>0</v>
      </c>
      <c r="B2" s="193"/>
      <c r="C2" s="193"/>
      <c r="D2" s="193"/>
      <c r="E2" s="193"/>
      <c r="F2" s="193"/>
      <c r="G2" s="193"/>
      <c r="H2" s="193"/>
    </row>
    <row r="3" spans="1:26" x14ac:dyDescent="0.25">
      <c r="A3" s="154" t="s">
        <v>1</v>
      </c>
      <c r="B3" s="154"/>
      <c r="C3" s="154"/>
      <c r="D3" s="154"/>
      <c r="E3" s="154" t="str">
        <f ca="1">TEXT(TODAY(),"DD/MM/YYYY")</f>
        <v>14/07/2025</v>
      </c>
      <c r="F3" s="154"/>
      <c r="G3" s="154"/>
      <c r="H3" s="154"/>
      <c r="K3" s="56" t="s">
        <v>237</v>
      </c>
      <c r="L3" s="53" t="s">
        <v>235</v>
      </c>
      <c r="M3" s="53" t="s">
        <v>240</v>
      </c>
      <c r="N3" s="53" t="s">
        <v>238</v>
      </c>
      <c r="O3" s="53" t="s">
        <v>352</v>
      </c>
      <c r="P3" s="53" t="s">
        <v>241</v>
      </c>
    </row>
    <row r="4" spans="1:26" ht="15" customHeight="1" x14ac:dyDescent="0.25">
      <c r="A4" s="154" t="s">
        <v>234</v>
      </c>
      <c r="B4" s="154"/>
      <c r="C4" s="154"/>
      <c r="D4" s="154"/>
      <c r="E4" s="154" t="s">
        <v>235</v>
      </c>
      <c r="F4" s="154"/>
      <c r="G4" s="154"/>
      <c r="H4" s="154"/>
      <c r="K4" s="52" t="s">
        <v>236</v>
      </c>
      <c r="L4" s="53" t="s">
        <v>171</v>
      </c>
      <c r="M4" s="53" t="s">
        <v>245</v>
      </c>
      <c r="N4" s="53" t="s">
        <v>247</v>
      </c>
      <c r="O4" s="53" t="s">
        <v>340</v>
      </c>
      <c r="P4" s="53"/>
    </row>
    <row r="5" spans="1:26" ht="15" customHeight="1" x14ac:dyDescent="0.25">
      <c r="A5" s="154" t="s">
        <v>2</v>
      </c>
      <c r="B5" s="154"/>
      <c r="C5" s="154"/>
      <c r="D5" s="154"/>
      <c r="E5" s="154" t="s">
        <v>244</v>
      </c>
      <c r="F5" s="154"/>
      <c r="G5" s="154"/>
      <c r="H5" s="154"/>
      <c r="K5" s="52"/>
      <c r="L5" s="53" t="s">
        <v>242</v>
      </c>
      <c r="M5" s="53" t="s">
        <v>246</v>
      </c>
      <c r="N5" s="53" t="s">
        <v>248</v>
      </c>
      <c r="O5" s="53" t="s">
        <v>341</v>
      </c>
      <c r="P5" s="53"/>
    </row>
    <row r="6" spans="1:26" x14ac:dyDescent="0.25">
      <c r="A6" s="154" t="s">
        <v>3</v>
      </c>
      <c r="B6" s="154"/>
      <c r="C6" s="154"/>
      <c r="D6" s="154"/>
      <c r="E6" s="195">
        <v>45846</v>
      </c>
      <c r="F6" s="154"/>
      <c r="G6" s="154"/>
      <c r="H6" s="154"/>
      <c r="K6" s="52"/>
      <c r="L6" s="53" t="s">
        <v>243</v>
      </c>
      <c r="M6" s="53" t="s">
        <v>350</v>
      </c>
      <c r="N6" s="53"/>
      <c r="O6" s="53" t="s">
        <v>342</v>
      </c>
      <c r="P6" s="53"/>
    </row>
    <row r="7" spans="1:26" ht="16.5" customHeight="1" x14ac:dyDescent="0.25">
      <c r="A7" s="154" t="s">
        <v>4</v>
      </c>
      <c r="B7" s="154"/>
      <c r="C7" s="154"/>
      <c r="D7" s="154"/>
      <c r="E7" s="196" t="s">
        <v>374</v>
      </c>
      <c r="F7" s="154"/>
      <c r="G7" s="154"/>
      <c r="H7" s="154"/>
      <c r="K7" s="52"/>
      <c r="L7" s="53" t="s">
        <v>244</v>
      </c>
      <c r="M7" s="53"/>
      <c r="N7" s="53"/>
      <c r="O7" s="53" t="s">
        <v>342</v>
      </c>
      <c r="P7" s="53"/>
    </row>
    <row r="8" spans="1:26" ht="15" customHeight="1" x14ac:dyDescent="0.25">
      <c r="A8" s="154" t="s">
        <v>5</v>
      </c>
      <c r="B8" s="154"/>
      <c r="C8" s="154"/>
      <c r="D8" s="154"/>
      <c r="E8" s="154" t="str">
        <f>E7</f>
        <v xml:space="preserve">Horizon Projects Pvt Ltd
</v>
      </c>
      <c r="F8" s="154"/>
      <c r="G8" s="154"/>
      <c r="H8" s="154"/>
      <c r="K8" s="52"/>
      <c r="L8" s="53"/>
      <c r="M8" s="53"/>
      <c r="N8" s="53"/>
      <c r="O8" s="53" t="s">
        <v>343</v>
      </c>
      <c r="P8" s="53"/>
    </row>
    <row r="9" spans="1:26" x14ac:dyDescent="0.25">
      <c r="A9" s="154" t="s">
        <v>6</v>
      </c>
      <c r="B9" s="154"/>
      <c r="C9" s="154"/>
      <c r="D9" s="154"/>
      <c r="E9" s="194" t="s">
        <v>373</v>
      </c>
      <c r="F9" s="194"/>
      <c r="G9" s="194"/>
      <c r="H9" s="194"/>
      <c r="K9" s="52"/>
      <c r="L9" s="53"/>
      <c r="M9" s="53"/>
      <c r="N9" s="53"/>
      <c r="O9" s="53" t="s">
        <v>344</v>
      </c>
      <c r="P9" s="53"/>
    </row>
    <row r="10" spans="1:26" x14ac:dyDescent="0.25">
      <c r="A10" s="154" t="s">
        <v>168</v>
      </c>
      <c r="B10" s="154"/>
      <c r="C10" s="154"/>
      <c r="D10" s="154"/>
      <c r="E10" s="154" t="s">
        <v>375</v>
      </c>
      <c r="F10" s="154"/>
      <c r="G10" s="154"/>
      <c r="H10" s="154"/>
      <c r="K10" s="52"/>
      <c r="L10" s="53"/>
      <c r="M10" s="53"/>
      <c r="N10" s="53"/>
      <c r="O10" s="53" t="s">
        <v>345</v>
      </c>
      <c r="P10" s="53"/>
    </row>
    <row r="11" spans="1:26" x14ac:dyDescent="0.25">
      <c r="A11" s="154" t="s">
        <v>169</v>
      </c>
      <c r="B11" s="154"/>
      <c r="C11" s="154"/>
      <c r="D11" s="154"/>
      <c r="E11" s="154" t="s">
        <v>433</v>
      </c>
      <c r="F11" s="154"/>
      <c r="G11" s="154"/>
      <c r="H11" s="154"/>
      <c r="O11" s="53" t="s">
        <v>346</v>
      </c>
    </row>
    <row r="12" spans="1:26" x14ac:dyDescent="0.25">
      <c r="A12" s="154" t="s">
        <v>7</v>
      </c>
      <c r="B12" s="154"/>
      <c r="C12" s="154"/>
      <c r="D12" s="154"/>
      <c r="E12" s="154" t="s">
        <v>119</v>
      </c>
      <c r="F12" s="154"/>
      <c r="G12" s="154"/>
      <c r="H12" s="154"/>
    </row>
    <row r="13" spans="1:26" x14ac:dyDescent="0.25">
      <c r="A13" s="154" t="s">
        <v>172</v>
      </c>
      <c r="B13" s="154"/>
      <c r="C13" s="154"/>
      <c r="D13" s="154"/>
      <c r="E13" s="154" t="s">
        <v>28</v>
      </c>
      <c r="F13" s="154"/>
      <c r="G13" s="154"/>
      <c r="H13" s="154"/>
      <c r="S13" s="53" t="s">
        <v>181</v>
      </c>
      <c r="T13" s="53" t="s">
        <v>190</v>
      </c>
      <c r="U13" s="53" t="s">
        <v>173</v>
      </c>
      <c r="V13" s="53" t="s">
        <v>195</v>
      </c>
      <c r="W13" s="53" t="s">
        <v>213</v>
      </c>
      <c r="X13"/>
      <c r="Y13" t="s">
        <v>195</v>
      </c>
      <c r="Z13" t="e">
        <f ca="1">OFFSET($S$13,1,MATCH($G21,$S$13:$W$13,0)-1,15,1)</f>
        <v>#VALUE!</v>
      </c>
    </row>
    <row r="14" spans="1:26" x14ac:dyDescent="0.25">
      <c r="A14" s="154" t="s">
        <v>280</v>
      </c>
      <c r="B14" s="154"/>
      <c r="C14" s="154"/>
      <c r="D14" s="154"/>
      <c r="E14" s="196" t="s">
        <v>412</v>
      </c>
      <c r="F14" s="196"/>
      <c r="G14" s="196"/>
      <c r="H14" s="196"/>
      <c r="S14" s="53" t="s">
        <v>181</v>
      </c>
      <c r="T14" s="53" t="s">
        <v>188</v>
      </c>
      <c r="U14" s="53" t="s">
        <v>210</v>
      </c>
      <c r="V14" s="53" t="s">
        <v>196</v>
      </c>
      <c r="W14" s="53" t="s">
        <v>214</v>
      </c>
      <c r="X14"/>
      <c r="Y14"/>
      <c r="Z14"/>
    </row>
    <row r="15" spans="1:26" x14ac:dyDescent="0.25">
      <c r="A15" s="154" t="s">
        <v>8</v>
      </c>
      <c r="B15" s="154"/>
      <c r="C15" s="154"/>
      <c r="D15" s="154"/>
      <c r="E15" s="196" t="s">
        <v>376</v>
      </c>
      <c r="F15" s="154"/>
      <c r="G15" s="154"/>
      <c r="H15" s="154"/>
      <c r="I15" s="145" t="e">
        <f ca="1">OFFSET($D$5,1,MATCH($J13,$D$5:$H$5,0)-1,15,1)</f>
        <v>#N/A</v>
      </c>
      <c r="J15" s="146"/>
      <c r="K15" s="146"/>
      <c r="L15" s="146"/>
      <c r="M15" s="146"/>
      <c r="N15" s="146"/>
      <c r="O15" s="146"/>
      <c r="P15" s="146"/>
      <c r="S15" s="53" t="s">
        <v>182</v>
      </c>
      <c r="T15" s="53" t="s">
        <v>189</v>
      </c>
      <c r="U15" s="53" t="s">
        <v>211</v>
      </c>
      <c r="V15" s="53" t="s">
        <v>197</v>
      </c>
      <c r="W15" s="53" t="s">
        <v>227</v>
      </c>
      <c r="X15"/>
      <c r="Y15"/>
      <c r="Z15"/>
    </row>
    <row r="16" spans="1:26" ht="50.25" customHeight="1" x14ac:dyDescent="0.25">
      <c r="A16" s="136" t="s">
        <v>9</v>
      </c>
      <c r="B16" s="136"/>
      <c r="C16" s="136" t="str">
        <f>CONCATENATE((IF(OR(E9="",E9="NA"),"",E9)),", ",(IF(OR(A17="",A17="NA"),"",A17)),".",(IF(OR(C18="",C18="NA"),"",C18)),", near ",(IF(OR(C23="",C23="NA"),"",C23)),", ",(IF(OR(C20="",C20="NA"),"",C20)),", ",(IF(OR(C19="",C19="NA"),"",C19)),", ",(IF(OR(G20="",G20="NA"),"",G20)),", ",(IF(OR(C21="",C21="NA"),"",C21)),", ",(IF(OR(C22="",C22="NA"),"",C22)),", ",(IF(OR(G21="",G21="NA"),"",G21))," - ",(IF(OR(G22="",G22="NA"),"",G22)),".")</f>
        <v>Runwal Shopping Arcade 2 - R Galleria 2, Survey No.93(P), near Runwal My City, Runwal My City Road, Usarghar Gaon, Sandap, Datiwali East, Kalyan, Thane - 400612.</v>
      </c>
      <c r="D16" s="136"/>
      <c r="E16" s="136"/>
      <c r="F16" s="136"/>
      <c r="G16" s="136"/>
      <c r="H16" s="136"/>
      <c r="S16" s="53" t="s">
        <v>183</v>
      </c>
      <c r="T16" s="53" t="s">
        <v>191</v>
      </c>
      <c r="U16" s="53" t="s">
        <v>212</v>
      </c>
      <c r="V16" s="53" t="s">
        <v>198</v>
      </c>
      <c r="W16" s="53" t="s">
        <v>215</v>
      </c>
      <c r="X16"/>
      <c r="Y16"/>
      <c r="Z16"/>
    </row>
    <row r="17" spans="1:26" ht="125.25" customHeight="1" x14ac:dyDescent="0.25">
      <c r="A17" s="196" t="s">
        <v>377</v>
      </c>
      <c r="B17" s="196"/>
      <c r="C17" s="196" t="s">
        <v>378</v>
      </c>
      <c r="D17" s="196"/>
      <c r="E17" s="196"/>
      <c r="F17" s="196"/>
      <c r="G17" s="196"/>
      <c r="H17" s="196"/>
      <c r="S17" s="53" t="s">
        <v>184</v>
      </c>
      <c r="T17" s="53" t="s">
        <v>192</v>
      </c>
      <c r="U17" s="53" t="s">
        <v>173</v>
      </c>
      <c r="V17" s="53" t="s">
        <v>199</v>
      </c>
      <c r="W17" s="53" t="s">
        <v>216</v>
      </c>
      <c r="X17"/>
      <c r="Y17"/>
      <c r="Z17"/>
    </row>
    <row r="18" spans="1:26" ht="50.25" customHeight="1" x14ac:dyDescent="0.25">
      <c r="A18" s="196" t="s">
        <v>414</v>
      </c>
      <c r="B18" s="196"/>
      <c r="C18" s="196" t="s">
        <v>415</v>
      </c>
      <c r="D18" s="196"/>
      <c r="E18" s="196"/>
      <c r="F18" s="196"/>
      <c r="G18" s="196"/>
      <c r="H18" s="196"/>
      <c r="S18" s="53" t="s">
        <v>184</v>
      </c>
      <c r="T18" s="53" t="s">
        <v>192</v>
      </c>
      <c r="U18" s="53" t="s">
        <v>173</v>
      </c>
      <c r="V18" s="53" t="s">
        <v>199</v>
      </c>
      <c r="W18" s="53" t="s">
        <v>216</v>
      </c>
      <c r="X18"/>
      <c r="Y18"/>
      <c r="Z18"/>
    </row>
    <row r="19" spans="1:26" ht="15.75" customHeight="1" x14ac:dyDescent="0.25">
      <c r="A19" s="196" t="s">
        <v>163</v>
      </c>
      <c r="B19" s="196"/>
      <c r="C19" s="196" t="s">
        <v>382</v>
      </c>
      <c r="D19" s="196"/>
      <c r="E19" s="196"/>
      <c r="F19" s="196"/>
      <c r="G19" s="196"/>
      <c r="H19" s="196"/>
      <c r="J19" s="21" t="s">
        <v>381</v>
      </c>
      <c r="S19" s="53" t="s">
        <v>185</v>
      </c>
      <c r="T19" s="53" t="s">
        <v>190</v>
      </c>
      <c r="U19" s="53"/>
      <c r="V19" s="53" t="s">
        <v>200</v>
      </c>
      <c r="W19" s="53" t="s">
        <v>217</v>
      </c>
      <c r="X19"/>
      <c r="Y19"/>
      <c r="Z19"/>
    </row>
    <row r="20" spans="1:26" ht="15.75" customHeight="1" x14ac:dyDescent="0.25">
      <c r="A20" s="196" t="s">
        <v>10</v>
      </c>
      <c r="B20" s="196"/>
      <c r="C20" s="154" t="s">
        <v>383</v>
      </c>
      <c r="D20" s="154"/>
      <c r="E20" s="196" t="s">
        <v>69</v>
      </c>
      <c r="F20" s="196"/>
      <c r="G20" s="196" t="s">
        <v>417</v>
      </c>
      <c r="H20" s="196"/>
      <c r="S20" s="53" t="s">
        <v>186</v>
      </c>
      <c r="T20" s="53" t="s">
        <v>193</v>
      </c>
      <c r="U20" s="53"/>
      <c r="V20" s="53" t="s">
        <v>201</v>
      </c>
      <c r="W20" s="53" t="s">
        <v>218</v>
      </c>
      <c r="X20"/>
      <c r="Y20"/>
      <c r="Z20"/>
    </row>
    <row r="21" spans="1:26" x14ac:dyDescent="0.25">
      <c r="A21" s="154" t="s">
        <v>12</v>
      </c>
      <c r="B21" s="154"/>
      <c r="C21" s="196" t="s">
        <v>387</v>
      </c>
      <c r="D21" s="196"/>
      <c r="E21" s="196" t="s">
        <v>11</v>
      </c>
      <c r="F21" s="196"/>
      <c r="G21" s="198" t="s">
        <v>181</v>
      </c>
      <c r="H21" s="198"/>
      <c r="S21" s="53" t="s">
        <v>187</v>
      </c>
      <c r="T21" s="53" t="s">
        <v>194</v>
      </c>
      <c r="U21" s="53"/>
      <c r="V21" s="53" t="s">
        <v>202</v>
      </c>
      <c r="W21" s="53" t="s">
        <v>219</v>
      </c>
      <c r="X21"/>
      <c r="Y21"/>
      <c r="Z21"/>
    </row>
    <row r="22" spans="1:26" x14ac:dyDescent="0.25">
      <c r="A22" s="154" t="s">
        <v>70</v>
      </c>
      <c r="B22" s="154"/>
      <c r="C22" s="196" t="s">
        <v>183</v>
      </c>
      <c r="D22" s="196"/>
      <c r="E22" s="196" t="s">
        <v>13</v>
      </c>
      <c r="F22" s="196"/>
      <c r="G22" s="196">
        <v>400612</v>
      </c>
      <c r="H22" s="196"/>
      <c r="S22" s="53"/>
      <c r="T22" s="53"/>
      <c r="U22" s="53"/>
      <c r="V22" s="53" t="s">
        <v>203</v>
      </c>
      <c r="W22" s="53" t="s">
        <v>220</v>
      </c>
      <c r="X22"/>
      <c r="Y22"/>
      <c r="Z22"/>
    </row>
    <row r="23" spans="1:26" ht="32.25" customHeight="1" x14ac:dyDescent="0.25">
      <c r="A23" s="154" t="s">
        <v>120</v>
      </c>
      <c r="B23" s="154"/>
      <c r="C23" s="196" t="s">
        <v>409</v>
      </c>
      <c r="D23" s="196"/>
      <c r="E23" s="196" t="s">
        <v>14</v>
      </c>
      <c r="F23" s="196"/>
      <c r="G23" s="196" t="s">
        <v>384</v>
      </c>
      <c r="H23" s="196"/>
      <c r="S23" s="53"/>
      <c r="T23" s="53"/>
      <c r="U23" s="53"/>
      <c r="V23" s="53" t="s">
        <v>204</v>
      </c>
      <c r="W23" s="53" t="s">
        <v>221</v>
      </c>
      <c r="X23"/>
      <c r="Y23"/>
      <c r="Z23"/>
    </row>
    <row r="24" spans="1:26" ht="15" customHeight="1" x14ac:dyDescent="0.25">
      <c r="A24" s="136" t="s">
        <v>72</v>
      </c>
      <c r="B24" s="136"/>
      <c r="C24" s="136"/>
      <c r="D24" s="136"/>
      <c r="E24" s="154" t="s">
        <v>15</v>
      </c>
      <c r="F24" s="154"/>
      <c r="G24" s="154"/>
      <c r="H24" s="154"/>
      <c r="S24" s="53"/>
      <c r="T24" s="53"/>
      <c r="U24" s="53"/>
      <c r="V24" s="53" t="s">
        <v>205</v>
      </c>
      <c r="W24" s="53" t="s">
        <v>222</v>
      </c>
      <c r="X24"/>
      <c r="Y24"/>
      <c r="Z24"/>
    </row>
    <row r="25" spans="1:26" ht="18.75" customHeight="1" x14ac:dyDescent="0.25">
      <c r="A25" s="136"/>
      <c r="B25" s="136"/>
      <c r="C25" s="136"/>
      <c r="D25" s="136"/>
      <c r="E25" s="154"/>
      <c r="F25" s="154"/>
      <c r="G25" s="154"/>
      <c r="H25" s="154"/>
      <c r="S25" s="53"/>
      <c r="T25" s="53"/>
      <c r="U25" s="53"/>
      <c r="V25" s="53" t="s">
        <v>206</v>
      </c>
      <c r="W25" s="53" t="s">
        <v>223</v>
      </c>
      <c r="X25"/>
      <c r="Y25"/>
      <c r="Z25"/>
    </row>
    <row r="26" spans="1:26" ht="15" customHeight="1" x14ac:dyDescent="0.25">
      <c r="A26" s="136" t="s">
        <v>16</v>
      </c>
      <c r="B26" s="136"/>
      <c r="C26" s="136"/>
      <c r="D26" s="136"/>
      <c r="E26" s="196" t="s">
        <v>17</v>
      </c>
      <c r="F26" s="196"/>
      <c r="G26" s="196"/>
      <c r="H26" s="196"/>
      <c r="S26" s="53"/>
      <c r="T26" s="53"/>
      <c r="U26" s="53"/>
      <c r="V26" s="53" t="s">
        <v>207</v>
      </c>
      <c r="W26" s="53" t="s">
        <v>224</v>
      </c>
      <c r="X26"/>
      <c r="Y26"/>
      <c r="Z26"/>
    </row>
    <row r="27" spans="1:26" ht="15" customHeight="1" x14ac:dyDescent="0.25">
      <c r="A27" s="143" t="s">
        <v>18</v>
      </c>
      <c r="B27" s="143"/>
      <c r="C27" s="143"/>
      <c r="D27" s="143"/>
      <c r="E27" s="196" t="str">
        <f>IF(AND(G21="Mumbai"),"Upper Class","Middle Class")</f>
        <v>Middle Class</v>
      </c>
      <c r="F27" s="196"/>
      <c r="G27" s="196"/>
      <c r="H27" s="196"/>
      <c r="S27" s="53"/>
      <c r="T27" s="53"/>
      <c r="U27" s="53"/>
      <c r="V27" s="53" t="s">
        <v>208</v>
      </c>
      <c r="W27" s="53" t="s">
        <v>225</v>
      </c>
      <c r="X27"/>
      <c r="Y27"/>
      <c r="Z27"/>
    </row>
    <row r="28" spans="1:26" x14ac:dyDescent="0.25">
      <c r="A28" s="143" t="s">
        <v>19</v>
      </c>
      <c r="B28" s="143"/>
      <c r="C28" s="143"/>
      <c r="D28" s="143"/>
      <c r="E28" s="196" t="s">
        <v>20</v>
      </c>
      <c r="F28" s="196"/>
      <c r="G28" s="196"/>
      <c r="H28" s="196"/>
      <c r="S28" s="53"/>
      <c r="T28" s="53"/>
      <c r="U28" s="53"/>
      <c r="V28" s="53" t="s">
        <v>209</v>
      </c>
      <c r="W28" s="53" t="s">
        <v>226</v>
      </c>
      <c r="X28"/>
      <c r="Y28"/>
      <c r="Z28"/>
    </row>
    <row r="29" spans="1:26" ht="15.75" customHeight="1" x14ac:dyDescent="0.25">
      <c r="A29" s="143" t="s">
        <v>21</v>
      </c>
      <c r="B29" s="143"/>
      <c r="C29" s="143"/>
      <c r="D29" s="143"/>
      <c r="E29" s="196" t="str">
        <f>IF(AND(G21="Mumbai"),"Developed","Developing")</f>
        <v>Developing</v>
      </c>
      <c r="F29" s="196"/>
      <c r="G29" s="196"/>
      <c r="H29" s="196"/>
    </row>
    <row r="30" spans="1:26" x14ac:dyDescent="0.25">
      <c r="A30" s="143" t="s">
        <v>22</v>
      </c>
      <c r="B30" s="143"/>
      <c r="C30" s="143"/>
      <c r="D30" s="143"/>
      <c r="E30" s="196" t="s">
        <v>23</v>
      </c>
      <c r="F30" s="196"/>
      <c r="G30" s="196"/>
      <c r="H30" s="196"/>
    </row>
    <row r="31" spans="1:26" ht="15.75" customHeight="1" x14ac:dyDescent="0.25">
      <c r="A31" s="143" t="s">
        <v>77</v>
      </c>
      <c r="B31" s="143"/>
      <c r="C31" s="143"/>
      <c r="D31" s="143"/>
      <c r="E31" s="196" t="s">
        <v>78</v>
      </c>
      <c r="F31" s="196"/>
      <c r="G31" s="196"/>
      <c r="H31" s="196"/>
    </row>
    <row r="32" spans="1:26" ht="15" customHeight="1" x14ac:dyDescent="0.25">
      <c r="A32" s="143" t="s">
        <v>30</v>
      </c>
      <c r="B32" s="143"/>
      <c r="C32" s="143"/>
      <c r="D32" s="143"/>
      <c r="E32" s="196"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Commercial</v>
      </c>
      <c r="F32" s="196"/>
      <c r="G32" s="196"/>
      <c r="H32" s="196"/>
    </row>
    <row r="33" spans="1:19" ht="15.75" customHeight="1" x14ac:dyDescent="0.25">
      <c r="A33" s="143" t="s">
        <v>89</v>
      </c>
      <c r="B33" s="143"/>
      <c r="C33" s="143"/>
      <c r="D33" s="143"/>
      <c r="E33" s="196" t="s">
        <v>31</v>
      </c>
      <c r="F33" s="196"/>
      <c r="G33" s="196"/>
      <c r="H33" s="196"/>
    </row>
    <row r="34" spans="1:19" s="22" customFormat="1" x14ac:dyDescent="0.25">
      <c r="A34" s="206" t="s">
        <v>90</v>
      </c>
      <c r="B34" s="206"/>
      <c r="C34" s="203" t="s">
        <v>174</v>
      </c>
      <c r="D34" s="204"/>
      <c r="E34" s="205"/>
      <c r="F34" s="203" t="s">
        <v>29</v>
      </c>
      <c r="G34" s="204"/>
      <c r="H34" s="205"/>
      <c r="S34" s="22" t="e">
        <f ca="1">OFFSET($S$13,1,MATCH($G21,$S$13:$W$13,0)-1,15,1)</f>
        <v>#VALUE!</v>
      </c>
    </row>
    <row r="35" spans="1:19" s="22" customFormat="1" x14ac:dyDescent="0.25">
      <c r="A35" s="199" t="s">
        <v>24</v>
      </c>
      <c r="B35" s="199" t="s">
        <v>28</v>
      </c>
      <c r="C35" s="200" t="s">
        <v>10</v>
      </c>
      <c r="D35" s="201"/>
      <c r="E35" s="202"/>
      <c r="F35" s="200" t="s">
        <v>10</v>
      </c>
      <c r="G35" s="201"/>
      <c r="H35" s="202"/>
    </row>
    <row r="36" spans="1:19" x14ac:dyDescent="0.25">
      <c r="A36" s="199" t="s">
        <v>25</v>
      </c>
      <c r="B36" s="199" t="s">
        <v>28</v>
      </c>
      <c r="C36" s="200" t="s">
        <v>390</v>
      </c>
      <c r="D36" s="201"/>
      <c r="E36" s="202"/>
      <c r="F36" s="200" t="s">
        <v>386</v>
      </c>
      <c r="G36" s="201"/>
      <c r="H36" s="202"/>
    </row>
    <row r="37" spans="1:19" s="22" customFormat="1" x14ac:dyDescent="0.25">
      <c r="A37" s="199" t="s">
        <v>27</v>
      </c>
      <c r="B37" s="199" t="s">
        <v>28</v>
      </c>
      <c r="C37" s="200" t="s">
        <v>388</v>
      </c>
      <c r="D37" s="201"/>
      <c r="E37" s="202"/>
      <c r="F37" s="200" t="s">
        <v>385</v>
      </c>
      <c r="G37" s="201"/>
      <c r="H37" s="202"/>
    </row>
    <row r="38" spans="1:19" x14ac:dyDescent="0.25">
      <c r="A38" s="199" t="s">
        <v>26</v>
      </c>
      <c r="B38" s="199" t="s">
        <v>28</v>
      </c>
      <c r="C38" s="200" t="s">
        <v>389</v>
      </c>
      <c r="D38" s="201"/>
      <c r="E38" s="202"/>
      <c r="F38" s="200" t="s">
        <v>383</v>
      </c>
      <c r="G38" s="201"/>
      <c r="H38" s="202"/>
    </row>
    <row r="39" spans="1:19" x14ac:dyDescent="0.25">
      <c r="A39" s="143" t="s">
        <v>281</v>
      </c>
      <c r="B39" s="143"/>
      <c r="C39" s="143"/>
      <c r="D39" s="143"/>
      <c r="E39" s="143"/>
      <c r="F39" s="143"/>
      <c r="G39" s="143"/>
      <c r="H39" s="143"/>
    </row>
    <row r="40" spans="1:19" ht="15.75" customHeight="1" x14ac:dyDescent="0.25">
      <c r="A40" s="143" t="s">
        <v>166</v>
      </c>
      <c r="B40" s="143"/>
      <c r="C40" s="187" t="s">
        <v>380</v>
      </c>
      <c r="D40" s="187"/>
      <c r="E40" s="187"/>
      <c r="F40" s="187"/>
      <c r="G40" s="187"/>
      <c r="H40" s="187"/>
    </row>
    <row r="41" spans="1:19" x14ac:dyDescent="0.25">
      <c r="A41" s="143" t="s">
        <v>162</v>
      </c>
      <c r="B41" s="143"/>
      <c r="C41" s="260" t="s">
        <v>379</v>
      </c>
      <c r="D41" s="196"/>
      <c r="E41" s="196"/>
      <c r="F41" s="196"/>
      <c r="G41" s="196"/>
      <c r="H41" s="196"/>
    </row>
    <row r="42" spans="1:19" x14ac:dyDescent="0.25">
      <c r="A42" s="187" t="s">
        <v>32</v>
      </c>
      <c r="B42" s="187"/>
      <c r="C42" s="187"/>
      <c r="D42" s="187"/>
      <c r="E42" s="187"/>
      <c r="F42" s="187"/>
      <c r="G42" s="187"/>
      <c r="H42" s="187"/>
    </row>
    <row r="43" spans="1:19" ht="33" customHeight="1" x14ac:dyDescent="0.25">
      <c r="A43" s="136" t="s">
        <v>416</v>
      </c>
      <c r="B43" s="136"/>
      <c r="C43" s="136"/>
      <c r="D43" s="136"/>
      <c r="E43" s="197">
        <v>2926.42</v>
      </c>
      <c r="F43" s="197"/>
      <c r="G43" s="197"/>
      <c r="H43" s="197"/>
    </row>
    <row r="44" spans="1:19" x14ac:dyDescent="0.25">
      <c r="A44" s="143" t="s">
        <v>33</v>
      </c>
      <c r="B44" s="143"/>
      <c r="C44" s="143"/>
      <c r="D44" s="143"/>
      <c r="E44" s="197">
        <v>490832.17</v>
      </c>
      <c r="F44" s="197"/>
      <c r="G44" s="197"/>
      <c r="H44" s="197"/>
    </row>
    <row r="45" spans="1:19" x14ac:dyDescent="0.25">
      <c r="A45" s="143" t="s">
        <v>34</v>
      </c>
      <c r="B45" s="143"/>
      <c r="C45" s="143"/>
      <c r="D45" s="143"/>
      <c r="E45" s="218">
        <v>1</v>
      </c>
      <c r="F45" s="218"/>
      <c r="G45" s="218"/>
      <c r="H45" s="218"/>
    </row>
    <row r="46" spans="1:19" x14ac:dyDescent="0.25">
      <c r="A46" s="143" t="s">
        <v>35</v>
      </c>
      <c r="B46" s="143"/>
      <c r="C46" s="143"/>
      <c r="D46" s="143"/>
      <c r="E46" s="218">
        <f>E48/E44-E45</f>
        <v>1.7312182288296221</v>
      </c>
      <c r="F46" s="218"/>
      <c r="G46" s="218"/>
      <c r="H46" s="218"/>
    </row>
    <row r="47" spans="1:19" x14ac:dyDescent="0.25">
      <c r="A47" s="143" t="s">
        <v>36</v>
      </c>
      <c r="B47" s="143"/>
      <c r="C47" s="143"/>
      <c r="D47" s="143"/>
      <c r="E47" s="218">
        <f>E45+E46</f>
        <v>2.7312182288296221</v>
      </c>
      <c r="F47" s="218"/>
      <c r="G47" s="218"/>
      <c r="H47" s="218"/>
    </row>
    <row r="48" spans="1:19" x14ac:dyDescent="0.25">
      <c r="A48" s="143" t="s">
        <v>88</v>
      </c>
      <c r="B48" s="143"/>
      <c r="C48" s="143"/>
      <c r="D48" s="143"/>
      <c r="E48" s="197">
        <v>1340569.77</v>
      </c>
      <c r="F48" s="197"/>
      <c r="G48" s="197"/>
      <c r="H48" s="197"/>
    </row>
    <row r="49" spans="1:24" x14ac:dyDescent="0.25">
      <c r="A49" s="154" t="s">
        <v>37</v>
      </c>
      <c r="B49" s="154"/>
      <c r="C49" s="154"/>
      <c r="D49" s="154"/>
      <c r="E49" s="154" t="s">
        <v>119</v>
      </c>
      <c r="F49" s="154"/>
      <c r="G49" s="154"/>
      <c r="H49" s="154"/>
    </row>
    <row r="50" spans="1:24" x14ac:dyDescent="0.25">
      <c r="A50" s="187" t="s">
        <v>38</v>
      </c>
      <c r="B50" s="187"/>
      <c r="C50" s="187"/>
      <c r="D50" s="187"/>
      <c r="E50" s="187"/>
      <c r="F50" s="187"/>
      <c r="G50" s="187"/>
      <c r="H50" s="187"/>
    </row>
    <row r="51" spans="1:24" ht="33.75" customHeight="1" x14ac:dyDescent="0.25">
      <c r="A51" s="128" t="s">
        <v>152</v>
      </c>
      <c r="B51" s="129"/>
      <c r="C51" s="226" t="s">
        <v>258</v>
      </c>
      <c r="D51" s="227"/>
      <c r="E51" s="227"/>
      <c r="F51" s="227"/>
      <c r="G51" s="227"/>
      <c r="H51" s="228"/>
      <c r="R51" t="s">
        <v>254</v>
      </c>
      <c r="S51" s="57" t="s">
        <v>173</v>
      </c>
      <c r="T51" s="57" t="s">
        <v>181</v>
      </c>
      <c r="U51" s="57" t="s">
        <v>195</v>
      </c>
      <c r="V51" s="57" t="s">
        <v>190</v>
      </c>
    </row>
    <row r="52" spans="1:24" ht="32.25" customHeight="1" x14ac:dyDescent="0.25">
      <c r="A52" s="128" t="s">
        <v>39</v>
      </c>
      <c r="B52" s="129"/>
      <c r="C52" s="128" t="s">
        <v>419</v>
      </c>
      <c r="D52" s="217"/>
      <c r="E52" s="129"/>
      <c r="F52" s="18" t="s">
        <v>40</v>
      </c>
      <c r="G52" s="229">
        <v>45595</v>
      </c>
      <c r="H52" s="230"/>
      <c r="R52"/>
      <c r="S52" s="57" t="s">
        <v>255</v>
      </c>
      <c r="T52" s="57" t="s">
        <v>260</v>
      </c>
      <c r="U52" s="57" t="s">
        <v>271</v>
      </c>
      <c r="V52" s="57" t="s">
        <v>276</v>
      </c>
    </row>
    <row r="53" spans="1:24" ht="32.25" customHeight="1" x14ac:dyDescent="0.25">
      <c r="A53" s="128" t="s">
        <v>41</v>
      </c>
      <c r="B53" s="129"/>
      <c r="C53" s="128" t="str">
        <f>C52</f>
        <v>SROT/Growth Center/2401/BP/ITP- Usarghar-Sandap-01/Vol-24/1123/2024</v>
      </c>
      <c r="D53" s="217"/>
      <c r="E53" s="129"/>
      <c r="F53" s="18" t="s">
        <v>40</v>
      </c>
      <c r="G53" s="229">
        <f>G52</f>
        <v>45595</v>
      </c>
      <c r="H53" s="230"/>
      <c r="R53"/>
      <c r="S53" s="57" t="s">
        <v>256</v>
      </c>
      <c r="T53" s="57" t="s">
        <v>353</v>
      </c>
      <c r="U53" s="57" t="s">
        <v>269</v>
      </c>
      <c r="V53" s="57" t="s">
        <v>277</v>
      </c>
    </row>
    <row r="54" spans="1:24" s="23" customFormat="1" ht="33.75" customHeight="1" x14ac:dyDescent="0.25">
      <c r="A54" s="241" t="s">
        <v>156</v>
      </c>
      <c r="B54" s="242"/>
      <c r="C54" s="241" t="str">
        <f>C53</f>
        <v>SROT/Growth Center/2401/BP/ITP- Usarghar-Sandap-01/Vol-24/1123/2024</v>
      </c>
      <c r="D54" s="245"/>
      <c r="E54" s="242"/>
      <c r="F54" s="18" t="s">
        <v>40</v>
      </c>
      <c r="G54" s="229">
        <v>45595</v>
      </c>
      <c r="H54" s="230"/>
      <c r="I54" s="22" t="str">
        <f ca="1">IF(G54&gt;EDATE(E3,-48),"NO REMARK","CC REMARK FOR CC")</f>
        <v>NO REMARK</v>
      </c>
      <c r="J54" s="88"/>
      <c r="R54"/>
      <c r="S54" s="57" t="s">
        <v>257</v>
      </c>
      <c r="T54" s="57" t="s">
        <v>262</v>
      </c>
      <c r="U54" s="57" t="s">
        <v>259</v>
      </c>
      <c r="V54" s="57" t="s">
        <v>278</v>
      </c>
    </row>
    <row r="55" spans="1:24" s="23" customFormat="1" x14ac:dyDescent="0.25">
      <c r="A55" s="243"/>
      <c r="B55" s="244"/>
      <c r="C55" s="128" t="s">
        <v>406</v>
      </c>
      <c r="D55" s="217"/>
      <c r="E55" s="217"/>
      <c r="F55" s="217"/>
      <c r="G55" s="217"/>
      <c r="H55" s="129"/>
      <c r="I55" s="23" t="s">
        <v>405</v>
      </c>
      <c r="R55"/>
      <c r="S55" s="57"/>
      <c r="T55" s="57"/>
      <c r="U55" s="57"/>
      <c r="V55" s="79"/>
    </row>
    <row r="56" spans="1:24" s="23" customFormat="1" x14ac:dyDescent="0.25">
      <c r="A56" s="219" t="s">
        <v>422</v>
      </c>
      <c r="B56" s="220"/>
      <c r="C56" s="128" t="s">
        <v>421</v>
      </c>
      <c r="D56" s="217"/>
      <c r="E56" s="129"/>
      <c r="F56" s="18" t="s">
        <v>40</v>
      </c>
      <c r="G56" s="229">
        <v>44889</v>
      </c>
      <c r="H56" s="230"/>
      <c r="K56" s="89">
        <f>EDATE(G54,-48)</f>
        <v>44134</v>
      </c>
      <c r="L56" s="23" t="str">
        <f ca="1">IF(G54&gt;EDATE(E3,-48),"NO REMARK","CC REMARK FOR CC")</f>
        <v>NO REMARK</v>
      </c>
      <c r="R56"/>
      <c r="S56" s="57" t="s">
        <v>257</v>
      </c>
      <c r="T56" s="57" t="s">
        <v>262</v>
      </c>
      <c r="U56" s="57" t="s">
        <v>259</v>
      </c>
      <c r="V56" s="57" t="s">
        <v>278</v>
      </c>
    </row>
    <row r="57" spans="1:24" s="23" customFormat="1" ht="143.25" customHeight="1" x14ac:dyDescent="0.25">
      <c r="A57" s="221"/>
      <c r="B57" s="222"/>
      <c r="C57" s="238" t="s">
        <v>423</v>
      </c>
      <c r="D57" s="239"/>
      <c r="E57" s="239"/>
      <c r="F57" s="239"/>
      <c r="G57" s="239"/>
      <c r="H57" s="240"/>
      <c r="R57"/>
      <c r="S57" s="57" t="s">
        <v>259</v>
      </c>
      <c r="T57" s="57" t="s">
        <v>263</v>
      </c>
      <c r="U57" s="57" t="s">
        <v>273</v>
      </c>
      <c r="V57" s="80"/>
      <c r="W57" s="21"/>
      <c r="X57" s="21"/>
    </row>
    <row r="58" spans="1:24" s="23" customFormat="1" ht="15.75" customHeight="1" x14ac:dyDescent="0.25">
      <c r="A58" s="289" t="s">
        <v>425</v>
      </c>
      <c r="B58" s="290"/>
      <c r="C58" s="128" t="s">
        <v>424</v>
      </c>
      <c r="D58" s="217"/>
      <c r="E58" s="129"/>
      <c r="F58" s="121" t="s">
        <v>40</v>
      </c>
      <c r="G58" s="229">
        <v>45310</v>
      </c>
      <c r="H58" s="230"/>
      <c r="R58"/>
      <c r="S58" s="80"/>
      <c r="T58" s="57" t="s">
        <v>267</v>
      </c>
      <c r="U58" s="80" t="s">
        <v>295</v>
      </c>
      <c r="V58" s="80"/>
      <c r="W58" s="21"/>
      <c r="X58" s="21"/>
    </row>
    <row r="59" spans="1:24" s="23" customFormat="1" ht="15.75" customHeight="1" x14ac:dyDescent="0.25">
      <c r="A59" s="211" t="s">
        <v>427</v>
      </c>
      <c r="B59" s="212"/>
      <c r="C59" s="241" t="s">
        <v>426</v>
      </c>
      <c r="D59" s="245"/>
      <c r="E59" s="245"/>
      <c r="F59" s="245"/>
      <c r="G59" s="245"/>
      <c r="H59" s="242"/>
      <c r="R59"/>
      <c r="S59" s="80"/>
      <c r="T59" s="57" t="s">
        <v>267</v>
      </c>
      <c r="U59" s="80" t="s">
        <v>295</v>
      </c>
      <c r="V59" s="80"/>
      <c r="W59" s="21"/>
      <c r="X59" s="21"/>
    </row>
    <row r="60" spans="1:24" s="23" customFormat="1" ht="19.5" customHeight="1" x14ac:dyDescent="0.25">
      <c r="A60" s="213"/>
      <c r="B60" s="214"/>
      <c r="C60" s="243"/>
      <c r="D60" s="291"/>
      <c r="E60" s="291"/>
      <c r="F60" s="291"/>
      <c r="G60" s="291"/>
      <c r="H60" s="244"/>
      <c r="R60"/>
      <c r="S60" s="80"/>
      <c r="T60" s="57" t="s">
        <v>268</v>
      </c>
      <c r="U60" s="80"/>
      <c r="V60" s="80"/>
      <c r="W60" s="21"/>
      <c r="X60" s="21"/>
    </row>
    <row r="61" spans="1:24" s="23" customFormat="1" ht="33.75" hidden="1" customHeight="1" x14ac:dyDescent="0.25">
      <c r="A61" s="215"/>
      <c r="B61" s="216"/>
      <c r="C61" s="128" t="s">
        <v>371</v>
      </c>
      <c r="D61" s="217"/>
      <c r="E61" s="217"/>
      <c r="F61" s="217"/>
      <c r="G61" s="217"/>
      <c r="H61" s="129"/>
      <c r="R61"/>
      <c r="S61" s="80"/>
      <c r="T61" s="57"/>
      <c r="U61" s="80"/>
      <c r="V61" s="80"/>
      <c r="W61" s="21"/>
      <c r="X61" s="21"/>
    </row>
    <row r="62" spans="1:24" x14ac:dyDescent="0.25">
      <c r="A62" s="149" t="s">
        <v>42</v>
      </c>
      <c r="B62" s="150"/>
      <c r="C62" s="149" t="s">
        <v>102</v>
      </c>
      <c r="D62" s="151"/>
      <c r="E62" s="150"/>
      <c r="F62" s="43" t="s">
        <v>40</v>
      </c>
      <c r="G62" s="155" t="s">
        <v>28</v>
      </c>
      <c r="H62" s="156"/>
      <c r="R62"/>
      <c r="S62" s="80"/>
      <c r="T62" s="57" t="s">
        <v>270</v>
      </c>
      <c r="U62" s="80"/>
      <c r="V62" s="80"/>
    </row>
    <row r="63" spans="1:24" x14ac:dyDescent="0.25">
      <c r="A63" s="189" t="s">
        <v>44</v>
      </c>
      <c r="B63" s="189"/>
      <c r="C63" s="189"/>
      <c r="D63" s="189"/>
      <c r="E63" s="189"/>
      <c r="F63" s="189"/>
      <c r="G63" s="189"/>
      <c r="H63" s="189"/>
      <c r="S63" s="80"/>
      <c r="T63" s="57" t="s">
        <v>279</v>
      </c>
      <c r="U63" s="80"/>
      <c r="V63" s="80"/>
    </row>
    <row r="64" spans="1:24" x14ac:dyDescent="0.25">
      <c r="A64" s="136" t="s">
        <v>87</v>
      </c>
      <c r="B64" s="136"/>
      <c r="C64" s="136"/>
      <c r="D64" s="143">
        <f>16759.01</f>
        <v>16759.009999999998</v>
      </c>
      <c r="E64" s="143"/>
      <c r="F64" s="143"/>
      <c r="G64" s="143"/>
      <c r="H64" s="143"/>
      <c r="R64"/>
    </row>
    <row r="65" spans="1:19" x14ac:dyDescent="0.25">
      <c r="A65" s="196" t="s">
        <v>45</v>
      </c>
      <c r="B65" s="154"/>
      <c r="C65" s="154"/>
      <c r="D65" s="154" t="s">
        <v>408</v>
      </c>
      <c r="E65" s="154"/>
      <c r="F65" s="154"/>
      <c r="G65" s="154"/>
      <c r="H65" s="154"/>
      <c r="I65" s="24"/>
      <c r="R65"/>
    </row>
    <row r="66" spans="1:19" x14ac:dyDescent="0.25">
      <c r="A66" s="211" t="s">
        <v>46</v>
      </c>
      <c r="B66" s="225"/>
      <c r="C66" s="212"/>
      <c r="D66" s="137" t="s">
        <v>404</v>
      </c>
      <c r="E66" s="224"/>
      <c r="F66" s="224"/>
      <c r="G66" s="224"/>
      <c r="H66" s="224"/>
      <c r="R66"/>
    </row>
    <row r="67" spans="1:19" x14ac:dyDescent="0.25">
      <c r="A67" s="211" t="s">
        <v>85</v>
      </c>
      <c r="B67" s="225"/>
      <c r="C67" s="225"/>
      <c r="D67" s="196" t="s">
        <v>404</v>
      </c>
      <c r="E67" s="154"/>
      <c r="F67" s="154"/>
      <c r="G67" s="154"/>
      <c r="H67" s="154"/>
      <c r="R67"/>
    </row>
    <row r="68" spans="1:19" ht="15" customHeight="1" x14ac:dyDescent="0.25">
      <c r="A68" s="154" t="s">
        <v>43</v>
      </c>
      <c r="B68" s="154"/>
      <c r="C68" s="154"/>
      <c r="D68" s="237" t="s">
        <v>391</v>
      </c>
      <c r="E68" s="237"/>
      <c r="F68" s="237"/>
      <c r="G68" s="237"/>
      <c r="H68" s="237"/>
      <c r="J68" s="25"/>
      <c r="K68" s="24"/>
      <c r="N68" s="24"/>
      <c r="S68"/>
    </row>
    <row r="69" spans="1:19" ht="15.75" customHeight="1" x14ac:dyDescent="0.25">
      <c r="A69" s="154" t="s">
        <v>83</v>
      </c>
      <c r="B69" s="154"/>
      <c r="C69" s="154"/>
      <c r="D69" s="223" t="str">
        <f>(IF(G62="NA","60 Years After Completion",IF(G62&lt;&gt;"NA",""&amp;60-ROUNDDOWN((E3-G62)/360,0)&amp;" Years"," ")))</f>
        <v>60 Years After Completion</v>
      </c>
      <c r="E69" s="223"/>
      <c r="F69" s="223"/>
      <c r="G69" s="223"/>
      <c r="H69" s="223"/>
      <c r="N69" s="24"/>
      <c r="S69"/>
    </row>
    <row r="70" spans="1:19" ht="15.75" customHeight="1" x14ac:dyDescent="0.25">
      <c r="A70" s="154" t="s">
        <v>84</v>
      </c>
      <c r="B70" s="154"/>
      <c r="C70" s="154"/>
      <c r="D70" s="196" t="s">
        <v>23</v>
      </c>
      <c r="E70" s="196"/>
      <c r="F70" s="196"/>
      <c r="G70" s="196"/>
      <c r="H70" s="196"/>
      <c r="J70" s="26"/>
      <c r="K70" s="26"/>
      <c r="S70"/>
    </row>
    <row r="71" spans="1:19" ht="63" customHeight="1" x14ac:dyDescent="0.25">
      <c r="A71" s="154" t="s">
        <v>418</v>
      </c>
      <c r="B71" s="154"/>
      <c r="C71" s="154"/>
      <c r="D71" s="196" t="s">
        <v>410</v>
      </c>
      <c r="E71" s="196"/>
      <c r="F71" s="196"/>
      <c r="G71" s="196"/>
      <c r="H71" s="196"/>
      <c r="I71" s="112" t="s">
        <v>411</v>
      </c>
      <c r="S71"/>
    </row>
    <row r="72" spans="1:19" x14ac:dyDescent="0.25">
      <c r="A72" s="136" t="s">
        <v>148</v>
      </c>
      <c r="B72" s="136"/>
      <c r="C72" s="136"/>
      <c r="D72" s="136" t="s">
        <v>28</v>
      </c>
      <c r="E72" s="136"/>
      <c r="F72" s="136"/>
      <c r="G72" s="136"/>
      <c r="H72" s="136"/>
      <c r="I72" s="27"/>
      <c r="J72" s="27"/>
      <c r="K72" s="27"/>
      <c r="L72" s="27"/>
      <c r="M72" s="27"/>
      <c r="N72" s="27"/>
    </row>
    <row r="73" spans="1:19" ht="15.75" customHeight="1" x14ac:dyDescent="0.25">
      <c r="A73" s="210" t="s">
        <v>82</v>
      </c>
      <c r="B73" s="210"/>
      <c r="C73" s="210"/>
      <c r="D73" s="137" t="str">
        <f ca="1">(IF(G79&gt;95%,"Nothing",IF(G79&gt;0%,"Cement, Aggregate, Steel, etc",IF(G79=0%,"Work not yet Started"))))</f>
        <v>Cement, Aggregate, Steel, etc</v>
      </c>
      <c r="E73" s="137"/>
      <c r="F73" s="137"/>
      <c r="G73" s="137"/>
      <c r="H73" s="137"/>
      <c r="J73" s="26"/>
      <c r="S73"/>
    </row>
    <row r="74" spans="1:19" ht="33.75" customHeight="1" thickBot="1" x14ac:dyDescent="0.3">
      <c r="A74" s="209" t="s">
        <v>115</v>
      </c>
      <c r="B74" s="209"/>
      <c r="C74" s="209"/>
      <c r="D74" s="137" t="str">
        <f ca="1">(IF(D73="Nothing","Yes",IF(D73="Cement, Aggregate, Steel, etc","Under Construction",IF(D73="Work not yet Started","Work not yet Started"))))</f>
        <v>Under Construction</v>
      </c>
      <c r="E74" s="137"/>
      <c r="F74" s="137" t="str">
        <f ca="1">(IF(D73="Nothing","Yes",IF(D73="Cement, Aggregate, Steel, etc","Under Construction",IF(D73="Work not yet Started","Work not yet Started"))))</f>
        <v>Under Construction</v>
      </c>
      <c r="G74" s="137"/>
      <c r="H74" s="137"/>
      <c r="S74"/>
    </row>
    <row r="75" spans="1:19" ht="15.75" customHeight="1" x14ac:dyDescent="0.25">
      <c r="A75" s="232" t="s">
        <v>138</v>
      </c>
      <c r="B75" s="233"/>
      <c r="C75" s="234" t="str">
        <f>D67</f>
        <v xml:space="preserve">1B + Gr + 1st  to 2nd Floor + Service Floor + 3rd to 11th Floor
</v>
      </c>
      <c r="D75" s="235"/>
      <c r="E75" s="235"/>
      <c r="F75" s="235"/>
      <c r="G75" s="235"/>
      <c r="H75" s="236"/>
      <c r="I75" s="46" t="str">
        <f ca="1">IF(D88=100%,"All work Completed. Possession granted to the Building.",IF(D87=100%,"All work Completed, Waiting for OC",I76&amp;""&amp;I77&amp;""&amp;J76&amp;""&amp;J75&amp;" "&amp;J77))</f>
        <v xml:space="preserve">Excavation Completed, Footing work is process </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6" t="s">
        <v>140</v>
      </c>
      <c r="B76" s="50">
        <f>IF(AND(ISNUMBER(SEARCH("1B",C75))),1,IF(AND(ISNUMBER(SEARCH("2B",C75))),2,IF(AND(ISNUMBER(SEARCH("3B",C75))),3,IF(AND(ISNUMBER(SEARCH("4B",C75))),4,IF(ISNUMBER(SEARCH("5B",C75)),5,0)))))</f>
        <v>1</v>
      </c>
      <c r="C76" s="50" t="s">
        <v>68</v>
      </c>
      <c r="D76" s="50">
        <v>1</v>
      </c>
      <c r="E76" s="50" t="s">
        <v>67</v>
      </c>
      <c r="F76" s="50">
        <v>0</v>
      </c>
      <c r="G76" s="50" t="s">
        <v>76</v>
      </c>
      <c r="H76" s="17">
        <f ca="1">--TRIM(RIGHT(SUBSTITUTE(LEFT(C75,_xlfn.AGGREGATE(16,6,FIND({0,1,2,3,4,5,6,7,8,9},C75,ROW(INDIRECT("1:"&amp;LEN(C75)))),1))," ",REPT(" ",LEN(C75))),LEN(C75)))</f>
        <v>11</v>
      </c>
      <c r="I76" s="48" t="str">
        <f ca="1">IF(D79=100%,"Excavation","")&amp;IF(D80=100%,", Plinth","")&amp;IF(D81=100%,", RCC Slab","")&amp;IF(D82=100%,", Brickwork","")&amp;IF(D83=100%,", Internal Plaster","")&amp;IF(D84=100%,", External Plaster","")&amp;IF(D85=100%,", Flooring","")&amp;IF(D86=100%,", Painting","")&amp;IF(D87=100%,", Building common Amenities","")</f>
        <v>Excavation</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Footing work is process</v>
      </c>
      <c r="S76"/>
    </row>
    <row r="77" spans="1:19" x14ac:dyDescent="0.25">
      <c r="A77" s="231" t="s">
        <v>86</v>
      </c>
      <c r="B77" s="194"/>
      <c r="C77" s="207" t="str">
        <f ca="1">I75</f>
        <v xml:space="preserve">Excavation Completed, Footing work is process </v>
      </c>
      <c r="D77" s="207"/>
      <c r="E77" s="207"/>
      <c r="F77" s="207"/>
      <c r="G77" s="207"/>
      <c r="H77" s="208"/>
      <c r="I77" s="48" t="str">
        <f ca="1">IF(I76&lt;&gt;""," Completed","")</f>
        <v xml:space="preserve"> Completed</v>
      </c>
      <c r="J77" s="49" t="str">
        <f ca="1">IF(J75&lt;&gt;"","Completed","")</f>
        <v/>
      </c>
      <c r="S77"/>
    </row>
    <row r="78" spans="1:19" ht="15.75" customHeight="1" x14ac:dyDescent="0.25">
      <c r="A78" s="126" t="s">
        <v>47</v>
      </c>
      <c r="B78" s="127"/>
      <c r="C78" s="113" t="s">
        <v>137</v>
      </c>
      <c r="D78" s="113" t="s">
        <v>79</v>
      </c>
      <c r="E78" s="127" t="s">
        <v>81</v>
      </c>
      <c r="F78" s="127"/>
      <c r="G78" s="127" t="s">
        <v>80</v>
      </c>
      <c r="H78" s="138"/>
      <c r="I78" s="13" t="s">
        <v>139</v>
      </c>
      <c r="J78" s="28">
        <f ca="1">H76*25%</f>
        <v>2.75</v>
      </c>
      <c r="S78"/>
    </row>
    <row r="79" spans="1:19" x14ac:dyDescent="0.25">
      <c r="A79" s="126" t="s">
        <v>126</v>
      </c>
      <c r="B79" s="127"/>
      <c r="C79" s="113">
        <f ca="1">J80</f>
        <v>11</v>
      </c>
      <c r="D79" s="114">
        <f ca="1">((100/H76)*C79)/100</f>
        <v>1.0000000000000002</v>
      </c>
      <c r="E79" s="265">
        <f ca="1">(((C80/H76*10)+(40/(D76+F76+H76)*C81)+(7.5/(H76)*C82)+(7.5/(H76)*C83)+(10/H76*C84)+(10/H76*C85)+(5/H76*C86)+(5/H76*C87)+(5/H76*C88))/100)</f>
        <v>2.5000000000000001E-2</v>
      </c>
      <c r="F79" s="266"/>
      <c r="G79" s="265">
        <f ca="1">((((C79/H76)*20)+((C80/H76)*25)+(30/(H76+F76+D76)*C81)+(5/H76*C82)+(5/H76*C83)+(5/H76*C84)+(5/H76*C85)+(0/H76*C86)+(0/H76*C87)+(5/H76*C88))/100)</f>
        <v>0.26250000000000001</v>
      </c>
      <c r="H79" s="271"/>
      <c r="I79" s="13" t="s">
        <v>97</v>
      </c>
      <c r="J79" s="29">
        <f ca="1">H76*50%</f>
        <v>5.5</v>
      </c>
    </row>
    <row r="80" spans="1:19" x14ac:dyDescent="0.25">
      <c r="A80" s="126" t="s">
        <v>48</v>
      </c>
      <c r="B80" s="127"/>
      <c r="C80" s="115">
        <f ca="1">J81</f>
        <v>2.75</v>
      </c>
      <c r="D80" s="114">
        <f ca="1">((100/H76)*C80)/100</f>
        <v>0.25000000000000006</v>
      </c>
      <c r="E80" s="267"/>
      <c r="F80" s="268"/>
      <c r="G80" s="267"/>
      <c r="H80" s="272"/>
      <c r="I80" s="13" t="s">
        <v>98</v>
      </c>
      <c r="J80" s="29">
        <f ca="1">H76</f>
        <v>11</v>
      </c>
      <c r="S80"/>
    </row>
    <row r="81" spans="1:19" ht="15.75" customHeight="1" x14ac:dyDescent="0.25">
      <c r="A81" s="126" t="s">
        <v>127</v>
      </c>
      <c r="B81" s="127"/>
      <c r="C81" s="113">
        <v>0</v>
      </c>
      <c r="D81" s="114">
        <f ca="1">((100/(D76+F76+H76))*C81)/100</f>
        <v>0</v>
      </c>
      <c r="E81" s="267"/>
      <c r="F81" s="268"/>
      <c r="G81" s="267"/>
      <c r="H81" s="272"/>
      <c r="I81" s="13" t="s">
        <v>99</v>
      </c>
      <c r="J81" s="30">
        <f ca="1">(IF(B76&gt;1,(H76/(B76+2)),H76/4))</f>
        <v>2.75</v>
      </c>
      <c r="S81"/>
    </row>
    <row r="82" spans="1:19" ht="15.75" customHeight="1" x14ac:dyDescent="0.25">
      <c r="A82" s="126" t="s">
        <v>134</v>
      </c>
      <c r="B82" s="127" t="s">
        <v>128</v>
      </c>
      <c r="C82" s="113">
        <v>0</v>
      </c>
      <c r="D82" s="114">
        <f ca="1">((100/H76)*C82)/100</f>
        <v>0</v>
      </c>
      <c r="E82" s="267"/>
      <c r="F82" s="268"/>
      <c r="G82" s="267"/>
      <c r="H82" s="272"/>
      <c r="I82" s="13" t="s">
        <v>100</v>
      </c>
      <c r="J82" s="30">
        <f ca="1">(IF(B76&gt;1,(H76/(B76+2)+J81),H76/4+J81))</f>
        <v>5.5</v>
      </c>
    </row>
    <row r="83" spans="1:19" ht="15.75" customHeight="1" x14ac:dyDescent="0.25">
      <c r="A83" s="126" t="s">
        <v>135</v>
      </c>
      <c r="B83" s="127" t="s">
        <v>128</v>
      </c>
      <c r="C83" s="113">
        <v>0</v>
      </c>
      <c r="D83" s="114">
        <f ca="1">((100/H76)*C83)/100</f>
        <v>0</v>
      </c>
      <c r="E83" s="267"/>
      <c r="F83" s="268"/>
      <c r="G83" s="267"/>
      <c r="H83" s="272"/>
      <c r="I83" s="13" t="s">
        <v>146</v>
      </c>
      <c r="J83" s="30">
        <f>(IF(B76&gt;1,(H76/(B76+2)+J82),0))</f>
        <v>0</v>
      </c>
    </row>
    <row r="84" spans="1:19" ht="15" customHeight="1" x14ac:dyDescent="0.25">
      <c r="A84" s="126" t="s">
        <v>133</v>
      </c>
      <c r="B84" s="127" t="s">
        <v>130</v>
      </c>
      <c r="C84" s="113">
        <v>0</v>
      </c>
      <c r="D84" s="114">
        <f ca="1">((100/(H76))*C84)/100</f>
        <v>0</v>
      </c>
      <c r="E84" s="267"/>
      <c r="F84" s="268"/>
      <c r="G84" s="267"/>
      <c r="H84" s="272"/>
      <c r="I84" s="13" t="s">
        <v>141</v>
      </c>
      <c r="J84" s="30">
        <f>(IF(B76&gt;2,(H76/(B76+2)+J83),0))</f>
        <v>0</v>
      </c>
    </row>
    <row r="85" spans="1:19" ht="15.75" customHeight="1" x14ac:dyDescent="0.25">
      <c r="A85" s="126" t="s">
        <v>129</v>
      </c>
      <c r="B85" s="127" t="s">
        <v>129</v>
      </c>
      <c r="C85" s="113">
        <v>0</v>
      </c>
      <c r="D85" s="114">
        <f ca="1">((100/H76)*C85)/100</f>
        <v>0</v>
      </c>
      <c r="E85" s="267"/>
      <c r="F85" s="268"/>
      <c r="G85" s="267"/>
      <c r="H85" s="272"/>
      <c r="I85" s="13" t="s">
        <v>142</v>
      </c>
      <c r="J85" s="31">
        <f>(IF(B76&gt;3,(H76/(B76+2)+J84),0))</f>
        <v>0</v>
      </c>
    </row>
    <row r="86" spans="1:19" ht="15.75" customHeight="1" x14ac:dyDescent="0.25">
      <c r="A86" s="126" t="s">
        <v>136</v>
      </c>
      <c r="B86" s="127"/>
      <c r="C86" s="113">
        <v>0</v>
      </c>
      <c r="D86" s="114">
        <f ca="1">((100/H76)*C86)/100</f>
        <v>0</v>
      </c>
      <c r="E86" s="267"/>
      <c r="F86" s="268"/>
      <c r="G86" s="267"/>
      <c r="H86" s="272"/>
      <c r="I86" s="13" t="s">
        <v>143</v>
      </c>
      <c r="J86" s="30">
        <f>(IF(B76&gt;4,(H76/(B76+2)+J85),0))</f>
        <v>0</v>
      </c>
    </row>
    <row r="87" spans="1:19" ht="15.75" customHeight="1" x14ac:dyDescent="0.25">
      <c r="A87" s="126" t="s">
        <v>131</v>
      </c>
      <c r="B87" s="127" t="s">
        <v>131</v>
      </c>
      <c r="C87" s="113">
        <v>0</v>
      </c>
      <c r="D87" s="114">
        <f ca="1">((100/(H76))*C87)/100</f>
        <v>0</v>
      </c>
      <c r="E87" s="267"/>
      <c r="F87" s="268"/>
      <c r="G87" s="267"/>
      <c r="H87" s="272"/>
      <c r="I87" s="13" t="s">
        <v>147</v>
      </c>
      <c r="J87" s="30">
        <f ca="1">(IF(B76=1,(H76/(B76+3)+J82),IF(B76=0,(H76/4+J82),IF(B76&gt;1,0))))</f>
        <v>8.25</v>
      </c>
    </row>
    <row r="88" spans="1:19" ht="16.5" thickBot="1" x14ac:dyDescent="0.3">
      <c r="A88" s="139" t="s">
        <v>132</v>
      </c>
      <c r="B88" s="140"/>
      <c r="C88" s="116">
        <v>0</v>
      </c>
      <c r="D88" s="117">
        <f ca="1">((100/(H76))*C88)/100</f>
        <v>0</v>
      </c>
      <c r="E88" s="269"/>
      <c r="F88" s="270"/>
      <c r="G88" s="269"/>
      <c r="H88" s="273"/>
      <c r="I88" s="15" t="s">
        <v>101</v>
      </c>
      <c r="J88" s="32">
        <f ca="1">(IF(B76&gt;1.5,(H76/(B76+2)+J82+MAX(0,J83-J82)+MAX(0,J84-J83)+MAX(0,J85-J84)+MAX(0,J86-J85)+MAX(0,J87-J86)),IF(B76=1,(H76/(B76+3)+J87),IF(B76=0,H76/4+J87))))</f>
        <v>11</v>
      </c>
    </row>
    <row r="89" spans="1:19" ht="15.75" hidden="1" customHeight="1" x14ac:dyDescent="0.25">
      <c r="A89" s="248" t="s">
        <v>138</v>
      </c>
      <c r="B89" s="249"/>
      <c r="C89" s="250" t="e">
        <f>#REF!</f>
        <v>#REF!</v>
      </c>
      <c r="D89" s="251"/>
      <c r="E89" s="251"/>
      <c r="F89" s="251"/>
      <c r="G89" s="251"/>
      <c r="H89" s="252"/>
      <c r="I89" s="46" t="e">
        <f ca="1">IF(D102=100%,"All work Completed. Possession granted to the Building.",IF(D101=100%,"All work Completed, Waiting for OC",I90&amp;""&amp;I91&amp;""&amp;J90&amp;""&amp;J89&amp;" "&amp;J91))</f>
        <v>#REF!</v>
      </c>
      <c r="J89" s="47" t="e">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#REF!</v>
      </c>
      <c r="S89"/>
    </row>
    <row r="90" spans="1:19" hidden="1" x14ac:dyDescent="0.25">
      <c r="A90" s="16" t="s">
        <v>140</v>
      </c>
      <c r="B90" s="50">
        <f>IF(AND(ISNUMBER(SEARCH("1B",C89))),1,IF(AND(ISNUMBER(SEARCH("2B",C89))),2,IF(AND(ISNUMBER(SEARCH("3B",C89))),3,IF(AND(ISNUMBER(SEARCH("4B",C89))),4,IF(ISNUMBER(SEARCH("5B",C89)),5,0)))))</f>
        <v>0</v>
      </c>
      <c r="C90" s="50" t="s">
        <v>68</v>
      </c>
      <c r="D90" s="50">
        <v>1</v>
      </c>
      <c r="E90" s="50" t="s">
        <v>67</v>
      </c>
      <c r="F90" s="14">
        <v>0</v>
      </c>
      <c r="G90" s="45" t="s">
        <v>76</v>
      </c>
      <c r="H90" s="17" t="e">
        <f ca="1">--TRIM(RIGHT(SUBSTITUTE(LEFT(C89,_xlfn.AGGREGATE(16,6,FIND({0,1,2,3,4,5,6,7,8,9},C89,ROW(INDIRECT("1:"&amp;LEN(C89)))),1))," ",REPT(" ",LEN(C89))),LEN(C89)))</f>
        <v>#REF!</v>
      </c>
      <c r="I90" s="48" t="e">
        <f ca="1">IF(D93=100%,"Excavation","")&amp;IF(D94=100%,", Plinth","")&amp;IF(D95=100%,", RCC Slab","")&amp;IF(D96=100%,", Brickwork","")&amp;IF(D97=100%,", Internal Plaster","")&amp;IF(D98=100%,", External Plaster","")&amp;IF(D99=100%,", Flooring","")&amp;IF(D100=100%,", Painting","")&amp;IF(D101=100%,", Building common Amenities","")</f>
        <v>#REF!</v>
      </c>
      <c r="J90" s="49" t="e">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#REF!</v>
      </c>
      <c r="S90"/>
    </row>
    <row r="91" spans="1:19" ht="36.75" hidden="1" customHeight="1" x14ac:dyDescent="0.25">
      <c r="A91" s="231" t="s">
        <v>86</v>
      </c>
      <c r="B91" s="194"/>
      <c r="C91" s="207" t="e">
        <f ca="1">I89</f>
        <v>#REF!</v>
      </c>
      <c r="D91" s="207"/>
      <c r="E91" s="207"/>
      <c r="F91" s="207"/>
      <c r="G91" s="207"/>
      <c r="H91" s="208"/>
      <c r="I91" s="48" t="e">
        <f ca="1">IF(I90&lt;&gt;""," Completed","")</f>
        <v>#REF!</v>
      </c>
      <c r="J91" s="49" t="e">
        <f ca="1">IF(J89&lt;&gt;"","Completed","")</f>
        <v>#REF!</v>
      </c>
      <c r="S91"/>
    </row>
    <row r="92" spans="1:19" ht="15.75" hidden="1" customHeight="1" x14ac:dyDescent="0.25">
      <c r="A92" s="161" t="s">
        <v>47</v>
      </c>
      <c r="B92" s="162"/>
      <c r="C92" s="82" t="s">
        <v>137</v>
      </c>
      <c r="D92" s="82" t="s">
        <v>79</v>
      </c>
      <c r="E92" s="162" t="s">
        <v>81</v>
      </c>
      <c r="F92" s="162"/>
      <c r="G92" s="162" t="s">
        <v>80</v>
      </c>
      <c r="H92" s="279"/>
      <c r="I92" s="13" t="s">
        <v>139</v>
      </c>
      <c r="J92" s="28" t="e">
        <f ca="1">H90*25%</f>
        <v>#REF!</v>
      </c>
      <c r="S92"/>
    </row>
    <row r="93" spans="1:19" hidden="1" x14ac:dyDescent="0.25">
      <c r="A93" s="161" t="s">
        <v>126</v>
      </c>
      <c r="B93" s="162"/>
      <c r="C93" s="61" t="e">
        <f ca="1">J94</f>
        <v>#REF!</v>
      </c>
      <c r="D93" s="19" t="e">
        <f ca="1">((100/H90)*C93)/100</f>
        <v>#REF!</v>
      </c>
      <c r="E93" s="253" t="e">
        <f ca="1">(((C94/H90*10)+(40/(D90+F90+H90)*C95)+(7.5/(H90)*C96)+(7.5/(H90)*C97)+(10/H90*C98)+(10/H90*C99)+(5/H90*C100)+(5/H90*C101)+(5/H90*C102))/100)</f>
        <v>#REF!</v>
      </c>
      <c r="F93" s="280"/>
      <c r="G93" s="253" t="e">
        <f ca="1">((((C93/H90)*20)+((C94/H90)*25)+(30/(H90+F90+D90)*C95)+(5/H90*C96)+(5/H90*C97)+(5/H90*C98)+(5/H90*C99)+(0/H90*C100)+(0/H90*C101)+(5/H90*C102))/100)</f>
        <v>#REF!</v>
      </c>
      <c r="H93" s="254"/>
      <c r="I93" s="13" t="s">
        <v>97</v>
      </c>
      <c r="J93" s="29" t="e">
        <f ca="1">H90*50%</f>
        <v>#REF!</v>
      </c>
    </row>
    <row r="94" spans="1:19" hidden="1" x14ac:dyDescent="0.25">
      <c r="A94" s="161" t="s">
        <v>48</v>
      </c>
      <c r="B94" s="162"/>
      <c r="C94" s="82" t="e">
        <f ca="1">J102</f>
        <v>#REF!</v>
      </c>
      <c r="D94" s="19" t="e">
        <f ca="1">((100/H90)*C94)/100</f>
        <v>#REF!</v>
      </c>
      <c r="E94" s="255"/>
      <c r="F94" s="281"/>
      <c r="G94" s="255"/>
      <c r="H94" s="256"/>
      <c r="I94" s="13" t="s">
        <v>98</v>
      </c>
      <c r="J94" s="29" t="e">
        <f ca="1">H90</f>
        <v>#REF!</v>
      </c>
      <c r="S94"/>
    </row>
    <row r="95" spans="1:19" ht="15.75" hidden="1" customHeight="1" x14ac:dyDescent="0.25">
      <c r="A95" s="161" t="s">
        <v>127</v>
      </c>
      <c r="B95" s="162"/>
      <c r="C95" s="82">
        <v>0</v>
      </c>
      <c r="D95" s="19" t="e">
        <f ca="1">((100/(D90+F90+H90))*C95)/100</f>
        <v>#REF!</v>
      </c>
      <c r="E95" s="255"/>
      <c r="F95" s="281"/>
      <c r="G95" s="255"/>
      <c r="H95" s="256"/>
      <c r="I95" s="13" t="s">
        <v>99</v>
      </c>
      <c r="J95" s="30" t="e">
        <f ca="1">(IF(B90&gt;1,(H90/(B90+2)),H90/4))</f>
        <v>#REF!</v>
      </c>
      <c r="S95"/>
    </row>
    <row r="96" spans="1:19" ht="15.75" hidden="1" customHeight="1" x14ac:dyDescent="0.25">
      <c r="A96" s="161" t="s">
        <v>134</v>
      </c>
      <c r="B96" s="162" t="s">
        <v>128</v>
      </c>
      <c r="C96" s="82">
        <v>0</v>
      </c>
      <c r="D96" s="19" t="e">
        <f ca="1">((100/H90)*C96)/100</f>
        <v>#REF!</v>
      </c>
      <c r="E96" s="255"/>
      <c r="F96" s="281"/>
      <c r="G96" s="255"/>
      <c r="H96" s="256"/>
      <c r="I96" s="13" t="s">
        <v>100</v>
      </c>
      <c r="J96" s="30" t="e">
        <f ca="1">(IF(B90&gt;1,(H90/(B90+2)+J95),H90/4+J95))</f>
        <v>#REF!</v>
      </c>
    </row>
    <row r="97" spans="1:19" ht="15.75" hidden="1" customHeight="1" x14ac:dyDescent="0.25">
      <c r="A97" s="161" t="s">
        <v>135</v>
      </c>
      <c r="B97" s="162" t="s">
        <v>128</v>
      </c>
      <c r="C97" s="82">
        <v>0</v>
      </c>
      <c r="D97" s="19" t="e">
        <f ca="1">((100/H90)*C97)/100</f>
        <v>#REF!</v>
      </c>
      <c r="E97" s="255"/>
      <c r="F97" s="281"/>
      <c r="G97" s="255"/>
      <c r="H97" s="256"/>
      <c r="I97" s="13" t="s">
        <v>146</v>
      </c>
      <c r="J97" s="30">
        <f>(IF(B90&gt;1,(H90/(B90+2)+J96),0))</f>
        <v>0</v>
      </c>
    </row>
    <row r="98" spans="1:19" ht="15" hidden="1" customHeight="1" x14ac:dyDescent="0.25">
      <c r="A98" s="161" t="s">
        <v>133</v>
      </c>
      <c r="B98" s="162" t="s">
        <v>130</v>
      </c>
      <c r="C98" s="82">
        <v>0</v>
      </c>
      <c r="D98" s="19" t="e">
        <f ca="1">((100/(H90))*C98)/100</f>
        <v>#REF!</v>
      </c>
      <c r="E98" s="255"/>
      <c r="F98" s="281"/>
      <c r="G98" s="255"/>
      <c r="H98" s="256"/>
      <c r="I98" s="13" t="s">
        <v>141</v>
      </c>
      <c r="J98" s="30">
        <f>(IF(B90&gt;2,(H90/(B90+2)+J97),0))</f>
        <v>0</v>
      </c>
    </row>
    <row r="99" spans="1:19" ht="15.75" hidden="1" customHeight="1" x14ac:dyDescent="0.25">
      <c r="A99" s="161" t="s">
        <v>129</v>
      </c>
      <c r="B99" s="162" t="s">
        <v>129</v>
      </c>
      <c r="C99" s="82">
        <v>0</v>
      </c>
      <c r="D99" s="19" t="e">
        <f ca="1">((100/H90)*C99)/100</f>
        <v>#REF!</v>
      </c>
      <c r="E99" s="255"/>
      <c r="F99" s="281"/>
      <c r="G99" s="255"/>
      <c r="H99" s="256"/>
      <c r="I99" s="13" t="s">
        <v>142</v>
      </c>
      <c r="J99" s="31">
        <f>(IF(B90&gt;3,(H90/(B90+2)+J98),0))</f>
        <v>0</v>
      </c>
    </row>
    <row r="100" spans="1:19" ht="15.75" hidden="1" customHeight="1" x14ac:dyDescent="0.25">
      <c r="A100" s="161" t="s">
        <v>136</v>
      </c>
      <c r="B100" s="162"/>
      <c r="C100" s="82">
        <v>0</v>
      </c>
      <c r="D100" s="19" t="e">
        <f ca="1">((100/H90)*C100)/100</f>
        <v>#REF!</v>
      </c>
      <c r="E100" s="255"/>
      <c r="F100" s="281"/>
      <c r="G100" s="255"/>
      <c r="H100" s="256"/>
      <c r="I100" s="13" t="s">
        <v>143</v>
      </c>
      <c r="J100" s="30">
        <f>(IF(B90&gt;4,(H90/(B90+2)+J99),0))</f>
        <v>0</v>
      </c>
    </row>
    <row r="101" spans="1:19" ht="15.75" hidden="1" customHeight="1" x14ac:dyDescent="0.25">
      <c r="A101" s="161" t="s">
        <v>131</v>
      </c>
      <c r="B101" s="162" t="s">
        <v>131</v>
      </c>
      <c r="C101" s="82">
        <v>0</v>
      </c>
      <c r="D101" s="19" t="e">
        <f ca="1">((100/(H90))*C101)/100</f>
        <v>#REF!</v>
      </c>
      <c r="E101" s="255"/>
      <c r="F101" s="281"/>
      <c r="G101" s="255"/>
      <c r="H101" s="256"/>
      <c r="I101" s="13" t="s">
        <v>147</v>
      </c>
      <c r="J101" s="30" t="e">
        <f ca="1">(IF(B90=1,(H90/(B90+3)+J96),IF(B90=0,(H90/4+J96),IF(B90&gt;1,0))))</f>
        <v>#REF!</v>
      </c>
    </row>
    <row r="102" spans="1:19" ht="16.5" hidden="1" thickBot="1" x14ac:dyDescent="0.3">
      <c r="A102" s="165" t="s">
        <v>132</v>
      </c>
      <c r="B102" s="166"/>
      <c r="C102" s="81">
        <v>0</v>
      </c>
      <c r="D102" s="20" t="e">
        <f ca="1">((100/(H90))*C102)/100</f>
        <v>#REF!</v>
      </c>
      <c r="E102" s="257"/>
      <c r="F102" s="282"/>
      <c r="G102" s="257"/>
      <c r="H102" s="258"/>
      <c r="I102" s="15" t="s">
        <v>101</v>
      </c>
      <c r="J102" s="32" t="e">
        <f ca="1">(IF(B90&gt;1.5,(H90/(B90+2)+J96+MAX(0,J97-J96)+MAX(0,J98-J97)+MAX(0,J99-J98)+MAX(0,J100-J99)+MAX(0,J101-J100)),IF(B90=1,(H90/(B90+3)+J101),IF(B90=0,H90/4+J101))))</f>
        <v>#REF!</v>
      </c>
    </row>
    <row r="103" spans="1:19" ht="15.75" hidden="1" customHeight="1" x14ac:dyDescent="0.25">
      <c r="A103" s="248" t="s">
        <v>138</v>
      </c>
      <c r="B103" s="249"/>
      <c r="C103" s="250" t="e">
        <f>#REF!</f>
        <v>#REF!</v>
      </c>
      <c r="D103" s="251"/>
      <c r="E103" s="251"/>
      <c r="F103" s="251"/>
      <c r="G103" s="251"/>
      <c r="H103" s="252"/>
      <c r="I103" s="46" t="e">
        <f ca="1">IF(D116=100%,"All work Completed. Possession granted to the Building.",IF(D115=100%,"All work Completed, Waiting for OC",I104&amp;""&amp;I105&amp;""&amp;J104&amp;""&amp;J103&amp;" "&amp;J105))</f>
        <v>#REF!</v>
      </c>
      <c r="J103" s="47" t="e">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#REF!</v>
      </c>
      <c r="S103"/>
    </row>
    <row r="104" spans="1:19" hidden="1" x14ac:dyDescent="0.25">
      <c r="A104" s="16" t="s">
        <v>140</v>
      </c>
      <c r="B104" s="50">
        <f>IF(AND(ISNUMBER(SEARCH("1B",C103))),1,IF(AND(ISNUMBER(SEARCH("2B",C103))),2,IF(AND(ISNUMBER(SEARCH("3B",C103))),3,IF(AND(ISNUMBER(SEARCH("4B",C103))),4,IF(ISNUMBER(SEARCH("5B",C103)),5,0)))))</f>
        <v>0</v>
      </c>
      <c r="C104" s="50" t="s">
        <v>68</v>
      </c>
      <c r="D104" s="50">
        <v>1</v>
      </c>
      <c r="E104" s="50" t="s">
        <v>67</v>
      </c>
      <c r="F104" s="14">
        <v>0</v>
      </c>
      <c r="G104" s="45" t="s">
        <v>76</v>
      </c>
      <c r="H104" s="17" t="e">
        <f ca="1">--TRIM(RIGHT(SUBSTITUTE(LEFT(C103,_xlfn.AGGREGATE(16,6,FIND({0,1,2,3,4,5,6,7,8,9},C103,ROW(INDIRECT("1:"&amp;LEN(C103)))),1))," ",REPT(" ",LEN(C103))),LEN(C103)))</f>
        <v>#REF!</v>
      </c>
      <c r="I104" s="48" t="e">
        <f ca="1">IF(D107=100%,"Excavation","")&amp;IF(D108=100%,", Plinth","")&amp;IF(D109=100%,", RCC Slab","")&amp;IF(D110=100%,", Brickwork","")&amp;IF(D111=100%,", Internal Plaster","")&amp;IF(D112=100%,", External Plaster","")&amp;IF(D113=100%,", Flooring","")&amp;IF(D114=100%,", Painting","")&amp;IF(D115=100%,", Building common Amenities","")</f>
        <v>#REF!</v>
      </c>
      <c r="J104" s="49" t="e">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#REF!</v>
      </c>
      <c r="S104"/>
    </row>
    <row r="105" spans="1:19" hidden="1" x14ac:dyDescent="0.25">
      <c r="A105" s="231" t="s">
        <v>86</v>
      </c>
      <c r="B105" s="194"/>
      <c r="C105" s="207" t="e">
        <f ca="1">I103</f>
        <v>#REF!</v>
      </c>
      <c r="D105" s="207"/>
      <c r="E105" s="207"/>
      <c r="F105" s="207"/>
      <c r="G105" s="207"/>
      <c r="H105" s="208"/>
      <c r="I105" s="48" t="e">
        <f ca="1">IF(I104&lt;&gt;""," Completed","")</f>
        <v>#REF!</v>
      </c>
      <c r="J105" s="49" t="e">
        <f ca="1">IF(J103&lt;&gt;"","Completed","")</f>
        <v>#REF!</v>
      </c>
      <c r="S105"/>
    </row>
    <row r="106" spans="1:19" ht="15.75" hidden="1" customHeight="1" x14ac:dyDescent="0.25">
      <c r="A106" s="161" t="s">
        <v>47</v>
      </c>
      <c r="B106" s="162"/>
      <c r="C106" s="82" t="s">
        <v>137</v>
      </c>
      <c r="D106" s="82" t="s">
        <v>79</v>
      </c>
      <c r="E106" s="162" t="s">
        <v>81</v>
      </c>
      <c r="F106" s="162"/>
      <c r="G106" s="162" t="s">
        <v>80</v>
      </c>
      <c r="H106" s="279"/>
      <c r="I106" s="13" t="s">
        <v>139</v>
      </c>
      <c r="J106" s="28" t="e">
        <f ca="1">H104*25%</f>
        <v>#REF!</v>
      </c>
      <c r="S106"/>
    </row>
    <row r="107" spans="1:19" hidden="1" x14ac:dyDescent="0.25">
      <c r="A107" s="161" t="s">
        <v>126</v>
      </c>
      <c r="B107" s="162"/>
      <c r="C107" s="61" t="e">
        <f ca="1">J108</f>
        <v>#REF!</v>
      </c>
      <c r="D107" s="19" t="e">
        <f ca="1">((100/H104)*C107)/100</f>
        <v>#REF!</v>
      </c>
      <c r="E107" s="253" t="e">
        <f ca="1">(((C108/H104*10)+(40/(D104+F104+H104)*C109)+(7.5/(H104)*C110)+(7.5/(H104)*C111)+(10/H104*C112)+(10/H104*C113)+(5/H104*C114)+(5/H104*C115)+(5/H104*C116))/100)</f>
        <v>#REF!</v>
      </c>
      <c r="F107" s="280"/>
      <c r="G107" s="253" t="e">
        <f ca="1">((((C107/H104)*20)+((C108/H104)*25)+(30/(H104+F104+D104)*C109)+(5/H104*C110)+(5/H104*C111)+(5/H104*C112)+(5/H104*C113)+(0/H104*C114)+(0/H104*C115)+(5/H104*C116))/100)</f>
        <v>#REF!</v>
      </c>
      <c r="H107" s="254"/>
      <c r="I107" s="13" t="s">
        <v>97</v>
      </c>
      <c r="J107" s="29" t="e">
        <f ca="1">H104*50%</f>
        <v>#REF!</v>
      </c>
    </row>
    <row r="108" spans="1:19" hidden="1" x14ac:dyDescent="0.25">
      <c r="A108" s="161" t="s">
        <v>48</v>
      </c>
      <c r="B108" s="162"/>
      <c r="C108" s="82" t="e">
        <f ca="1">J116</f>
        <v>#REF!</v>
      </c>
      <c r="D108" s="19" t="e">
        <f ca="1">((100/H104)*C108)/100</f>
        <v>#REF!</v>
      </c>
      <c r="E108" s="255"/>
      <c r="F108" s="281"/>
      <c r="G108" s="255"/>
      <c r="H108" s="256"/>
      <c r="I108" s="13" t="s">
        <v>98</v>
      </c>
      <c r="J108" s="29" t="e">
        <f ca="1">H104</f>
        <v>#REF!</v>
      </c>
      <c r="S108"/>
    </row>
    <row r="109" spans="1:19" ht="15.75" hidden="1" customHeight="1" x14ac:dyDescent="0.25">
      <c r="A109" s="161" t="s">
        <v>127</v>
      </c>
      <c r="B109" s="162"/>
      <c r="C109" s="82">
        <v>0</v>
      </c>
      <c r="D109" s="19" t="e">
        <f ca="1">((100/(D104+F104+H104))*C109)/100</f>
        <v>#REF!</v>
      </c>
      <c r="E109" s="255"/>
      <c r="F109" s="281"/>
      <c r="G109" s="255"/>
      <c r="H109" s="256"/>
      <c r="I109" s="13" t="s">
        <v>99</v>
      </c>
      <c r="J109" s="30" t="e">
        <f ca="1">(IF(B104&gt;1,(H104/(B104+2)),H104/4))</f>
        <v>#REF!</v>
      </c>
      <c r="S109"/>
    </row>
    <row r="110" spans="1:19" ht="15.75" hidden="1" customHeight="1" x14ac:dyDescent="0.25">
      <c r="A110" s="161" t="s">
        <v>134</v>
      </c>
      <c r="B110" s="162" t="s">
        <v>128</v>
      </c>
      <c r="C110" s="82">
        <v>0</v>
      </c>
      <c r="D110" s="19" t="e">
        <f ca="1">((100/H104)*C110)/100</f>
        <v>#REF!</v>
      </c>
      <c r="E110" s="255"/>
      <c r="F110" s="281"/>
      <c r="G110" s="255"/>
      <c r="H110" s="256"/>
      <c r="I110" s="13" t="s">
        <v>100</v>
      </c>
      <c r="J110" s="30" t="e">
        <f ca="1">(IF(B104&gt;1,(H104/(B104+2)+J109),H104/4+J109))</f>
        <v>#REF!</v>
      </c>
    </row>
    <row r="111" spans="1:19" ht="15.75" hidden="1" customHeight="1" x14ac:dyDescent="0.25">
      <c r="A111" s="161" t="s">
        <v>135</v>
      </c>
      <c r="B111" s="162" t="s">
        <v>128</v>
      </c>
      <c r="C111" s="82">
        <v>0</v>
      </c>
      <c r="D111" s="19" t="e">
        <f ca="1">((100/H104)*C111)/100</f>
        <v>#REF!</v>
      </c>
      <c r="E111" s="255"/>
      <c r="F111" s="281"/>
      <c r="G111" s="255"/>
      <c r="H111" s="256"/>
      <c r="I111" s="13" t="s">
        <v>146</v>
      </c>
      <c r="J111" s="30">
        <f>(IF(B104&gt;1,(H104/(B104+2)+J110),0))</f>
        <v>0</v>
      </c>
    </row>
    <row r="112" spans="1:19" ht="15" hidden="1" customHeight="1" x14ac:dyDescent="0.25">
      <c r="A112" s="161" t="s">
        <v>133</v>
      </c>
      <c r="B112" s="162" t="s">
        <v>130</v>
      </c>
      <c r="C112" s="82">
        <v>0</v>
      </c>
      <c r="D112" s="19" t="e">
        <f ca="1">((100/(H104))*C112)/100</f>
        <v>#REF!</v>
      </c>
      <c r="E112" s="255"/>
      <c r="F112" s="281"/>
      <c r="G112" s="255"/>
      <c r="H112" s="256"/>
      <c r="I112" s="13" t="s">
        <v>141</v>
      </c>
      <c r="J112" s="30">
        <f>(IF(B104&gt;2,(H104/(B104+2)+J111),0))</f>
        <v>0</v>
      </c>
    </row>
    <row r="113" spans="1:22" ht="15.75" hidden="1" customHeight="1" x14ac:dyDescent="0.25">
      <c r="A113" s="161" t="s">
        <v>129</v>
      </c>
      <c r="B113" s="162" t="s">
        <v>129</v>
      </c>
      <c r="C113" s="82">
        <v>0</v>
      </c>
      <c r="D113" s="19" t="e">
        <f ca="1">((100/H104)*C113)/100</f>
        <v>#REF!</v>
      </c>
      <c r="E113" s="255"/>
      <c r="F113" s="281"/>
      <c r="G113" s="255"/>
      <c r="H113" s="256"/>
      <c r="I113" s="13" t="s">
        <v>142</v>
      </c>
      <c r="J113" s="31">
        <f>(IF(B104&gt;3,(H104/(B104+2)+J112),0))</f>
        <v>0</v>
      </c>
    </row>
    <row r="114" spans="1:22" ht="15.75" hidden="1" customHeight="1" x14ac:dyDescent="0.25">
      <c r="A114" s="161" t="s">
        <v>136</v>
      </c>
      <c r="B114" s="162"/>
      <c r="C114" s="82">
        <v>0</v>
      </c>
      <c r="D114" s="19" t="e">
        <f ca="1">((100/H104)*C114)/100</f>
        <v>#REF!</v>
      </c>
      <c r="E114" s="255"/>
      <c r="F114" s="281"/>
      <c r="G114" s="255"/>
      <c r="H114" s="256"/>
      <c r="I114" s="13" t="s">
        <v>143</v>
      </c>
      <c r="J114" s="30">
        <f>(IF(B104&gt;4,(H104/(B104+2)+J113),0))</f>
        <v>0</v>
      </c>
    </row>
    <row r="115" spans="1:22" ht="15.75" hidden="1" customHeight="1" x14ac:dyDescent="0.25">
      <c r="A115" s="161" t="s">
        <v>131</v>
      </c>
      <c r="B115" s="162" t="s">
        <v>131</v>
      </c>
      <c r="C115" s="82">
        <v>0</v>
      </c>
      <c r="D115" s="19" t="e">
        <f ca="1">((100/(H104))*C115)/100</f>
        <v>#REF!</v>
      </c>
      <c r="E115" s="255"/>
      <c r="F115" s="281"/>
      <c r="G115" s="255"/>
      <c r="H115" s="256"/>
      <c r="I115" s="13" t="s">
        <v>147</v>
      </c>
      <c r="J115" s="30" t="e">
        <f ca="1">(IF(B104=1,(H104/(B104+3)+J110),IF(B104=0,(H104/4+J110),IF(B104&gt;1,0))))</f>
        <v>#REF!</v>
      </c>
    </row>
    <row r="116" spans="1:22" ht="16.5" hidden="1" thickBot="1" x14ac:dyDescent="0.3">
      <c r="A116" s="165" t="s">
        <v>132</v>
      </c>
      <c r="B116" s="166"/>
      <c r="C116" s="81">
        <v>0</v>
      </c>
      <c r="D116" s="20" t="e">
        <f ca="1">((100/(H104))*C116)/100</f>
        <v>#REF!</v>
      </c>
      <c r="E116" s="257"/>
      <c r="F116" s="282"/>
      <c r="G116" s="257"/>
      <c r="H116" s="258"/>
      <c r="I116" s="15" t="s">
        <v>101</v>
      </c>
      <c r="J116" s="32" t="e">
        <f ca="1">(IF(B104&gt;1.5,(H104/(B104+2)+J110+MAX(0,J111-J110)+MAX(0,J112-J111)+MAX(0,J113-J112)+MAX(0,J114-J113)+MAX(0,J115-J114)),IF(B104=1,(H104/(B104+3)+J115),IF(B104=0,H104/4+J115))))</f>
        <v>#REF!</v>
      </c>
    </row>
    <row r="117" spans="1:22" x14ac:dyDescent="0.25">
      <c r="A117" s="180" t="s">
        <v>158</v>
      </c>
      <c r="B117" s="180"/>
      <c r="C117" s="180"/>
      <c r="D117" s="180"/>
      <c r="E117" s="180"/>
      <c r="F117" s="183" t="s">
        <v>161</v>
      </c>
      <c r="G117" s="183"/>
      <c r="H117" s="183"/>
      <c r="R117" t="s">
        <v>254</v>
      </c>
      <c r="S117" t="s">
        <v>173</v>
      </c>
      <c r="T117" t="s">
        <v>181</v>
      </c>
      <c r="U117" t="s">
        <v>195</v>
      </c>
      <c r="V117" t="s">
        <v>190</v>
      </c>
    </row>
    <row r="118" spans="1:22" hidden="1" x14ac:dyDescent="0.25">
      <c r="A118" s="143" t="s">
        <v>159</v>
      </c>
      <c r="B118" s="143"/>
      <c r="C118" s="143"/>
      <c r="D118" s="143"/>
      <c r="E118" s="143"/>
      <c r="F118" s="144"/>
      <c r="G118" s="144"/>
      <c r="H118" s="144"/>
      <c r="R118"/>
      <c r="S118">
        <v>800000</v>
      </c>
      <c r="T118">
        <v>150000</v>
      </c>
      <c r="U118">
        <v>100000</v>
      </c>
      <c r="V118">
        <v>100000</v>
      </c>
    </row>
    <row r="119" spans="1:22" x14ac:dyDescent="0.25">
      <c r="A119" s="143" t="s">
        <v>429</v>
      </c>
      <c r="B119" s="143"/>
      <c r="C119" s="143"/>
      <c r="D119" s="143"/>
      <c r="E119" s="143"/>
      <c r="F119" s="144">
        <v>19500</v>
      </c>
      <c r="G119" s="144"/>
      <c r="H119" s="144"/>
      <c r="I119" s="21" t="s">
        <v>431</v>
      </c>
      <c r="R119"/>
      <c r="S119">
        <v>900000</v>
      </c>
      <c r="T119">
        <v>200000</v>
      </c>
      <c r="U119">
        <v>150000</v>
      </c>
      <c r="V119">
        <v>150000</v>
      </c>
    </row>
    <row r="120" spans="1:22" x14ac:dyDescent="0.25">
      <c r="A120" s="143" t="s">
        <v>430</v>
      </c>
      <c r="B120" s="143"/>
      <c r="C120" s="143"/>
      <c r="D120" s="143"/>
      <c r="E120" s="143"/>
      <c r="F120" s="144">
        <v>15000</v>
      </c>
      <c r="G120" s="144"/>
      <c r="H120" s="144"/>
      <c r="R120"/>
      <c r="S120">
        <v>900000</v>
      </c>
      <c r="T120">
        <v>200000</v>
      </c>
      <c r="U120">
        <v>150000</v>
      </c>
      <c r="V120">
        <v>150000</v>
      </c>
    </row>
    <row r="121" spans="1:22" x14ac:dyDescent="0.25">
      <c r="A121" s="143" t="s">
        <v>160</v>
      </c>
      <c r="B121" s="143"/>
      <c r="C121" s="143"/>
      <c r="D121" s="143"/>
      <c r="E121" s="143"/>
      <c r="F121" s="144">
        <v>10000</v>
      </c>
      <c r="G121" s="144"/>
      <c r="H121" s="144"/>
      <c r="R121"/>
      <c r="S121">
        <v>1000000</v>
      </c>
      <c r="T121">
        <v>250000</v>
      </c>
      <c r="U121">
        <v>200000</v>
      </c>
      <c r="V121">
        <v>200000</v>
      </c>
    </row>
    <row r="122" spans="1:22" s="33" customFormat="1" hidden="1" x14ac:dyDescent="0.25">
      <c r="A122" s="143" t="s">
        <v>176</v>
      </c>
      <c r="B122" s="143"/>
      <c r="C122" s="143"/>
      <c r="D122" s="143"/>
      <c r="E122" s="143"/>
      <c r="F122" s="144"/>
      <c r="G122" s="144"/>
      <c r="H122" s="144"/>
      <c r="R122"/>
      <c r="S122">
        <v>1100000</v>
      </c>
      <c r="T122">
        <v>300000</v>
      </c>
      <c r="U122">
        <v>250000</v>
      </c>
      <c r="V122" s="23">
        <v>250000</v>
      </c>
    </row>
    <row r="123" spans="1:22" s="33" customFormat="1" hidden="1" x14ac:dyDescent="0.25">
      <c r="A123" s="143" t="s">
        <v>91</v>
      </c>
      <c r="B123" s="143"/>
      <c r="C123" s="143"/>
      <c r="D123" s="143"/>
      <c r="E123" s="143"/>
      <c r="F123" s="144"/>
      <c r="G123" s="144"/>
      <c r="H123" s="144"/>
      <c r="R123"/>
      <c r="S123">
        <v>1200000</v>
      </c>
      <c r="T123">
        <v>350000</v>
      </c>
      <c r="U123">
        <v>300000</v>
      </c>
      <c r="V123">
        <v>300000</v>
      </c>
    </row>
    <row r="124" spans="1:22" s="33" customFormat="1" hidden="1" x14ac:dyDescent="0.25">
      <c r="A124" s="143" t="s">
        <v>92</v>
      </c>
      <c r="B124" s="143"/>
      <c r="C124" s="143"/>
      <c r="D124" s="143"/>
      <c r="E124" s="143"/>
      <c r="F124" s="144"/>
      <c r="G124" s="144"/>
      <c r="H124" s="144"/>
      <c r="R124"/>
      <c r="S124">
        <v>1300000</v>
      </c>
      <c r="T124">
        <v>400000</v>
      </c>
      <c r="U124">
        <v>350000</v>
      </c>
      <c r="V124" s="23">
        <v>400000</v>
      </c>
    </row>
    <row r="125" spans="1:22" s="33" customFormat="1" hidden="1" x14ac:dyDescent="0.25">
      <c r="A125" s="143" t="s">
        <v>93</v>
      </c>
      <c r="B125" s="143"/>
      <c r="C125" s="143"/>
      <c r="D125" s="143"/>
      <c r="E125" s="143"/>
      <c r="F125" s="144"/>
      <c r="G125" s="144"/>
      <c r="H125" s="144"/>
      <c r="R125"/>
      <c r="S125">
        <v>1400000</v>
      </c>
      <c r="T125">
        <v>500000</v>
      </c>
      <c r="U125">
        <v>400000</v>
      </c>
      <c r="V125"/>
    </row>
    <row r="126" spans="1:22" s="33" customFormat="1" hidden="1" x14ac:dyDescent="0.25">
      <c r="A126" s="143" t="s">
        <v>94</v>
      </c>
      <c r="B126" s="143"/>
      <c r="C126" s="143"/>
      <c r="D126" s="143"/>
      <c r="E126" s="143"/>
      <c r="F126" s="144"/>
      <c r="G126" s="144"/>
      <c r="H126" s="144"/>
      <c r="R126"/>
      <c r="S126">
        <v>1500000</v>
      </c>
      <c r="T126">
        <v>600000</v>
      </c>
      <c r="U126">
        <v>500000</v>
      </c>
      <c r="V126" s="23"/>
    </row>
    <row r="127" spans="1:22" s="33" customFormat="1" hidden="1" x14ac:dyDescent="0.25">
      <c r="A127" s="143" t="s">
        <v>95</v>
      </c>
      <c r="B127" s="143"/>
      <c r="C127" s="143"/>
      <c r="D127" s="143"/>
      <c r="E127" s="143"/>
      <c r="F127" s="144"/>
      <c r="G127" s="144"/>
      <c r="H127" s="144"/>
      <c r="R127"/>
      <c r="S127">
        <v>1600000</v>
      </c>
      <c r="T127">
        <v>700000</v>
      </c>
      <c r="U127">
        <v>600000</v>
      </c>
      <c r="V127"/>
    </row>
    <row r="128" spans="1:22" s="33" customFormat="1" hidden="1" x14ac:dyDescent="0.25">
      <c r="A128" s="143" t="s">
        <v>96</v>
      </c>
      <c r="B128" s="143"/>
      <c r="C128" s="143"/>
      <c r="D128" s="143"/>
      <c r="E128" s="143"/>
      <c r="F128" s="144"/>
      <c r="G128" s="144"/>
      <c r="H128" s="144"/>
      <c r="R128"/>
      <c r="S128">
        <v>1700000</v>
      </c>
      <c r="T128">
        <v>800000</v>
      </c>
      <c r="U128"/>
      <c r="V128" s="23"/>
    </row>
    <row r="129" spans="1:22" x14ac:dyDescent="0.25">
      <c r="A129" s="143" t="s">
        <v>49</v>
      </c>
      <c r="B129" s="143"/>
      <c r="C129" s="143"/>
      <c r="D129" s="143"/>
      <c r="E129" s="143"/>
      <c r="F129" s="144">
        <v>400000</v>
      </c>
      <c r="G129" s="144"/>
      <c r="H129" s="144"/>
      <c r="R129"/>
      <c r="S129">
        <v>1800000</v>
      </c>
      <c r="T129">
        <v>900000</v>
      </c>
      <c r="U129"/>
    </row>
    <row r="130" spans="1:22" s="34" customFormat="1" x14ac:dyDescent="0.25">
      <c r="A130" s="187" t="s">
        <v>50</v>
      </c>
      <c r="B130" s="187"/>
      <c r="C130" s="187"/>
      <c r="D130" s="187"/>
      <c r="E130" s="187"/>
      <c r="F130" s="144">
        <f>F121*0.8</f>
        <v>8000</v>
      </c>
      <c r="G130" s="144"/>
      <c r="H130" s="144"/>
      <c r="R130" s="21"/>
      <c r="S130" s="21"/>
      <c r="T130">
        <v>1000000</v>
      </c>
      <c r="U130"/>
      <c r="V130" s="21"/>
    </row>
    <row r="131" spans="1:22" s="35" customFormat="1" ht="15.75" customHeight="1" x14ac:dyDescent="0.25">
      <c r="A131" s="186" t="s">
        <v>71</v>
      </c>
      <c r="B131" s="186"/>
      <c r="C131" s="186"/>
      <c r="D131" s="186"/>
      <c r="E131" s="186"/>
      <c r="F131" s="186"/>
      <c r="G131" s="186"/>
      <c r="H131" s="186"/>
      <c r="K131" s="111">
        <f>10.764</f>
        <v>10.763999999999999</v>
      </c>
      <c r="R131"/>
      <c r="S131" s="21"/>
      <c r="T131"/>
      <c r="U131"/>
      <c r="V131" s="21"/>
    </row>
    <row r="132" spans="1:22" s="35" customFormat="1" ht="15.75" customHeight="1" x14ac:dyDescent="0.25">
      <c r="A132" s="148" t="s">
        <v>51</v>
      </c>
      <c r="B132" s="148"/>
      <c r="C132" s="153" t="s">
        <v>74</v>
      </c>
      <c r="D132" s="153"/>
      <c r="E132" s="141" t="s">
        <v>52</v>
      </c>
      <c r="F132" s="141"/>
      <c r="G132" s="148" t="s">
        <v>53</v>
      </c>
      <c r="H132" s="148"/>
      <c r="R132"/>
      <c r="S132" s="21"/>
      <c r="T132"/>
      <c r="U132" s="21"/>
      <c r="V132" s="21"/>
    </row>
    <row r="133" spans="1:22" s="35" customFormat="1" x14ac:dyDescent="0.25">
      <c r="A133" s="152" t="s">
        <v>393</v>
      </c>
      <c r="B133" s="152"/>
      <c r="C133" s="163">
        <f>COUNT(D148:D196)+COUNT(D198:D243)+COUNT(D245:D291)</f>
        <v>142</v>
      </c>
      <c r="D133" s="164"/>
      <c r="E133" s="163">
        <f t="shared" ref="E133" si="0">SUM(F148:F196)+SUM(F198:F243)+SUM(F245:F291)</f>
        <v>37882.606319999992</v>
      </c>
      <c r="F133" s="164"/>
      <c r="G133" s="163">
        <f>SUM(H148:H196)+SUM(H198:H243)+SUM(H245:H291)</f>
        <v>56823.909480000002</v>
      </c>
      <c r="H133" s="164"/>
      <c r="R133"/>
      <c r="S133" s="21"/>
      <c r="T133"/>
      <c r="U133" s="21"/>
      <c r="V133" s="21"/>
    </row>
    <row r="134" spans="1:22" s="35" customFormat="1" x14ac:dyDescent="0.25">
      <c r="A134" s="152" t="s">
        <v>399</v>
      </c>
      <c r="B134" s="152"/>
      <c r="C134" s="163">
        <f>COUNT(D294:D316)*7+COUNT(D318:D338)*2</f>
        <v>203</v>
      </c>
      <c r="D134" s="163"/>
      <c r="E134" s="163">
        <f t="shared" ref="E134" si="1">SUM(F294:F316)*7+SUM(F318:F338)*2</f>
        <v>63010.949039999992</v>
      </c>
      <c r="F134" s="163"/>
      <c r="G134" s="163">
        <f>SUM(H294:H316)*7+SUM(H318:H338)*2</f>
        <v>94516.423559999996</v>
      </c>
      <c r="H134" s="163"/>
      <c r="J134" s="35">
        <f>46+49+47</f>
        <v>142</v>
      </c>
      <c r="R134"/>
      <c r="S134" s="21"/>
      <c r="T134"/>
      <c r="U134" s="21"/>
      <c r="V134" s="21"/>
    </row>
    <row r="135" spans="1:22" s="35" customFormat="1" x14ac:dyDescent="0.25">
      <c r="A135" s="186" t="s">
        <v>151</v>
      </c>
      <c r="B135" s="186"/>
      <c r="C135" s="277">
        <f>SUM(C133:D134)</f>
        <v>345</v>
      </c>
      <c r="D135" s="153"/>
      <c r="E135" s="278">
        <f>SUM(E133:F134)</f>
        <v>100893.55535999998</v>
      </c>
      <c r="F135" s="141"/>
      <c r="G135" s="148">
        <f>SUM(G133:H134)</f>
        <v>151340.33304</v>
      </c>
      <c r="H135" s="148"/>
      <c r="R135"/>
      <c r="S135" s="21"/>
      <c r="T135"/>
      <c r="U135" s="21"/>
      <c r="V135" s="21"/>
    </row>
    <row r="136" spans="1:22" s="35" customFormat="1" hidden="1" x14ac:dyDescent="0.25">
      <c r="A136" s="186" t="s">
        <v>66</v>
      </c>
      <c r="B136" s="186"/>
      <c r="C136" s="186"/>
      <c r="D136" s="186"/>
      <c r="E136" s="186"/>
      <c r="F136" s="186"/>
      <c r="G136" s="186"/>
      <c r="H136" s="186"/>
      <c r="T136"/>
    </row>
    <row r="137" spans="1:22" s="35" customFormat="1" ht="15.75" hidden="1" customHeight="1" x14ac:dyDescent="0.25">
      <c r="A137" s="148" t="s">
        <v>51</v>
      </c>
      <c r="B137" s="148"/>
      <c r="C137" s="153" t="s">
        <v>74</v>
      </c>
      <c r="D137" s="153"/>
      <c r="E137" s="141" t="s">
        <v>52</v>
      </c>
      <c r="F137" s="141"/>
      <c r="G137" s="148" t="s">
        <v>53</v>
      </c>
      <c r="H137" s="148"/>
      <c r="T137"/>
    </row>
    <row r="138" spans="1:22" s="35" customFormat="1" hidden="1" x14ac:dyDescent="0.25">
      <c r="A138" s="152"/>
      <c r="B138" s="152"/>
      <c r="C138" s="164"/>
      <c r="D138" s="164"/>
      <c r="E138" s="247"/>
      <c r="F138" s="247"/>
      <c r="G138" s="177"/>
      <c r="H138" s="177"/>
      <c r="T138"/>
    </row>
    <row r="139" spans="1:22" s="35" customFormat="1" hidden="1" x14ac:dyDescent="0.25">
      <c r="A139" s="152"/>
      <c r="B139" s="152"/>
      <c r="C139" s="164"/>
      <c r="D139" s="164"/>
      <c r="E139" s="247"/>
      <c r="F139" s="247"/>
      <c r="G139" s="177"/>
      <c r="H139" s="177"/>
      <c r="T139"/>
    </row>
    <row r="140" spans="1:22" s="35" customFormat="1" ht="16.5" hidden="1" thickBot="1" x14ac:dyDescent="0.3">
      <c r="A140" s="274" t="s">
        <v>151</v>
      </c>
      <c r="B140" s="274"/>
      <c r="C140" s="167"/>
      <c r="D140" s="167"/>
      <c r="E140" s="275"/>
      <c r="F140" s="275"/>
      <c r="G140" s="276"/>
      <c r="H140" s="276"/>
      <c r="T140"/>
    </row>
    <row r="141" spans="1:22" s="35" customFormat="1" ht="16.5" hidden="1" thickBot="1" x14ac:dyDescent="0.3">
      <c r="A141" s="178" t="s">
        <v>167</v>
      </c>
      <c r="B141" s="179"/>
      <c r="C141" s="191">
        <f>C135+C140</f>
        <v>345</v>
      </c>
      <c r="D141" s="191"/>
      <c r="E141" s="259">
        <f>E135+E140</f>
        <v>100893.55535999998</v>
      </c>
      <c r="F141" s="259"/>
      <c r="G141" s="263">
        <f>G135+G140</f>
        <v>151340.33304</v>
      </c>
      <c r="H141" s="264"/>
      <c r="T141"/>
    </row>
    <row r="142" spans="1:22" s="34" customFormat="1" x14ac:dyDescent="0.25">
      <c r="A142" s="142" t="s">
        <v>351</v>
      </c>
      <c r="B142" s="142"/>
      <c r="C142" s="142"/>
      <c r="D142" s="142"/>
      <c r="E142" s="142"/>
      <c r="F142" s="142"/>
      <c r="G142" s="142"/>
      <c r="H142" s="142"/>
      <c r="T142" s="35"/>
    </row>
    <row r="143" spans="1:22" x14ac:dyDescent="0.25">
      <c r="A143" s="147" t="s">
        <v>175</v>
      </c>
      <c r="B143" s="147"/>
      <c r="C143" s="147"/>
      <c r="D143" s="147"/>
      <c r="E143" s="147"/>
      <c r="F143" s="147"/>
      <c r="G143" s="147"/>
      <c r="H143" s="147"/>
      <c r="T143" s="35"/>
    </row>
    <row r="144" spans="1:22" ht="47.25" customHeight="1" x14ac:dyDescent="0.25">
      <c r="A144" s="175" t="s">
        <v>420</v>
      </c>
      <c r="B144" s="175" t="s">
        <v>177</v>
      </c>
      <c r="C144" s="175" t="s">
        <v>54</v>
      </c>
      <c r="D144" s="175" t="s">
        <v>394</v>
      </c>
      <c r="E144" s="181" t="s">
        <v>157</v>
      </c>
      <c r="F144" s="175" t="s">
        <v>55</v>
      </c>
      <c r="G144" s="181" t="s">
        <v>56</v>
      </c>
      <c r="H144" s="118" t="s">
        <v>149</v>
      </c>
      <c r="T144" s="35"/>
    </row>
    <row r="145" spans="1:20" s="37" customFormat="1" x14ac:dyDescent="0.25">
      <c r="A145" s="176"/>
      <c r="B145" s="176"/>
      <c r="C145" s="176"/>
      <c r="D145" s="176"/>
      <c r="E145" s="182"/>
      <c r="F145" s="176"/>
      <c r="G145" s="182"/>
      <c r="H145" s="119">
        <v>0.5</v>
      </c>
      <c r="T145" s="35"/>
    </row>
    <row r="146" spans="1:20" s="105" customFormat="1" x14ac:dyDescent="0.25">
      <c r="A146" s="133" t="s">
        <v>392</v>
      </c>
      <c r="B146" s="134"/>
      <c r="C146" s="134"/>
      <c r="D146" s="134"/>
      <c r="E146" s="134"/>
      <c r="F146" s="134"/>
      <c r="G146" s="134"/>
      <c r="H146" s="135"/>
      <c r="J146" s="36"/>
      <c r="T146" s="35"/>
    </row>
    <row r="147" spans="1:20" s="37" customFormat="1" x14ac:dyDescent="0.25">
      <c r="A147" s="133" t="s">
        <v>395</v>
      </c>
      <c r="B147" s="134"/>
      <c r="C147" s="134"/>
      <c r="D147" s="134"/>
      <c r="E147" s="134"/>
      <c r="F147" s="134"/>
      <c r="G147" s="134"/>
      <c r="H147" s="135"/>
      <c r="J147" s="36"/>
      <c r="T147" s="35"/>
    </row>
    <row r="148" spans="1:20" s="37" customFormat="1" ht="15.75" customHeight="1" x14ac:dyDescent="0.25">
      <c r="A148" s="131">
        <v>1</v>
      </c>
      <c r="B148" s="132"/>
      <c r="C148" s="42" t="s">
        <v>393</v>
      </c>
      <c r="D148" s="111">
        <f>(27.41)*(10.764)</f>
        <v>295.04123999999996</v>
      </c>
      <c r="E148" s="42">
        <v>0</v>
      </c>
      <c r="F148" s="62">
        <f t="shared" ref="F148:F179" si="2">D148+(IF(E148&lt;201,E148,IF(E148&lt;301,E148/2,E148/3)))</f>
        <v>295.04123999999996</v>
      </c>
      <c r="G148" s="63">
        <v>0</v>
      </c>
      <c r="H148" s="62">
        <f t="shared" ref="H148:H179" si="3">(F148+(IF(G148&lt;101,G148,IF(G148&lt;201,G148/2,IF(G148&lt;=301,G148/3,G148/4)))))*(($H$145)+1)</f>
        <v>442.56185999999991</v>
      </c>
      <c r="I148" s="36">
        <f>3.6*4.35+2.25*1.5+3.6*2.25</f>
        <v>27.134999999999998</v>
      </c>
      <c r="L148" s="246"/>
      <c r="M148" s="246"/>
      <c r="N148" s="36"/>
      <c r="T148" s="35"/>
    </row>
    <row r="149" spans="1:20" s="37" customFormat="1" ht="15.75" customHeight="1" x14ac:dyDescent="0.25">
      <c r="A149" s="131">
        <v>2</v>
      </c>
      <c r="B149" s="132"/>
      <c r="C149" s="106" t="s">
        <v>393</v>
      </c>
      <c r="D149" s="111">
        <f>(33.72)*(10.764)</f>
        <v>362.96207999999996</v>
      </c>
      <c r="E149" s="42">
        <v>0</v>
      </c>
      <c r="F149" s="62">
        <f t="shared" si="2"/>
        <v>362.96207999999996</v>
      </c>
      <c r="G149" s="54">
        <v>0</v>
      </c>
      <c r="H149" s="62">
        <f t="shared" si="3"/>
        <v>544.44311999999991</v>
      </c>
      <c r="I149" s="36"/>
      <c r="L149" s="246"/>
      <c r="M149" s="246"/>
      <c r="N149" s="36"/>
      <c r="T149" s="34"/>
    </row>
    <row r="150" spans="1:20" s="37" customFormat="1" ht="15.75" customHeight="1" x14ac:dyDescent="0.25">
      <c r="A150" s="131">
        <v>3</v>
      </c>
      <c r="B150" s="132"/>
      <c r="C150" s="106" t="s">
        <v>393</v>
      </c>
      <c r="D150" s="111">
        <f>(26.47)*(10.764)</f>
        <v>284.92307999999997</v>
      </c>
      <c r="E150" s="42">
        <v>0</v>
      </c>
      <c r="F150" s="62">
        <f t="shared" si="2"/>
        <v>284.92307999999997</v>
      </c>
      <c r="G150" s="54">
        <v>0</v>
      </c>
      <c r="H150" s="62">
        <f t="shared" si="3"/>
        <v>427.38461999999993</v>
      </c>
      <c r="I150" s="36"/>
      <c r="L150" s="246"/>
      <c r="M150" s="246"/>
      <c r="N150" s="36"/>
      <c r="T150" s="21"/>
    </row>
    <row r="151" spans="1:20" s="37" customFormat="1" ht="15.75" customHeight="1" x14ac:dyDescent="0.25">
      <c r="A151" s="131">
        <v>4</v>
      </c>
      <c r="B151" s="132"/>
      <c r="C151" s="106" t="s">
        <v>393</v>
      </c>
      <c r="D151" s="111">
        <f>(36.51)*(10.764)</f>
        <v>392.99363999999997</v>
      </c>
      <c r="E151" s="42">
        <v>0</v>
      </c>
      <c r="F151" s="62">
        <f t="shared" si="2"/>
        <v>392.99363999999997</v>
      </c>
      <c r="G151" s="54">
        <v>0</v>
      </c>
      <c r="H151" s="62">
        <f t="shared" si="3"/>
        <v>589.49045999999998</v>
      </c>
      <c r="I151" s="36"/>
      <c r="L151" s="246"/>
      <c r="M151" s="246"/>
      <c r="N151" s="36"/>
      <c r="T151" s="21"/>
    </row>
    <row r="152" spans="1:20" s="105" customFormat="1" ht="15.75" customHeight="1" x14ac:dyDescent="0.25">
      <c r="A152" s="131">
        <v>5</v>
      </c>
      <c r="B152" s="132"/>
      <c r="C152" s="106" t="s">
        <v>393</v>
      </c>
      <c r="D152" s="111">
        <f>(24.65)*(10.764)</f>
        <v>265.33259999999996</v>
      </c>
      <c r="E152" s="106">
        <v>0</v>
      </c>
      <c r="F152" s="106">
        <f t="shared" si="2"/>
        <v>265.33259999999996</v>
      </c>
      <c r="G152" s="63">
        <v>0</v>
      </c>
      <c r="H152" s="106">
        <f t="shared" si="3"/>
        <v>397.99889999999994</v>
      </c>
      <c r="I152" s="36"/>
      <c r="L152" s="246"/>
      <c r="M152" s="246"/>
      <c r="N152" s="36"/>
      <c r="T152" s="35"/>
    </row>
    <row r="153" spans="1:20" s="105" customFormat="1" ht="15.75" customHeight="1" x14ac:dyDescent="0.25">
      <c r="A153" s="131">
        <v>6</v>
      </c>
      <c r="B153" s="132"/>
      <c r="C153" s="106" t="s">
        <v>393</v>
      </c>
      <c r="D153" s="111">
        <f>(21.95)*(10.764)</f>
        <v>236.26979999999998</v>
      </c>
      <c r="E153" s="106">
        <v>0</v>
      </c>
      <c r="F153" s="106">
        <f t="shared" si="2"/>
        <v>236.26979999999998</v>
      </c>
      <c r="G153" s="106">
        <v>0</v>
      </c>
      <c r="H153" s="106">
        <f t="shared" si="3"/>
        <v>354.40469999999993</v>
      </c>
      <c r="I153" s="36"/>
      <c r="L153" s="246"/>
      <c r="M153" s="246"/>
      <c r="N153" s="36"/>
      <c r="T153" s="34"/>
    </row>
    <row r="154" spans="1:20" s="105" customFormat="1" ht="15.75" customHeight="1" x14ac:dyDescent="0.25">
      <c r="A154" s="131">
        <v>7</v>
      </c>
      <c r="B154" s="132"/>
      <c r="C154" s="106" t="s">
        <v>393</v>
      </c>
      <c r="D154" s="111">
        <f>(42.34)*(10.764)</f>
        <v>455.74776000000003</v>
      </c>
      <c r="E154" s="106">
        <v>0</v>
      </c>
      <c r="F154" s="106">
        <f t="shared" si="2"/>
        <v>455.74776000000003</v>
      </c>
      <c r="G154" s="106">
        <v>0</v>
      </c>
      <c r="H154" s="106">
        <f t="shared" si="3"/>
        <v>683.62164000000007</v>
      </c>
      <c r="I154" s="36"/>
      <c r="L154" s="246"/>
      <c r="M154" s="246"/>
      <c r="N154" s="36"/>
      <c r="T154" s="21"/>
    </row>
    <row r="155" spans="1:20" s="105" customFormat="1" ht="15.75" customHeight="1" x14ac:dyDescent="0.25">
      <c r="A155" s="131">
        <v>8</v>
      </c>
      <c r="B155" s="132"/>
      <c r="C155" s="106" t="s">
        <v>393</v>
      </c>
      <c r="D155" s="111">
        <f>(40.06)*(10.764)</f>
        <v>431.20584000000002</v>
      </c>
      <c r="E155" s="106">
        <v>0</v>
      </c>
      <c r="F155" s="106">
        <f t="shared" si="2"/>
        <v>431.20584000000002</v>
      </c>
      <c r="G155" s="106">
        <v>0</v>
      </c>
      <c r="H155" s="106">
        <f t="shared" si="3"/>
        <v>646.80876000000001</v>
      </c>
      <c r="I155" s="36"/>
      <c r="L155" s="246"/>
      <c r="M155" s="246"/>
      <c r="N155" s="36"/>
      <c r="T155" s="21"/>
    </row>
    <row r="156" spans="1:20" s="105" customFormat="1" ht="15.75" customHeight="1" x14ac:dyDescent="0.25">
      <c r="A156" s="131">
        <v>9</v>
      </c>
      <c r="B156" s="132"/>
      <c r="C156" s="106" t="s">
        <v>393</v>
      </c>
      <c r="D156" s="111">
        <f>(42.29)*(10.764)</f>
        <v>455.20955999999995</v>
      </c>
      <c r="E156" s="106">
        <v>0</v>
      </c>
      <c r="F156" s="106">
        <f t="shared" si="2"/>
        <v>455.20955999999995</v>
      </c>
      <c r="G156" s="63">
        <v>0</v>
      </c>
      <c r="H156" s="106">
        <f t="shared" si="3"/>
        <v>682.8143399999999</v>
      </c>
      <c r="I156" s="36"/>
      <c r="L156" s="246"/>
      <c r="M156" s="246"/>
      <c r="N156" s="36"/>
      <c r="T156" s="35"/>
    </row>
    <row r="157" spans="1:20" s="105" customFormat="1" ht="15.75" customHeight="1" x14ac:dyDescent="0.25">
      <c r="A157" s="131">
        <v>10</v>
      </c>
      <c r="B157" s="132"/>
      <c r="C157" s="106" t="s">
        <v>393</v>
      </c>
      <c r="D157" s="111">
        <f>(33.72)*(10.764)</f>
        <v>362.96207999999996</v>
      </c>
      <c r="E157" s="106">
        <v>0</v>
      </c>
      <c r="F157" s="106">
        <f t="shared" si="2"/>
        <v>362.96207999999996</v>
      </c>
      <c r="G157" s="106">
        <v>0</v>
      </c>
      <c r="H157" s="106">
        <f t="shared" si="3"/>
        <v>544.44311999999991</v>
      </c>
      <c r="I157" s="36"/>
      <c r="L157" s="246"/>
      <c r="M157" s="246"/>
      <c r="N157" s="36"/>
      <c r="T157" s="34"/>
    </row>
    <row r="158" spans="1:20" s="105" customFormat="1" ht="15.75" customHeight="1" x14ac:dyDescent="0.25">
      <c r="A158" s="131">
        <v>11</v>
      </c>
      <c r="B158" s="132"/>
      <c r="C158" s="106" t="s">
        <v>393</v>
      </c>
      <c r="D158" s="111">
        <f>20.5*(10.764)</f>
        <v>220.66199999999998</v>
      </c>
      <c r="E158" s="106">
        <v>0</v>
      </c>
      <c r="F158" s="106">
        <f t="shared" si="2"/>
        <v>220.66199999999998</v>
      </c>
      <c r="G158" s="106">
        <v>0</v>
      </c>
      <c r="H158" s="106">
        <f t="shared" si="3"/>
        <v>330.99299999999994</v>
      </c>
      <c r="I158" s="36"/>
      <c r="L158" s="246"/>
      <c r="M158" s="246"/>
      <c r="N158" s="36"/>
      <c r="T158" s="21"/>
    </row>
    <row r="159" spans="1:20" s="105" customFormat="1" ht="15.75" customHeight="1" x14ac:dyDescent="0.25">
      <c r="A159" s="131">
        <v>12</v>
      </c>
      <c r="B159" s="132"/>
      <c r="C159" s="106" t="s">
        <v>393</v>
      </c>
      <c r="D159" s="111">
        <f>(25.11)*(10.764)</f>
        <v>270.28404</v>
      </c>
      <c r="E159" s="106">
        <v>0</v>
      </c>
      <c r="F159" s="106">
        <f t="shared" si="2"/>
        <v>270.28404</v>
      </c>
      <c r="G159" s="106">
        <v>0</v>
      </c>
      <c r="H159" s="106">
        <f t="shared" si="3"/>
        <v>405.42606000000001</v>
      </c>
      <c r="I159" s="36"/>
      <c r="L159" s="246"/>
      <c r="M159" s="246"/>
      <c r="N159" s="36"/>
      <c r="T159" s="21"/>
    </row>
    <row r="160" spans="1:20" s="105" customFormat="1" ht="15.75" customHeight="1" x14ac:dyDescent="0.25">
      <c r="A160" s="131">
        <v>13</v>
      </c>
      <c r="B160" s="132"/>
      <c r="C160" s="106" t="s">
        <v>393</v>
      </c>
      <c r="D160" s="111">
        <f>(23.76)*(10.764)</f>
        <v>255.75264000000001</v>
      </c>
      <c r="E160" s="106">
        <v>0</v>
      </c>
      <c r="F160" s="106">
        <f t="shared" si="2"/>
        <v>255.75264000000001</v>
      </c>
      <c r="G160" s="63">
        <v>0</v>
      </c>
      <c r="H160" s="106">
        <f t="shared" si="3"/>
        <v>383.62896000000001</v>
      </c>
      <c r="I160" s="36"/>
      <c r="L160" s="246"/>
      <c r="M160" s="246"/>
      <c r="N160" s="36"/>
      <c r="T160" s="35"/>
    </row>
    <row r="161" spans="1:20" s="105" customFormat="1" ht="15.75" customHeight="1" x14ac:dyDescent="0.25">
      <c r="A161" s="131">
        <v>14</v>
      </c>
      <c r="B161" s="132"/>
      <c r="C161" s="106" t="s">
        <v>393</v>
      </c>
      <c r="D161" s="111">
        <f>(22.55)*(10.764)</f>
        <v>242.72819999999999</v>
      </c>
      <c r="E161" s="106">
        <v>0</v>
      </c>
      <c r="F161" s="106">
        <f t="shared" si="2"/>
        <v>242.72819999999999</v>
      </c>
      <c r="G161" s="106">
        <v>0</v>
      </c>
      <c r="H161" s="106">
        <f t="shared" si="3"/>
        <v>364.09229999999997</v>
      </c>
      <c r="I161" s="36"/>
      <c r="L161" s="246"/>
      <c r="M161" s="246"/>
      <c r="N161" s="36"/>
      <c r="T161" s="34"/>
    </row>
    <row r="162" spans="1:20" s="105" customFormat="1" ht="15.75" customHeight="1" x14ac:dyDescent="0.25">
      <c r="A162" s="131">
        <v>15</v>
      </c>
      <c r="B162" s="132"/>
      <c r="C162" s="106" t="s">
        <v>393</v>
      </c>
      <c r="D162" s="111">
        <f>(11.31)*(10.764)</f>
        <v>121.74083999999999</v>
      </c>
      <c r="E162" s="106">
        <v>0</v>
      </c>
      <c r="F162" s="106">
        <f t="shared" si="2"/>
        <v>121.74083999999999</v>
      </c>
      <c r="G162" s="106">
        <v>0</v>
      </c>
      <c r="H162" s="106">
        <f t="shared" si="3"/>
        <v>182.61125999999999</v>
      </c>
      <c r="I162" s="36"/>
      <c r="L162" s="246"/>
      <c r="M162" s="246"/>
      <c r="N162" s="36"/>
      <c r="T162" s="21"/>
    </row>
    <row r="163" spans="1:20" s="105" customFormat="1" ht="15.75" customHeight="1" x14ac:dyDescent="0.25">
      <c r="A163" s="131">
        <v>16</v>
      </c>
      <c r="B163" s="132"/>
      <c r="C163" s="106" t="s">
        <v>393</v>
      </c>
      <c r="D163" s="111">
        <f>(10.09)*(10.764)</f>
        <v>108.60875999999999</v>
      </c>
      <c r="E163" s="106">
        <v>0</v>
      </c>
      <c r="F163" s="106">
        <f t="shared" si="2"/>
        <v>108.60875999999999</v>
      </c>
      <c r="G163" s="106">
        <v>0</v>
      </c>
      <c r="H163" s="106">
        <f t="shared" si="3"/>
        <v>162.91314</v>
      </c>
      <c r="I163" s="36"/>
      <c r="L163" s="246"/>
      <c r="M163" s="246"/>
      <c r="N163" s="36"/>
      <c r="T163" s="21"/>
    </row>
    <row r="164" spans="1:20" s="105" customFormat="1" ht="15.75" customHeight="1" x14ac:dyDescent="0.25">
      <c r="A164" s="131">
        <v>17</v>
      </c>
      <c r="B164" s="132"/>
      <c r="C164" s="106" t="s">
        <v>393</v>
      </c>
      <c r="D164" s="111">
        <f>(15.76)*(10.764)</f>
        <v>169.64063999999999</v>
      </c>
      <c r="E164" s="106">
        <v>0</v>
      </c>
      <c r="F164" s="106">
        <f t="shared" si="2"/>
        <v>169.64063999999999</v>
      </c>
      <c r="G164" s="63">
        <v>0</v>
      </c>
      <c r="H164" s="106">
        <f t="shared" si="3"/>
        <v>254.46096</v>
      </c>
      <c r="I164" s="36"/>
      <c r="L164" s="246"/>
      <c r="M164" s="246"/>
      <c r="N164" s="36"/>
      <c r="T164" s="35"/>
    </row>
    <row r="165" spans="1:20" s="105" customFormat="1" ht="15.75" customHeight="1" x14ac:dyDescent="0.25">
      <c r="A165" s="131">
        <v>18</v>
      </c>
      <c r="B165" s="132"/>
      <c r="C165" s="106" t="s">
        <v>393</v>
      </c>
      <c r="D165" s="111">
        <f>(20.52)*(10.764)</f>
        <v>220.87727999999998</v>
      </c>
      <c r="E165" s="106">
        <v>0</v>
      </c>
      <c r="F165" s="106">
        <f t="shared" si="2"/>
        <v>220.87727999999998</v>
      </c>
      <c r="G165" s="106">
        <v>0</v>
      </c>
      <c r="H165" s="106">
        <f t="shared" si="3"/>
        <v>331.31592000000001</v>
      </c>
      <c r="I165" s="36"/>
      <c r="L165" s="246"/>
      <c r="M165" s="246"/>
      <c r="N165" s="36"/>
      <c r="T165" s="34"/>
    </row>
    <row r="166" spans="1:20" s="105" customFormat="1" ht="15.75" customHeight="1" x14ac:dyDescent="0.25">
      <c r="A166" s="131">
        <v>19</v>
      </c>
      <c r="B166" s="132"/>
      <c r="C166" s="106" t="s">
        <v>393</v>
      </c>
      <c r="D166" s="111">
        <f>31.54*(10.764)</f>
        <v>339.49655999999999</v>
      </c>
      <c r="E166" s="106">
        <v>0</v>
      </c>
      <c r="F166" s="106">
        <f t="shared" si="2"/>
        <v>339.49655999999999</v>
      </c>
      <c r="G166" s="106">
        <v>0</v>
      </c>
      <c r="H166" s="106">
        <f t="shared" si="3"/>
        <v>509.24483999999995</v>
      </c>
      <c r="I166" s="36"/>
      <c r="L166" s="246"/>
      <c r="M166" s="246"/>
      <c r="N166" s="36"/>
      <c r="T166" s="21"/>
    </row>
    <row r="167" spans="1:20" s="105" customFormat="1" ht="15.75" customHeight="1" x14ac:dyDescent="0.25">
      <c r="A167" s="131">
        <v>20</v>
      </c>
      <c r="B167" s="132"/>
      <c r="C167" s="106" t="s">
        <v>393</v>
      </c>
      <c r="D167" s="111">
        <f>(35.59)*(10.764)</f>
        <v>383.09075999999999</v>
      </c>
      <c r="E167" s="106">
        <v>0</v>
      </c>
      <c r="F167" s="106">
        <f t="shared" si="2"/>
        <v>383.09075999999999</v>
      </c>
      <c r="G167" s="106">
        <v>0</v>
      </c>
      <c r="H167" s="106">
        <f t="shared" si="3"/>
        <v>574.63613999999995</v>
      </c>
      <c r="I167" s="36"/>
      <c r="L167" s="246"/>
      <c r="M167" s="246"/>
      <c r="N167" s="36"/>
      <c r="T167" s="21"/>
    </row>
    <row r="168" spans="1:20" s="105" customFormat="1" ht="15.75" customHeight="1" x14ac:dyDescent="0.25">
      <c r="A168" s="131">
        <v>21</v>
      </c>
      <c r="B168" s="132"/>
      <c r="C168" s="106" t="s">
        <v>393</v>
      </c>
      <c r="D168" s="111">
        <f>(22.96)*(10.764)</f>
        <v>247.14143999999999</v>
      </c>
      <c r="E168" s="106">
        <v>0</v>
      </c>
      <c r="F168" s="106">
        <f t="shared" si="2"/>
        <v>247.14143999999999</v>
      </c>
      <c r="G168" s="63">
        <v>0</v>
      </c>
      <c r="H168" s="106">
        <f t="shared" si="3"/>
        <v>370.71215999999998</v>
      </c>
      <c r="I168" s="36"/>
      <c r="L168" s="246"/>
      <c r="M168" s="246"/>
      <c r="N168" s="36"/>
      <c r="T168" s="35"/>
    </row>
    <row r="169" spans="1:20" s="105" customFormat="1" ht="15.75" customHeight="1" x14ac:dyDescent="0.25">
      <c r="A169" s="131">
        <v>22</v>
      </c>
      <c r="B169" s="132"/>
      <c r="C169" s="106" t="s">
        <v>393</v>
      </c>
      <c r="D169" s="111">
        <f>(27.61)*(10.764)</f>
        <v>297.19403999999997</v>
      </c>
      <c r="E169" s="106">
        <v>0</v>
      </c>
      <c r="F169" s="106">
        <f t="shared" si="2"/>
        <v>297.19403999999997</v>
      </c>
      <c r="G169" s="106">
        <v>0</v>
      </c>
      <c r="H169" s="106">
        <f t="shared" si="3"/>
        <v>445.79105999999996</v>
      </c>
      <c r="I169" s="36"/>
      <c r="L169" s="246"/>
      <c r="M169" s="246"/>
      <c r="N169" s="36"/>
      <c r="T169" s="34"/>
    </row>
    <row r="170" spans="1:20" s="105" customFormat="1" ht="15.75" customHeight="1" x14ac:dyDescent="0.25">
      <c r="A170" s="131">
        <v>23</v>
      </c>
      <c r="B170" s="132"/>
      <c r="C170" s="106" t="s">
        <v>393</v>
      </c>
      <c r="D170" s="111">
        <f>(21.74)*(10.764)</f>
        <v>234.00935999999996</v>
      </c>
      <c r="E170" s="106">
        <v>0</v>
      </c>
      <c r="F170" s="106">
        <f t="shared" si="2"/>
        <v>234.00935999999996</v>
      </c>
      <c r="G170" s="106">
        <v>0</v>
      </c>
      <c r="H170" s="106">
        <f t="shared" si="3"/>
        <v>351.01403999999991</v>
      </c>
      <c r="I170" s="36"/>
      <c r="L170" s="246"/>
      <c r="M170" s="246"/>
      <c r="N170" s="36"/>
      <c r="T170" s="21"/>
    </row>
    <row r="171" spans="1:20" s="105" customFormat="1" ht="15.75" customHeight="1" x14ac:dyDescent="0.25">
      <c r="A171" s="131">
        <v>24</v>
      </c>
      <c r="B171" s="132"/>
      <c r="C171" s="106" t="s">
        <v>393</v>
      </c>
      <c r="D171" s="111">
        <f>(19.58)*(10.764)</f>
        <v>210.75911999999997</v>
      </c>
      <c r="E171" s="106">
        <v>0</v>
      </c>
      <c r="F171" s="106">
        <f t="shared" si="2"/>
        <v>210.75911999999997</v>
      </c>
      <c r="G171" s="106">
        <v>0</v>
      </c>
      <c r="H171" s="106">
        <f t="shared" si="3"/>
        <v>316.13867999999997</v>
      </c>
      <c r="I171" s="36"/>
      <c r="L171" s="246"/>
      <c r="M171" s="246"/>
      <c r="N171" s="36"/>
      <c r="T171" s="21"/>
    </row>
    <row r="172" spans="1:20" s="105" customFormat="1" ht="15.75" customHeight="1" x14ac:dyDescent="0.25">
      <c r="A172" s="131">
        <v>25</v>
      </c>
      <c r="B172" s="132"/>
      <c r="C172" s="106" t="s">
        <v>393</v>
      </c>
      <c r="D172" s="111">
        <f>(16.49)*(10.764)</f>
        <v>177.49835999999996</v>
      </c>
      <c r="E172" s="106">
        <v>0</v>
      </c>
      <c r="F172" s="106">
        <f t="shared" si="2"/>
        <v>177.49835999999996</v>
      </c>
      <c r="G172" s="63">
        <v>0</v>
      </c>
      <c r="H172" s="106">
        <f t="shared" si="3"/>
        <v>266.24753999999996</v>
      </c>
      <c r="I172" s="36"/>
      <c r="L172" s="246"/>
      <c r="M172" s="246"/>
      <c r="N172" s="36"/>
      <c r="T172" s="35"/>
    </row>
    <row r="173" spans="1:20" s="105" customFormat="1" ht="15.75" customHeight="1" x14ac:dyDescent="0.25">
      <c r="A173" s="131">
        <v>26</v>
      </c>
      <c r="B173" s="132"/>
      <c r="C173" s="106" t="s">
        <v>393</v>
      </c>
      <c r="D173" s="111">
        <f>(26.59)*(10.764)</f>
        <v>286.21475999999996</v>
      </c>
      <c r="E173" s="106">
        <v>0</v>
      </c>
      <c r="F173" s="106">
        <f t="shared" si="2"/>
        <v>286.21475999999996</v>
      </c>
      <c r="G173" s="106">
        <v>0</v>
      </c>
      <c r="H173" s="106">
        <f t="shared" si="3"/>
        <v>429.32213999999993</v>
      </c>
      <c r="I173" s="36"/>
      <c r="L173" s="246"/>
      <c r="M173" s="246"/>
      <c r="N173" s="36"/>
      <c r="T173" s="34"/>
    </row>
    <row r="174" spans="1:20" s="105" customFormat="1" ht="15.75" customHeight="1" x14ac:dyDescent="0.25">
      <c r="A174" s="131">
        <v>27</v>
      </c>
      <c r="B174" s="132"/>
      <c r="C174" s="106" t="s">
        <v>393</v>
      </c>
      <c r="D174" s="111">
        <f>(24.43)*(10.764)</f>
        <v>262.96451999999999</v>
      </c>
      <c r="E174" s="106">
        <v>0</v>
      </c>
      <c r="F174" s="106">
        <f t="shared" si="2"/>
        <v>262.96451999999999</v>
      </c>
      <c r="G174" s="106">
        <v>0</v>
      </c>
      <c r="H174" s="106">
        <f t="shared" si="3"/>
        <v>394.44677999999999</v>
      </c>
      <c r="I174" s="36"/>
      <c r="L174" s="246"/>
      <c r="M174" s="246"/>
      <c r="N174" s="36"/>
      <c r="T174" s="21"/>
    </row>
    <row r="175" spans="1:20" s="105" customFormat="1" ht="15.75" customHeight="1" x14ac:dyDescent="0.25">
      <c r="A175" s="131">
        <v>28</v>
      </c>
      <c r="B175" s="132"/>
      <c r="C175" s="106" t="s">
        <v>393</v>
      </c>
      <c r="D175" s="111">
        <f>(24.98)*(10.764)</f>
        <v>268.88472000000002</v>
      </c>
      <c r="E175" s="106">
        <v>0</v>
      </c>
      <c r="F175" s="106">
        <f t="shared" si="2"/>
        <v>268.88472000000002</v>
      </c>
      <c r="G175" s="106">
        <v>0</v>
      </c>
      <c r="H175" s="106">
        <f t="shared" si="3"/>
        <v>403.32708000000002</v>
      </c>
      <c r="I175" s="36"/>
      <c r="L175" s="246"/>
      <c r="M175" s="246"/>
      <c r="N175" s="36"/>
      <c r="T175" s="21"/>
    </row>
    <row r="176" spans="1:20" s="105" customFormat="1" ht="15.75" customHeight="1" x14ac:dyDescent="0.25">
      <c r="A176" s="131">
        <v>29</v>
      </c>
      <c r="B176" s="132"/>
      <c r="C176" s="106" t="s">
        <v>393</v>
      </c>
      <c r="D176" s="111">
        <f>(21.6)*(10.764)</f>
        <v>232.50239999999999</v>
      </c>
      <c r="E176" s="106">
        <v>0</v>
      </c>
      <c r="F176" s="106">
        <f t="shared" si="2"/>
        <v>232.50239999999999</v>
      </c>
      <c r="G176" s="63">
        <v>0</v>
      </c>
      <c r="H176" s="106">
        <f t="shared" si="3"/>
        <v>348.75360000000001</v>
      </c>
      <c r="I176" s="36"/>
      <c r="L176" s="246"/>
      <c r="M176" s="246"/>
      <c r="N176" s="36"/>
      <c r="T176" s="35"/>
    </row>
    <row r="177" spans="1:20" s="105" customFormat="1" ht="15.75" customHeight="1" x14ac:dyDescent="0.25">
      <c r="A177" s="131">
        <v>30</v>
      </c>
      <c r="B177" s="132"/>
      <c r="C177" s="106" t="s">
        <v>393</v>
      </c>
      <c r="D177" s="111">
        <f>(23.79)*(10.764)</f>
        <v>256.07556</v>
      </c>
      <c r="E177" s="106">
        <v>0</v>
      </c>
      <c r="F177" s="106">
        <f t="shared" si="2"/>
        <v>256.07556</v>
      </c>
      <c r="G177" s="106">
        <v>0</v>
      </c>
      <c r="H177" s="106">
        <f t="shared" si="3"/>
        <v>384.11333999999999</v>
      </c>
      <c r="I177" s="36"/>
      <c r="L177" s="246"/>
      <c r="M177" s="246"/>
      <c r="N177" s="36"/>
      <c r="T177" s="34"/>
    </row>
    <row r="178" spans="1:20" s="105" customFormat="1" ht="15.75" customHeight="1" x14ac:dyDescent="0.25">
      <c r="A178" s="131">
        <v>31</v>
      </c>
      <c r="B178" s="132"/>
      <c r="C178" s="106" t="s">
        <v>393</v>
      </c>
      <c r="D178" s="111">
        <f>(21.9)*(10.764)</f>
        <v>235.73159999999996</v>
      </c>
      <c r="E178" s="106">
        <v>0</v>
      </c>
      <c r="F178" s="106">
        <f t="shared" si="2"/>
        <v>235.73159999999996</v>
      </c>
      <c r="G178" s="106">
        <v>0</v>
      </c>
      <c r="H178" s="106">
        <f t="shared" si="3"/>
        <v>353.59739999999994</v>
      </c>
      <c r="I178" s="36"/>
      <c r="L178" s="246"/>
      <c r="M178" s="246"/>
      <c r="N178" s="36"/>
      <c r="T178" s="21"/>
    </row>
    <row r="179" spans="1:20" s="105" customFormat="1" ht="15.75" customHeight="1" x14ac:dyDescent="0.25">
      <c r="A179" s="131">
        <v>32</v>
      </c>
      <c r="B179" s="132"/>
      <c r="C179" s="106" t="s">
        <v>393</v>
      </c>
      <c r="D179" s="111">
        <f>(31.64)*(10.764)</f>
        <v>340.57295999999997</v>
      </c>
      <c r="E179" s="106">
        <v>0</v>
      </c>
      <c r="F179" s="106">
        <f t="shared" si="2"/>
        <v>340.57295999999997</v>
      </c>
      <c r="G179" s="106">
        <v>0</v>
      </c>
      <c r="H179" s="106">
        <f t="shared" si="3"/>
        <v>510.85943999999995</v>
      </c>
      <c r="I179" s="36"/>
      <c r="L179" s="246"/>
      <c r="M179" s="246"/>
      <c r="N179" s="36"/>
      <c r="T179" s="21"/>
    </row>
    <row r="180" spans="1:20" s="105" customFormat="1" ht="15.75" customHeight="1" x14ac:dyDescent="0.25">
      <c r="A180" s="131">
        <v>33</v>
      </c>
      <c r="B180" s="132"/>
      <c r="C180" s="106" t="s">
        <v>393</v>
      </c>
      <c r="D180" s="111">
        <f>(29.95)*(10.764)</f>
        <v>322.3818</v>
      </c>
      <c r="E180" s="106">
        <v>0</v>
      </c>
      <c r="F180" s="106">
        <f t="shared" ref="F180:F196" si="4">D180+(IF(E180&lt;201,E180,IF(E180&lt;301,E180/2,E180/3)))</f>
        <v>322.3818</v>
      </c>
      <c r="G180" s="106">
        <v>0</v>
      </c>
      <c r="H180" s="106">
        <f t="shared" ref="H180:H196" si="5">(F180+(IF(G180&lt;101,G180,IF(G180&lt;201,G180/2,IF(G180&lt;=301,G180/3,G180/4)))))*(($H$145)+1)</f>
        <v>483.5727</v>
      </c>
      <c r="I180" s="36"/>
      <c r="L180" s="246"/>
      <c r="M180" s="246"/>
      <c r="N180" s="36"/>
      <c r="T180" s="21"/>
    </row>
    <row r="181" spans="1:20" s="105" customFormat="1" ht="15.75" customHeight="1" x14ac:dyDescent="0.25">
      <c r="A181" s="131">
        <v>34</v>
      </c>
      <c r="B181" s="132"/>
      <c r="C181" s="106" t="s">
        <v>393</v>
      </c>
      <c r="D181" s="111">
        <f>(28.58)*(10.764)</f>
        <v>307.63511999999997</v>
      </c>
      <c r="E181" s="106">
        <v>0</v>
      </c>
      <c r="F181" s="106">
        <f t="shared" si="4"/>
        <v>307.63511999999997</v>
      </c>
      <c r="G181" s="106">
        <v>0</v>
      </c>
      <c r="H181" s="106">
        <f t="shared" si="5"/>
        <v>461.45267999999999</v>
      </c>
      <c r="I181" s="36"/>
      <c r="L181" s="246"/>
      <c r="M181" s="246"/>
      <c r="N181" s="36"/>
      <c r="T181" s="21"/>
    </row>
    <row r="182" spans="1:20" s="105" customFormat="1" ht="15.75" customHeight="1" x14ac:dyDescent="0.25">
      <c r="A182" s="131">
        <v>35</v>
      </c>
      <c r="B182" s="132"/>
      <c r="C182" s="106" t="s">
        <v>393</v>
      </c>
      <c r="D182" s="111">
        <f>(28.07)*(10.764)</f>
        <v>302.14547999999996</v>
      </c>
      <c r="E182" s="106">
        <v>0</v>
      </c>
      <c r="F182" s="106">
        <f t="shared" si="4"/>
        <v>302.14547999999996</v>
      </c>
      <c r="G182" s="63">
        <v>0</v>
      </c>
      <c r="H182" s="106">
        <f t="shared" si="5"/>
        <v>453.21821999999997</v>
      </c>
      <c r="I182" s="36"/>
      <c r="L182" s="246"/>
      <c r="M182" s="246"/>
      <c r="N182" s="36"/>
      <c r="T182" s="35"/>
    </row>
    <row r="183" spans="1:20" s="105" customFormat="1" ht="15.75" customHeight="1" x14ac:dyDescent="0.25">
      <c r="A183" s="131">
        <v>36</v>
      </c>
      <c r="B183" s="132"/>
      <c r="C183" s="106" t="s">
        <v>393</v>
      </c>
      <c r="D183" s="111">
        <f>(28.58)*(10.764)</f>
        <v>307.63511999999997</v>
      </c>
      <c r="E183" s="106">
        <v>0</v>
      </c>
      <c r="F183" s="106">
        <f t="shared" si="4"/>
        <v>307.63511999999997</v>
      </c>
      <c r="G183" s="106">
        <v>0</v>
      </c>
      <c r="H183" s="106">
        <f t="shared" si="5"/>
        <v>461.45267999999999</v>
      </c>
      <c r="I183" s="36"/>
      <c r="L183" s="246"/>
      <c r="M183" s="246"/>
      <c r="N183" s="36"/>
      <c r="T183" s="34"/>
    </row>
    <row r="184" spans="1:20" s="105" customFormat="1" ht="15.75" customHeight="1" x14ac:dyDescent="0.25">
      <c r="A184" s="131">
        <v>37</v>
      </c>
      <c r="B184" s="132"/>
      <c r="C184" s="106" t="s">
        <v>393</v>
      </c>
      <c r="D184" s="111">
        <f>31.09*(10.764)</f>
        <v>334.65276</v>
      </c>
      <c r="E184" s="106">
        <v>0</v>
      </c>
      <c r="F184" s="106">
        <f t="shared" si="4"/>
        <v>334.65276</v>
      </c>
      <c r="G184" s="106">
        <v>0</v>
      </c>
      <c r="H184" s="106">
        <f t="shared" si="5"/>
        <v>501.97914000000003</v>
      </c>
      <c r="I184" s="36"/>
      <c r="L184" s="246"/>
      <c r="M184" s="246"/>
      <c r="N184" s="36"/>
      <c r="T184" s="21"/>
    </row>
    <row r="185" spans="1:20" s="105" customFormat="1" ht="15.75" customHeight="1" x14ac:dyDescent="0.25">
      <c r="A185" s="131">
        <v>38</v>
      </c>
      <c r="B185" s="132"/>
      <c r="C185" s="106" t="s">
        <v>393</v>
      </c>
      <c r="D185" s="111">
        <f>(11.74)*(10.764)</f>
        <v>126.36936</v>
      </c>
      <c r="E185" s="106">
        <v>0</v>
      </c>
      <c r="F185" s="106">
        <f t="shared" si="4"/>
        <v>126.36936</v>
      </c>
      <c r="G185" s="106">
        <v>0</v>
      </c>
      <c r="H185" s="106">
        <f t="shared" si="5"/>
        <v>189.55403999999999</v>
      </c>
      <c r="I185" s="36"/>
      <c r="L185" s="246"/>
      <c r="M185" s="246"/>
      <c r="N185" s="36"/>
      <c r="T185" s="21"/>
    </row>
    <row r="186" spans="1:20" s="105" customFormat="1" ht="15.75" customHeight="1" x14ac:dyDescent="0.25">
      <c r="A186" s="131">
        <v>39</v>
      </c>
      <c r="B186" s="132"/>
      <c r="C186" s="106" t="s">
        <v>393</v>
      </c>
      <c r="D186" s="111">
        <f>(16.43)*(10.764)</f>
        <v>176.85252</v>
      </c>
      <c r="E186" s="106">
        <v>0</v>
      </c>
      <c r="F186" s="106">
        <f t="shared" si="4"/>
        <v>176.85252</v>
      </c>
      <c r="G186" s="63">
        <v>0</v>
      </c>
      <c r="H186" s="106">
        <f t="shared" si="5"/>
        <v>265.27877999999998</v>
      </c>
      <c r="I186" s="36"/>
      <c r="L186" s="246"/>
      <c r="M186" s="246"/>
      <c r="N186" s="36"/>
      <c r="T186" s="35"/>
    </row>
    <row r="187" spans="1:20" s="105" customFormat="1" ht="15.75" customHeight="1" x14ac:dyDescent="0.25">
      <c r="A187" s="131">
        <v>40</v>
      </c>
      <c r="B187" s="132"/>
      <c r="C187" s="106" t="s">
        <v>393</v>
      </c>
      <c r="D187" s="111">
        <f>(20.24)*(10.764)</f>
        <v>217.86335999999997</v>
      </c>
      <c r="E187" s="106">
        <v>0</v>
      </c>
      <c r="F187" s="106">
        <f t="shared" si="4"/>
        <v>217.86335999999997</v>
      </c>
      <c r="G187" s="106">
        <v>0</v>
      </c>
      <c r="H187" s="106">
        <f t="shared" si="5"/>
        <v>326.79503999999997</v>
      </c>
      <c r="I187" s="36"/>
      <c r="L187" s="246"/>
      <c r="M187" s="246"/>
      <c r="N187" s="36"/>
      <c r="T187" s="34"/>
    </row>
    <row r="188" spans="1:20" s="105" customFormat="1" ht="15.75" customHeight="1" x14ac:dyDescent="0.25">
      <c r="A188" s="131">
        <v>41</v>
      </c>
      <c r="B188" s="132"/>
      <c r="C188" s="106" t="s">
        <v>393</v>
      </c>
      <c r="D188" s="111">
        <f>(17.26)*(10.764)</f>
        <v>185.78664000000001</v>
      </c>
      <c r="E188" s="106">
        <v>0</v>
      </c>
      <c r="F188" s="106">
        <f t="shared" si="4"/>
        <v>185.78664000000001</v>
      </c>
      <c r="G188" s="106">
        <v>0</v>
      </c>
      <c r="H188" s="106">
        <f t="shared" si="5"/>
        <v>278.67995999999999</v>
      </c>
      <c r="I188" s="36"/>
      <c r="L188" s="246"/>
      <c r="M188" s="246"/>
      <c r="N188" s="36"/>
      <c r="T188" s="21"/>
    </row>
    <row r="189" spans="1:20" s="105" customFormat="1" ht="15.75" customHeight="1" x14ac:dyDescent="0.25">
      <c r="A189" s="131">
        <v>42</v>
      </c>
      <c r="B189" s="132"/>
      <c r="C189" s="106" t="s">
        <v>393</v>
      </c>
      <c r="D189" s="111">
        <f>(17.26)*(10.764)</f>
        <v>185.78664000000001</v>
      </c>
      <c r="E189" s="106">
        <v>0</v>
      </c>
      <c r="F189" s="106">
        <f t="shared" si="4"/>
        <v>185.78664000000001</v>
      </c>
      <c r="G189" s="106">
        <v>0</v>
      </c>
      <c r="H189" s="106">
        <f t="shared" si="5"/>
        <v>278.67995999999999</v>
      </c>
      <c r="I189" s="36"/>
      <c r="L189" s="246"/>
      <c r="M189" s="246"/>
      <c r="N189" s="36"/>
      <c r="T189" s="21"/>
    </row>
    <row r="190" spans="1:20" s="105" customFormat="1" ht="15.75" customHeight="1" x14ac:dyDescent="0.25">
      <c r="A190" s="131">
        <v>43</v>
      </c>
      <c r="B190" s="132"/>
      <c r="C190" s="106" t="s">
        <v>393</v>
      </c>
      <c r="D190" s="111">
        <f>(18.41)*(10.764)</f>
        <v>198.16523999999998</v>
      </c>
      <c r="E190" s="106">
        <v>0</v>
      </c>
      <c r="F190" s="106">
        <f t="shared" si="4"/>
        <v>198.16523999999998</v>
      </c>
      <c r="G190" s="63">
        <v>0</v>
      </c>
      <c r="H190" s="106">
        <f t="shared" si="5"/>
        <v>297.24785999999995</v>
      </c>
      <c r="I190" s="36"/>
      <c r="L190" s="246"/>
      <c r="M190" s="246"/>
      <c r="N190" s="36"/>
      <c r="T190" s="35"/>
    </row>
    <row r="191" spans="1:20" s="105" customFormat="1" ht="15.75" customHeight="1" x14ac:dyDescent="0.25">
      <c r="A191" s="131">
        <v>44</v>
      </c>
      <c r="B191" s="132"/>
      <c r="C191" s="106" t="s">
        <v>393</v>
      </c>
      <c r="D191" s="111">
        <f>(27.36)*(10.764)</f>
        <v>294.50304</v>
      </c>
      <c r="E191" s="106">
        <v>0</v>
      </c>
      <c r="F191" s="106">
        <f t="shared" si="4"/>
        <v>294.50304</v>
      </c>
      <c r="G191" s="106">
        <v>0</v>
      </c>
      <c r="H191" s="106">
        <f t="shared" si="5"/>
        <v>441.75455999999997</v>
      </c>
      <c r="I191" s="36"/>
      <c r="L191" s="246"/>
      <c r="M191" s="246"/>
      <c r="N191" s="36"/>
      <c r="T191" s="34"/>
    </row>
    <row r="192" spans="1:20" s="105" customFormat="1" ht="15.75" customHeight="1" x14ac:dyDescent="0.25">
      <c r="A192" s="131">
        <v>45</v>
      </c>
      <c r="B192" s="132"/>
      <c r="C192" s="106" t="s">
        <v>393</v>
      </c>
      <c r="D192" s="111">
        <f>(23.88)*(10.764)</f>
        <v>257.04431999999997</v>
      </c>
      <c r="E192" s="106">
        <v>0</v>
      </c>
      <c r="F192" s="106">
        <f t="shared" si="4"/>
        <v>257.04431999999997</v>
      </c>
      <c r="G192" s="106">
        <v>0</v>
      </c>
      <c r="H192" s="106">
        <f t="shared" si="5"/>
        <v>385.56647999999996</v>
      </c>
      <c r="I192" s="36"/>
      <c r="L192" s="246"/>
      <c r="M192" s="246"/>
      <c r="N192" s="36"/>
      <c r="T192" s="21"/>
    </row>
    <row r="193" spans="1:20" s="105" customFormat="1" ht="15.75" customHeight="1" x14ac:dyDescent="0.25">
      <c r="A193" s="131">
        <v>46</v>
      </c>
      <c r="B193" s="132"/>
      <c r="C193" s="106" t="s">
        <v>393</v>
      </c>
      <c r="D193" s="111">
        <f>(23.88)*(10.764)</f>
        <v>257.04431999999997</v>
      </c>
      <c r="E193" s="106">
        <v>0</v>
      </c>
      <c r="F193" s="106">
        <f t="shared" si="4"/>
        <v>257.04431999999997</v>
      </c>
      <c r="G193" s="106">
        <v>0</v>
      </c>
      <c r="H193" s="106">
        <f t="shared" si="5"/>
        <v>385.56647999999996</v>
      </c>
      <c r="I193" s="36"/>
      <c r="L193" s="246"/>
      <c r="M193" s="246"/>
      <c r="N193" s="36"/>
      <c r="T193" s="21"/>
    </row>
    <row r="194" spans="1:20" s="105" customFormat="1" ht="15.75" customHeight="1" x14ac:dyDescent="0.25">
      <c r="A194" s="131">
        <v>47</v>
      </c>
      <c r="B194" s="132"/>
      <c r="C194" s="106" t="s">
        <v>393</v>
      </c>
      <c r="D194" s="111">
        <f>(29.2)*(10.764)</f>
        <v>314.30879999999996</v>
      </c>
      <c r="E194" s="106">
        <v>0</v>
      </c>
      <c r="F194" s="106">
        <f t="shared" si="4"/>
        <v>314.30879999999996</v>
      </c>
      <c r="G194" s="106">
        <v>0</v>
      </c>
      <c r="H194" s="106">
        <f t="shared" si="5"/>
        <v>471.46319999999992</v>
      </c>
      <c r="I194" s="36"/>
      <c r="L194" s="246"/>
      <c r="M194" s="246"/>
      <c r="N194" s="36"/>
      <c r="T194" s="34"/>
    </row>
    <row r="195" spans="1:20" s="105" customFormat="1" ht="15.75" customHeight="1" x14ac:dyDescent="0.25">
      <c r="A195" s="131">
        <v>48</v>
      </c>
      <c r="B195" s="132"/>
      <c r="C195" s="106" t="s">
        <v>393</v>
      </c>
      <c r="D195" s="111">
        <f>(25.7)*(10.764)</f>
        <v>276.63479999999998</v>
      </c>
      <c r="E195" s="106">
        <v>0</v>
      </c>
      <c r="F195" s="106">
        <f t="shared" si="4"/>
        <v>276.63479999999998</v>
      </c>
      <c r="G195" s="106">
        <v>0</v>
      </c>
      <c r="H195" s="106">
        <f t="shared" si="5"/>
        <v>414.95219999999995</v>
      </c>
      <c r="I195" s="36"/>
      <c r="L195" s="246"/>
      <c r="M195" s="246"/>
      <c r="N195" s="36"/>
      <c r="T195" s="21"/>
    </row>
    <row r="196" spans="1:20" s="105" customFormat="1" ht="15.75" customHeight="1" x14ac:dyDescent="0.25">
      <c r="A196" s="131">
        <v>49</v>
      </c>
      <c r="B196" s="132"/>
      <c r="C196" s="106" t="s">
        <v>393</v>
      </c>
      <c r="D196" s="111">
        <f>(21.6)*(10.764)</f>
        <v>232.50239999999999</v>
      </c>
      <c r="E196" s="106">
        <v>0</v>
      </c>
      <c r="F196" s="106">
        <f t="shared" si="4"/>
        <v>232.50239999999999</v>
      </c>
      <c r="G196" s="106">
        <v>0</v>
      </c>
      <c r="H196" s="106">
        <f t="shared" si="5"/>
        <v>348.75360000000001</v>
      </c>
      <c r="I196" s="36"/>
      <c r="L196" s="246"/>
      <c r="M196" s="246"/>
      <c r="N196" s="36"/>
      <c r="T196" s="21"/>
    </row>
    <row r="197" spans="1:20" s="105" customFormat="1" x14ac:dyDescent="0.25">
      <c r="A197" s="133" t="s">
        <v>396</v>
      </c>
      <c r="B197" s="134"/>
      <c r="C197" s="134"/>
      <c r="D197" s="134"/>
      <c r="E197" s="134"/>
      <c r="F197" s="134"/>
      <c r="G197" s="134"/>
      <c r="H197" s="135"/>
      <c r="J197" s="36"/>
      <c r="T197" s="35"/>
    </row>
    <row r="198" spans="1:20" s="105" customFormat="1" ht="15.75" customHeight="1" x14ac:dyDescent="0.25">
      <c r="A198" s="131">
        <v>1</v>
      </c>
      <c r="B198" s="132"/>
      <c r="C198" s="106" t="s">
        <v>393</v>
      </c>
      <c r="D198" s="111">
        <f>(18.97)*(10.764)</f>
        <v>204.19307999999998</v>
      </c>
      <c r="E198" s="106">
        <v>0</v>
      </c>
      <c r="F198" s="106">
        <f t="shared" ref="F198:F243" si="6">D198+(IF(E198&lt;201,E198,IF(E198&lt;301,E198/2,E198/3)))</f>
        <v>204.19307999999998</v>
      </c>
      <c r="G198" s="63">
        <v>0</v>
      </c>
      <c r="H198" s="106">
        <f t="shared" ref="H198:H243" si="7">(F198+(IF(G198&lt;101,G198,IF(G198&lt;201,G198/2,IF(G198&lt;=301,G198/3,G198/4)))))*(($H$145)+1)</f>
        <v>306.28961999999996</v>
      </c>
      <c r="I198" s="109">
        <f>3.6*4.35+2.25*1.35</f>
        <v>18.697499999999998</v>
      </c>
      <c r="L198" s="246"/>
      <c r="M198" s="246"/>
      <c r="N198" s="36"/>
      <c r="T198" s="35"/>
    </row>
    <row r="199" spans="1:20" s="105" customFormat="1" ht="15.75" customHeight="1" x14ac:dyDescent="0.25">
      <c r="A199" s="131">
        <v>2</v>
      </c>
      <c r="B199" s="132"/>
      <c r="C199" s="106" t="s">
        <v>393</v>
      </c>
      <c r="D199" s="111">
        <f>(21.15)*(10.764)</f>
        <v>227.65859999999998</v>
      </c>
      <c r="E199" s="106">
        <v>0</v>
      </c>
      <c r="F199" s="106">
        <f t="shared" si="6"/>
        <v>227.65859999999998</v>
      </c>
      <c r="G199" s="106">
        <v>0</v>
      </c>
      <c r="H199" s="106">
        <f t="shared" si="7"/>
        <v>341.48789999999997</v>
      </c>
      <c r="I199" s="36"/>
      <c r="L199" s="246"/>
      <c r="M199" s="246"/>
      <c r="N199" s="36"/>
      <c r="T199" s="34"/>
    </row>
    <row r="200" spans="1:20" s="105" customFormat="1" ht="15.75" customHeight="1" x14ac:dyDescent="0.25">
      <c r="A200" s="131">
        <v>3</v>
      </c>
      <c r="B200" s="132"/>
      <c r="C200" s="106" t="s">
        <v>393</v>
      </c>
      <c r="D200" s="111">
        <f>(18.97)*(10.764)</f>
        <v>204.19307999999998</v>
      </c>
      <c r="E200" s="106">
        <v>0</v>
      </c>
      <c r="F200" s="106">
        <f t="shared" si="6"/>
        <v>204.19307999999998</v>
      </c>
      <c r="G200" s="106">
        <v>0</v>
      </c>
      <c r="H200" s="106">
        <f t="shared" si="7"/>
        <v>306.28961999999996</v>
      </c>
      <c r="I200" s="36"/>
      <c r="L200" s="246"/>
      <c r="M200" s="246"/>
      <c r="N200" s="36"/>
      <c r="T200" s="21"/>
    </row>
    <row r="201" spans="1:20" s="105" customFormat="1" ht="15.75" customHeight="1" x14ac:dyDescent="0.25">
      <c r="A201" s="131">
        <v>4</v>
      </c>
      <c r="B201" s="132"/>
      <c r="C201" s="106" t="s">
        <v>393</v>
      </c>
      <c r="D201" s="111">
        <f>(18.66)*(10.764)</f>
        <v>200.85623999999999</v>
      </c>
      <c r="E201" s="106">
        <v>0</v>
      </c>
      <c r="F201" s="106">
        <f t="shared" si="6"/>
        <v>200.85623999999999</v>
      </c>
      <c r="G201" s="106">
        <v>0</v>
      </c>
      <c r="H201" s="106">
        <f t="shared" si="7"/>
        <v>301.28435999999999</v>
      </c>
      <c r="I201" s="36"/>
      <c r="L201" s="246"/>
      <c r="M201" s="246"/>
      <c r="N201" s="36"/>
      <c r="T201" s="21"/>
    </row>
    <row r="202" spans="1:20" s="105" customFormat="1" ht="15.75" customHeight="1" x14ac:dyDescent="0.25">
      <c r="A202" s="131">
        <v>5</v>
      </c>
      <c r="B202" s="132"/>
      <c r="C202" s="106" t="s">
        <v>393</v>
      </c>
      <c r="D202" s="111">
        <f>(26.05)*(10.764)</f>
        <v>280.40219999999999</v>
      </c>
      <c r="E202" s="106">
        <v>0</v>
      </c>
      <c r="F202" s="106">
        <f t="shared" si="6"/>
        <v>280.40219999999999</v>
      </c>
      <c r="G202" s="63">
        <v>0</v>
      </c>
      <c r="H202" s="106">
        <f t="shared" si="7"/>
        <v>420.60329999999999</v>
      </c>
      <c r="I202" s="36"/>
      <c r="L202" s="246"/>
      <c r="M202" s="246"/>
      <c r="N202" s="36"/>
      <c r="T202" s="35"/>
    </row>
    <row r="203" spans="1:20" s="105" customFormat="1" ht="15.75" customHeight="1" x14ac:dyDescent="0.25">
      <c r="A203" s="131">
        <v>6</v>
      </c>
      <c r="B203" s="132"/>
      <c r="C203" s="106" t="s">
        <v>393</v>
      </c>
      <c r="D203" s="111">
        <f>(14.71)*(10.764)</f>
        <v>158.33843999999999</v>
      </c>
      <c r="E203" s="106">
        <v>0</v>
      </c>
      <c r="F203" s="106">
        <f t="shared" si="6"/>
        <v>158.33843999999999</v>
      </c>
      <c r="G203" s="106">
        <v>0</v>
      </c>
      <c r="H203" s="106">
        <f t="shared" si="7"/>
        <v>237.50765999999999</v>
      </c>
      <c r="I203" s="36"/>
      <c r="L203" s="246"/>
      <c r="M203" s="246"/>
      <c r="N203" s="36"/>
      <c r="T203" s="34"/>
    </row>
    <row r="204" spans="1:20" s="105" customFormat="1" ht="15.75" customHeight="1" x14ac:dyDescent="0.25">
      <c r="A204" s="131">
        <v>7</v>
      </c>
      <c r="B204" s="132"/>
      <c r="C204" s="106" t="s">
        <v>393</v>
      </c>
      <c r="D204" s="111">
        <f>(13.65)*(10.764)</f>
        <v>146.92859999999999</v>
      </c>
      <c r="E204" s="106">
        <v>0</v>
      </c>
      <c r="F204" s="106">
        <f t="shared" si="6"/>
        <v>146.92859999999999</v>
      </c>
      <c r="G204" s="106">
        <v>0</v>
      </c>
      <c r="H204" s="106">
        <f t="shared" si="7"/>
        <v>220.3929</v>
      </c>
      <c r="I204" s="36"/>
      <c r="L204" s="246"/>
      <c r="M204" s="246"/>
      <c r="N204" s="36"/>
      <c r="T204" s="21"/>
    </row>
    <row r="205" spans="1:20" s="105" customFormat="1" ht="15.75" customHeight="1" x14ac:dyDescent="0.25">
      <c r="A205" s="131">
        <v>8</v>
      </c>
      <c r="B205" s="132"/>
      <c r="C205" s="106" t="s">
        <v>393</v>
      </c>
      <c r="D205" s="111">
        <f>(33.65)*(10.764)</f>
        <v>362.20859999999999</v>
      </c>
      <c r="E205" s="106">
        <v>0</v>
      </c>
      <c r="F205" s="106">
        <f t="shared" si="6"/>
        <v>362.20859999999999</v>
      </c>
      <c r="G205" s="106">
        <v>0</v>
      </c>
      <c r="H205" s="106">
        <f t="shared" si="7"/>
        <v>543.31290000000001</v>
      </c>
      <c r="I205" s="36"/>
      <c r="L205" s="246"/>
      <c r="M205" s="246"/>
      <c r="N205" s="36"/>
      <c r="T205" s="21"/>
    </row>
    <row r="206" spans="1:20" s="105" customFormat="1" ht="15.75" customHeight="1" x14ac:dyDescent="0.25">
      <c r="A206" s="131">
        <v>9</v>
      </c>
      <c r="B206" s="132"/>
      <c r="C206" s="106" t="s">
        <v>393</v>
      </c>
      <c r="D206" s="111">
        <f>(30.32)*(10.764)</f>
        <v>326.36447999999996</v>
      </c>
      <c r="E206" s="106">
        <v>0</v>
      </c>
      <c r="F206" s="106">
        <f t="shared" si="6"/>
        <v>326.36447999999996</v>
      </c>
      <c r="G206" s="63">
        <v>0</v>
      </c>
      <c r="H206" s="106">
        <f t="shared" si="7"/>
        <v>489.54671999999994</v>
      </c>
      <c r="I206" s="36"/>
      <c r="L206" s="246"/>
      <c r="M206" s="246"/>
      <c r="N206" s="36"/>
      <c r="T206" s="35"/>
    </row>
    <row r="207" spans="1:20" s="105" customFormat="1" ht="15.75" customHeight="1" x14ac:dyDescent="0.25">
      <c r="A207" s="131">
        <v>10</v>
      </c>
      <c r="B207" s="132"/>
      <c r="C207" s="106" t="s">
        <v>393</v>
      </c>
      <c r="D207" s="111">
        <f>(32.02)*(10.764)</f>
        <v>344.66327999999999</v>
      </c>
      <c r="E207" s="106">
        <v>0</v>
      </c>
      <c r="F207" s="106">
        <f t="shared" si="6"/>
        <v>344.66327999999999</v>
      </c>
      <c r="G207" s="106">
        <v>0</v>
      </c>
      <c r="H207" s="106">
        <f t="shared" si="7"/>
        <v>516.99491999999998</v>
      </c>
      <c r="I207" s="36"/>
      <c r="L207" s="246"/>
      <c r="M207" s="246"/>
      <c r="N207" s="36"/>
      <c r="T207" s="34"/>
    </row>
    <row r="208" spans="1:20" s="105" customFormat="1" ht="15.75" customHeight="1" x14ac:dyDescent="0.25">
      <c r="A208" s="131">
        <v>11</v>
      </c>
      <c r="B208" s="132"/>
      <c r="C208" s="106" t="s">
        <v>393</v>
      </c>
      <c r="D208" s="111">
        <f>(25.11)*(10.764)</f>
        <v>270.28404</v>
      </c>
      <c r="E208" s="106">
        <v>0</v>
      </c>
      <c r="F208" s="106">
        <f t="shared" si="6"/>
        <v>270.28404</v>
      </c>
      <c r="G208" s="106">
        <v>0</v>
      </c>
      <c r="H208" s="106">
        <f t="shared" si="7"/>
        <v>405.42606000000001</v>
      </c>
      <c r="I208" s="36"/>
      <c r="L208" s="246"/>
      <c r="M208" s="246"/>
      <c r="N208" s="36"/>
      <c r="T208" s="21"/>
    </row>
    <row r="209" spans="1:20" s="105" customFormat="1" ht="15.75" customHeight="1" x14ac:dyDescent="0.25">
      <c r="A209" s="131">
        <v>12</v>
      </c>
      <c r="B209" s="132"/>
      <c r="C209" s="106" t="s">
        <v>393</v>
      </c>
      <c r="D209" s="111">
        <f>(23.76)*(10.764)</f>
        <v>255.75264000000001</v>
      </c>
      <c r="E209" s="106">
        <v>0</v>
      </c>
      <c r="F209" s="106">
        <f t="shared" si="6"/>
        <v>255.75264000000001</v>
      </c>
      <c r="G209" s="106">
        <v>0</v>
      </c>
      <c r="H209" s="106">
        <f t="shared" si="7"/>
        <v>383.62896000000001</v>
      </c>
      <c r="I209" s="36"/>
      <c r="L209" s="246"/>
      <c r="M209" s="246"/>
      <c r="N209" s="36"/>
      <c r="T209" s="21"/>
    </row>
    <row r="210" spans="1:20" s="105" customFormat="1" ht="15.75" customHeight="1" x14ac:dyDescent="0.25">
      <c r="A210" s="131">
        <v>13</v>
      </c>
      <c r="B210" s="132"/>
      <c r="C210" s="106" t="s">
        <v>393</v>
      </c>
      <c r="D210" s="111">
        <f>(22.56)*(10.764)</f>
        <v>242.83583999999996</v>
      </c>
      <c r="E210" s="106">
        <v>0</v>
      </c>
      <c r="F210" s="106">
        <f t="shared" si="6"/>
        <v>242.83583999999996</v>
      </c>
      <c r="G210" s="63">
        <v>0</v>
      </c>
      <c r="H210" s="106">
        <f t="shared" si="7"/>
        <v>364.25375999999994</v>
      </c>
      <c r="I210" s="36"/>
      <c r="L210" s="246"/>
      <c r="M210" s="246"/>
      <c r="N210" s="36"/>
      <c r="T210" s="35"/>
    </row>
    <row r="211" spans="1:20" s="105" customFormat="1" ht="15.75" customHeight="1" x14ac:dyDescent="0.25">
      <c r="A211" s="131">
        <v>14</v>
      </c>
      <c r="B211" s="132"/>
      <c r="C211" s="106" t="s">
        <v>393</v>
      </c>
      <c r="D211" s="111">
        <f>(11.31)*(10.764)</f>
        <v>121.74083999999999</v>
      </c>
      <c r="E211" s="106">
        <v>0</v>
      </c>
      <c r="F211" s="106">
        <f t="shared" si="6"/>
        <v>121.74083999999999</v>
      </c>
      <c r="G211" s="106">
        <v>0</v>
      </c>
      <c r="H211" s="106">
        <f t="shared" si="7"/>
        <v>182.61125999999999</v>
      </c>
      <c r="I211" s="36"/>
      <c r="L211" s="246"/>
      <c r="M211" s="246"/>
      <c r="N211" s="36"/>
      <c r="T211" s="34"/>
    </row>
    <row r="212" spans="1:20" s="105" customFormat="1" ht="15.75" customHeight="1" x14ac:dyDescent="0.25">
      <c r="A212" s="131">
        <v>15</v>
      </c>
      <c r="B212" s="132"/>
      <c r="C212" s="106" t="s">
        <v>393</v>
      </c>
      <c r="D212" s="111">
        <f>(7.45)*(10.764)</f>
        <v>80.191800000000001</v>
      </c>
      <c r="E212" s="106">
        <v>0</v>
      </c>
      <c r="F212" s="106">
        <f t="shared" si="6"/>
        <v>80.191800000000001</v>
      </c>
      <c r="G212" s="106">
        <v>0</v>
      </c>
      <c r="H212" s="106">
        <f t="shared" si="7"/>
        <v>120.2877</v>
      </c>
      <c r="I212" s="36"/>
      <c r="L212" s="246"/>
      <c r="M212" s="246"/>
      <c r="N212" s="36"/>
      <c r="T212" s="21"/>
    </row>
    <row r="213" spans="1:20" s="105" customFormat="1" ht="15.75" customHeight="1" x14ac:dyDescent="0.25">
      <c r="A213" s="131">
        <v>16</v>
      </c>
      <c r="B213" s="132"/>
      <c r="C213" s="106" t="s">
        <v>393</v>
      </c>
      <c r="D213" s="111">
        <f>(9.75)*(10.764)</f>
        <v>104.949</v>
      </c>
      <c r="E213" s="106">
        <v>0</v>
      </c>
      <c r="F213" s="106">
        <f t="shared" si="6"/>
        <v>104.949</v>
      </c>
      <c r="G213" s="106">
        <v>0</v>
      </c>
      <c r="H213" s="106">
        <f t="shared" si="7"/>
        <v>157.42349999999999</v>
      </c>
      <c r="I213" s="36"/>
      <c r="L213" s="246"/>
      <c r="M213" s="246"/>
      <c r="N213" s="36"/>
      <c r="T213" s="21"/>
    </row>
    <row r="214" spans="1:20" s="105" customFormat="1" ht="15.75" customHeight="1" x14ac:dyDescent="0.25">
      <c r="A214" s="131">
        <v>17</v>
      </c>
      <c r="B214" s="132"/>
      <c r="C214" s="106" t="s">
        <v>393</v>
      </c>
      <c r="D214" s="111">
        <f>(20.18)*(10.764)</f>
        <v>217.21751999999998</v>
      </c>
      <c r="E214" s="106">
        <v>0</v>
      </c>
      <c r="F214" s="106">
        <f t="shared" si="6"/>
        <v>217.21751999999998</v>
      </c>
      <c r="G214" s="63">
        <v>0</v>
      </c>
      <c r="H214" s="106">
        <f t="shared" si="7"/>
        <v>325.82628</v>
      </c>
      <c r="I214" s="36"/>
      <c r="L214" s="246"/>
      <c r="M214" s="246"/>
      <c r="N214" s="36"/>
      <c r="T214" s="35"/>
    </row>
    <row r="215" spans="1:20" s="105" customFormat="1" ht="15.75" customHeight="1" x14ac:dyDescent="0.25">
      <c r="A215" s="131">
        <v>18</v>
      </c>
      <c r="B215" s="132"/>
      <c r="C215" s="106" t="s">
        <v>393</v>
      </c>
      <c r="D215" s="111">
        <f>(24.43)*(10.764)</f>
        <v>262.96451999999999</v>
      </c>
      <c r="E215" s="106">
        <v>0</v>
      </c>
      <c r="F215" s="106">
        <f t="shared" si="6"/>
        <v>262.96451999999999</v>
      </c>
      <c r="G215" s="106">
        <v>0</v>
      </c>
      <c r="H215" s="106">
        <f t="shared" si="7"/>
        <v>394.44677999999999</v>
      </c>
      <c r="I215" s="36"/>
      <c r="L215" s="246"/>
      <c r="M215" s="246"/>
      <c r="N215" s="36"/>
      <c r="T215" s="34"/>
    </row>
    <row r="216" spans="1:20" s="105" customFormat="1" ht="15.75" customHeight="1" x14ac:dyDescent="0.25">
      <c r="A216" s="131">
        <v>19</v>
      </c>
      <c r="B216" s="132"/>
      <c r="C216" s="106" t="s">
        <v>393</v>
      </c>
      <c r="D216" s="111">
        <f>(25.63)*(10.764)</f>
        <v>275.88131999999996</v>
      </c>
      <c r="E216" s="106">
        <v>0</v>
      </c>
      <c r="F216" s="106">
        <f t="shared" si="6"/>
        <v>275.88131999999996</v>
      </c>
      <c r="G216" s="106">
        <v>0</v>
      </c>
      <c r="H216" s="106">
        <f t="shared" si="7"/>
        <v>413.82197999999994</v>
      </c>
      <c r="I216" s="36"/>
      <c r="L216" s="246"/>
      <c r="M216" s="246"/>
      <c r="N216" s="36"/>
      <c r="T216" s="21"/>
    </row>
    <row r="217" spans="1:20" s="105" customFormat="1" ht="15.75" customHeight="1" x14ac:dyDescent="0.25">
      <c r="A217" s="131">
        <v>20</v>
      </c>
      <c r="B217" s="132"/>
      <c r="C217" s="106" t="s">
        <v>393</v>
      </c>
      <c r="D217" s="111">
        <f>(29.07)*(10.764)</f>
        <v>312.90947999999997</v>
      </c>
      <c r="E217" s="106">
        <v>0</v>
      </c>
      <c r="F217" s="106">
        <f t="shared" si="6"/>
        <v>312.90947999999997</v>
      </c>
      <c r="G217" s="106">
        <v>0</v>
      </c>
      <c r="H217" s="106">
        <f t="shared" si="7"/>
        <v>469.36421999999993</v>
      </c>
      <c r="I217" s="36"/>
      <c r="L217" s="246"/>
      <c r="M217" s="246"/>
      <c r="N217" s="36"/>
      <c r="T217" s="21"/>
    </row>
    <row r="218" spans="1:20" s="105" customFormat="1" ht="15.75" customHeight="1" x14ac:dyDescent="0.25">
      <c r="A218" s="131">
        <v>21</v>
      </c>
      <c r="B218" s="132"/>
      <c r="C218" s="106" t="s">
        <v>393</v>
      </c>
      <c r="D218" s="111">
        <f>(21.72)*(10.764)</f>
        <v>233.79407999999998</v>
      </c>
      <c r="E218" s="106">
        <v>0</v>
      </c>
      <c r="F218" s="106">
        <f t="shared" si="6"/>
        <v>233.79407999999998</v>
      </c>
      <c r="G218" s="63">
        <v>0</v>
      </c>
      <c r="H218" s="106">
        <f t="shared" si="7"/>
        <v>350.69111999999996</v>
      </c>
      <c r="I218" s="36"/>
      <c r="L218" s="246"/>
      <c r="M218" s="246"/>
      <c r="N218" s="36"/>
      <c r="T218" s="35"/>
    </row>
    <row r="219" spans="1:20" s="105" customFormat="1" ht="15.75" customHeight="1" x14ac:dyDescent="0.25">
      <c r="A219" s="131">
        <v>22</v>
      </c>
      <c r="B219" s="132"/>
      <c r="C219" s="106" t="s">
        <v>393</v>
      </c>
      <c r="D219" s="111">
        <f>(16.49)*(10.764)</f>
        <v>177.49835999999996</v>
      </c>
      <c r="E219" s="106">
        <v>0</v>
      </c>
      <c r="F219" s="106">
        <f t="shared" si="6"/>
        <v>177.49835999999996</v>
      </c>
      <c r="G219" s="106">
        <v>0</v>
      </c>
      <c r="H219" s="106">
        <f t="shared" si="7"/>
        <v>266.24753999999996</v>
      </c>
      <c r="I219" s="36"/>
      <c r="L219" s="246"/>
      <c r="M219" s="246"/>
      <c r="N219" s="36"/>
      <c r="T219" s="34"/>
    </row>
    <row r="220" spans="1:20" s="105" customFormat="1" ht="15.75" customHeight="1" x14ac:dyDescent="0.25">
      <c r="A220" s="131">
        <v>23</v>
      </c>
      <c r="B220" s="132"/>
      <c r="C220" s="106" t="s">
        <v>393</v>
      </c>
      <c r="D220" s="111">
        <f>(19.58)*(10.764)</f>
        <v>210.75911999999997</v>
      </c>
      <c r="E220" s="106">
        <v>0</v>
      </c>
      <c r="F220" s="106">
        <f t="shared" si="6"/>
        <v>210.75911999999997</v>
      </c>
      <c r="G220" s="106">
        <v>0</v>
      </c>
      <c r="H220" s="106">
        <f t="shared" si="7"/>
        <v>316.13867999999997</v>
      </c>
      <c r="I220" s="36"/>
      <c r="L220" s="246"/>
      <c r="M220" s="246"/>
      <c r="N220" s="36"/>
      <c r="T220" s="21"/>
    </row>
    <row r="221" spans="1:20" s="105" customFormat="1" ht="15.75" customHeight="1" x14ac:dyDescent="0.25">
      <c r="A221" s="131">
        <v>24</v>
      </c>
      <c r="B221" s="132"/>
      <c r="C221" s="106" t="s">
        <v>393</v>
      </c>
      <c r="D221" s="111">
        <f>(16.49)*(10.764)</f>
        <v>177.49835999999996</v>
      </c>
      <c r="E221" s="106">
        <v>0</v>
      </c>
      <c r="F221" s="106">
        <f t="shared" si="6"/>
        <v>177.49835999999996</v>
      </c>
      <c r="G221" s="106">
        <v>0</v>
      </c>
      <c r="H221" s="106">
        <f t="shared" si="7"/>
        <v>266.24753999999996</v>
      </c>
      <c r="I221" s="36"/>
      <c r="L221" s="246"/>
      <c r="M221" s="246"/>
      <c r="N221" s="36"/>
      <c r="T221" s="21"/>
    </row>
    <row r="222" spans="1:20" s="105" customFormat="1" ht="15.75" customHeight="1" x14ac:dyDescent="0.25">
      <c r="A222" s="131">
        <v>25</v>
      </c>
      <c r="B222" s="132"/>
      <c r="C222" s="106" t="s">
        <v>393</v>
      </c>
      <c r="D222" s="111">
        <f>(20.92)*(10.764)</f>
        <v>225.18288000000001</v>
      </c>
      <c r="E222" s="106">
        <v>0</v>
      </c>
      <c r="F222" s="106">
        <f t="shared" si="6"/>
        <v>225.18288000000001</v>
      </c>
      <c r="G222" s="63">
        <v>0</v>
      </c>
      <c r="H222" s="106">
        <f t="shared" si="7"/>
        <v>337.77431999999999</v>
      </c>
      <c r="I222" s="36"/>
      <c r="L222" s="246"/>
      <c r="M222" s="246"/>
      <c r="N222" s="36"/>
      <c r="T222" s="35"/>
    </row>
    <row r="223" spans="1:20" s="105" customFormat="1" ht="15.75" customHeight="1" x14ac:dyDescent="0.25">
      <c r="A223" s="131">
        <v>26</v>
      </c>
      <c r="B223" s="132"/>
      <c r="C223" s="106" t="s">
        <v>393</v>
      </c>
      <c r="D223" s="111">
        <f>(55.54)*(10.764)</f>
        <v>597.83255999999994</v>
      </c>
      <c r="E223" s="106">
        <v>0</v>
      </c>
      <c r="F223" s="106">
        <f t="shared" si="6"/>
        <v>597.83255999999994</v>
      </c>
      <c r="G223" s="106">
        <v>0</v>
      </c>
      <c r="H223" s="106">
        <f t="shared" si="7"/>
        <v>896.74883999999997</v>
      </c>
      <c r="I223" s="36"/>
      <c r="L223" s="246"/>
      <c r="M223" s="246"/>
      <c r="N223" s="36"/>
      <c r="T223" s="34"/>
    </row>
    <row r="224" spans="1:20" s="105" customFormat="1" ht="15.75" customHeight="1" x14ac:dyDescent="0.25">
      <c r="A224" s="131">
        <v>27</v>
      </c>
      <c r="B224" s="132"/>
      <c r="C224" s="106" t="s">
        <v>393</v>
      </c>
      <c r="D224" s="111">
        <f>(46.48)*(10.764)</f>
        <v>500.31071999999995</v>
      </c>
      <c r="E224" s="106">
        <v>0</v>
      </c>
      <c r="F224" s="106">
        <f t="shared" si="6"/>
        <v>500.31071999999995</v>
      </c>
      <c r="G224" s="106">
        <v>0</v>
      </c>
      <c r="H224" s="106">
        <f t="shared" si="7"/>
        <v>750.46607999999992</v>
      </c>
      <c r="I224" s="36"/>
      <c r="L224" s="246"/>
      <c r="M224" s="246"/>
      <c r="N224" s="36"/>
      <c r="T224" s="21"/>
    </row>
    <row r="225" spans="1:20" s="105" customFormat="1" ht="15.75" customHeight="1" x14ac:dyDescent="0.25">
      <c r="A225" s="131">
        <v>28</v>
      </c>
      <c r="B225" s="132"/>
      <c r="C225" s="106" t="s">
        <v>393</v>
      </c>
      <c r="D225" s="111">
        <f>(30.23)*(10.764)</f>
        <v>325.39571999999998</v>
      </c>
      <c r="E225" s="106">
        <v>0</v>
      </c>
      <c r="F225" s="106">
        <f t="shared" si="6"/>
        <v>325.39571999999998</v>
      </c>
      <c r="G225" s="106">
        <v>0</v>
      </c>
      <c r="H225" s="106">
        <f t="shared" si="7"/>
        <v>488.09357999999997</v>
      </c>
      <c r="I225" s="36"/>
      <c r="L225" s="246"/>
      <c r="M225" s="246"/>
      <c r="N225" s="36"/>
      <c r="T225" s="21"/>
    </row>
    <row r="226" spans="1:20" s="105" customFormat="1" ht="15.75" customHeight="1" x14ac:dyDescent="0.25">
      <c r="A226" s="131">
        <v>29</v>
      </c>
      <c r="B226" s="132"/>
      <c r="C226" s="106" t="s">
        <v>393</v>
      </c>
      <c r="D226" s="111">
        <f>(19.39)*(10.764)</f>
        <v>208.71395999999999</v>
      </c>
      <c r="E226" s="106">
        <v>0</v>
      </c>
      <c r="F226" s="106">
        <f t="shared" si="6"/>
        <v>208.71395999999999</v>
      </c>
      <c r="G226" s="63">
        <v>0</v>
      </c>
      <c r="H226" s="106">
        <f t="shared" si="7"/>
        <v>313.07093999999995</v>
      </c>
      <c r="I226" s="36"/>
      <c r="L226" s="246"/>
      <c r="M226" s="246"/>
      <c r="N226" s="36"/>
      <c r="T226" s="35"/>
    </row>
    <row r="227" spans="1:20" s="105" customFormat="1" ht="15.75" customHeight="1" x14ac:dyDescent="0.25">
      <c r="A227" s="131">
        <v>30</v>
      </c>
      <c r="B227" s="132"/>
      <c r="C227" s="106" t="s">
        <v>393</v>
      </c>
      <c r="D227" s="111">
        <f>(19.03)*(10.764)</f>
        <v>204.83892</v>
      </c>
      <c r="E227" s="106">
        <v>0</v>
      </c>
      <c r="F227" s="106">
        <f t="shared" si="6"/>
        <v>204.83892</v>
      </c>
      <c r="G227" s="106">
        <v>0</v>
      </c>
      <c r="H227" s="106">
        <f t="shared" si="7"/>
        <v>307.25837999999999</v>
      </c>
      <c r="I227" s="36"/>
      <c r="L227" s="246"/>
      <c r="M227" s="246"/>
      <c r="N227" s="36"/>
      <c r="T227" s="34"/>
    </row>
    <row r="228" spans="1:20" s="105" customFormat="1" ht="15.75" customHeight="1" x14ac:dyDescent="0.25">
      <c r="A228" s="131">
        <v>31</v>
      </c>
      <c r="B228" s="132"/>
      <c r="C228" s="106" t="s">
        <v>393</v>
      </c>
      <c r="D228" s="111">
        <f>(18.64)*(10.764)</f>
        <v>200.64096000000001</v>
      </c>
      <c r="E228" s="106">
        <v>0</v>
      </c>
      <c r="F228" s="106">
        <f t="shared" si="6"/>
        <v>200.64096000000001</v>
      </c>
      <c r="G228" s="106">
        <v>0</v>
      </c>
      <c r="H228" s="106">
        <f t="shared" si="7"/>
        <v>300.96144000000004</v>
      </c>
      <c r="I228" s="36"/>
      <c r="L228" s="246"/>
      <c r="M228" s="246"/>
      <c r="N228" s="36"/>
      <c r="T228" s="21"/>
    </row>
    <row r="229" spans="1:20" s="105" customFormat="1" ht="15.75" customHeight="1" x14ac:dyDescent="0.25">
      <c r="A229" s="131">
        <v>32</v>
      </c>
      <c r="B229" s="132"/>
      <c r="C229" s="106" t="s">
        <v>393</v>
      </c>
      <c r="D229" s="111">
        <f>(17.8)*(10.764)</f>
        <v>191.5992</v>
      </c>
      <c r="E229" s="106">
        <v>0</v>
      </c>
      <c r="F229" s="106">
        <f t="shared" si="6"/>
        <v>191.5992</v>
      </c>
      <c r="G229" s="106">
        <v>0</v>
      </c>
      <c r="H229" s="106">
        <f t="shared" si="7"/>
        <v>287.39879999999999</v>
      </c>
      <c r="I229" s="36"/>
      <c r="L229" s="246"/>
      <c r="M229" s="246"/>
      <c r="N229" s="36"/>
      <c r="T229" s="21"/>
    </row>
    <row r="230" spans="1:20" s="105" customFormat="1" ht="15.75" customHeight="1" x14ac:dyDescent="0.25">
      <c r="A230" s="131">
        <v>33</v>
      </c>
      <c r="B230" s="132"/>
      <c r="C230" s="106" t="s">
        <v>393</v>
      </c>
      <c r="D230" s="111">
        <f>18.64*(10.764)</f>
        <v>200.64096000000001</v>
      </c>
      <c r="E230" s="106">
        <v>0</v>
      </c>
      <c r="F230" s="106">
        <f t="shared" si="6"/>
        <v>200.64096000000001</v>
      </c>
      <c r="G230" s="106">
        <v>0</v>
      </c>
      <c r="H230" s="106">
        <f t="shared" si="7"/>
        <v>300.96144000000004</v>
      </c>
      <c r="I230" s="36"/>
      <c r="L230" s="246"/>
      <c r="M230" s="246"/>
      <c r="N230" s="36"/>
      <c r="T230" s="21"/>
    </row>
    <row r="231" spans="1:20" s="105" customFormat="1" ht="15.75" customHeight="1" x14ac:dyDescent="0.25">
      <c r="A231" s="131">
        <v>34</v>
      </c>
      <c r="B231" s="132"/>
      <c r="C231" s="106" t="s">
        <v>393</v>
      </c>
      <c r="D231" s="111">
        <f>(19.88)*(10.764)</f>
        <v>213.98831999999999</v>
      </c>
      <c r="E231" s="106">
        <v>0</v>
      </c>
      <c r="F231" s="106">
        <f t="shared" si="6"/>
        <v>213.98831999999999</v>
      </c>
      <c r="G231" s="106">
        <v>0</v>
      </c>
      <c r="H231" s="106">
        <f t="shared" si="7"/>
        <v>320.98248000000001</v>
      </c>
      <c r="I231" s="36"/>
      <c r="L231" s="246"/>
      <c r="M231" s="246"/>
      <c r="N231" s="36"/>
      <c r="T231" s="21"/>
    </row>
    <row r="232" spans="1:20" s="105" customFormat="1" ht="15.75" customHeight="1" x14ac:dyDescent="0.25">
      <c r="A232" s="131">
        <v>35</v>
      </c>
      <c r="B232" s="132"/>
      <c r="C232" s="106" t="s">
        <v>393</v>
      </c>
      <c r="D232" s="111">
        <f>(16.43)*(10.764)</f>
        <v>176.85252</v>
      </c>
      <c r="E232" s="106">
        <v>0</v>
      </c>
      <c r="F232" s="106">
        <f t="shared" si="6"/>
        <v>176.85252</v>
      </c>
      <c r="G232" s="63">
        <v>0</v>
      </c>
      <c r="H232" s="106">
        <f t="shared" si="7"/>
        <v>265.27877999999998</v>
      </c>
      <c r="I232" s="36"/>
      <c r="L232" s="246"/>
      <c r="M232" s="246"/>
      <c r="N232" s="36"/>
      <c r="T232" s="35"/>
    </row>
    <row r="233" spans="1:20" s="105" customFormat="1" ht="15.75" customHeight="1" x14ac:dyDescent="0.25">
      <c r="A233" s="131">
        <v>36</v>
      </c>
      <c r="B233" s="132"/>
      <c r="C233" s="106" t="s">
        <v>393</v>
      </c>
      <c r="D233" s="111">
        <f>(20.23)*(10.764)</f>
        <v>217.75572</v>
      </c>
      <c r="E233" s="106">
        <v>0</v>
      </c>
      <c r="F233" s="106">
        <f t="shared" si="6"/>
        <v>217.75572</v>
      </c>
      <c r="G233" s="106">
        <v>0</v>
      </c>
      <c r="H233" s="106">
        <f t="shared" si="7"/>
        <v>326.63357999999999</v>
      </c>
      <c r="I233" s="36"/>
      <c r="L233" s="246"/>
      <c r="M233" s="246"/>
      <c r="N233" s="36"/>
      <c r="T233" s="34"/>
    </row>
    <row r="234" spans="1:20" s="105" customFormat="1" ht="15.75" customHeight="1" x14ac:dyDescent="0.25">
      <c r="A234" s="131">
        <v>37</v>
      </c>
      <c r="B234" s="132"/>
      <c r="C234" s="106" t="s">
        <v>393</v>
      </c>
      <c r="D234" s="111">
        <f>(17.26)*(10.764)</f>
        <v>185.78664000000001</v>
      </c>
      <c r="E234" s="106">
        <v>0</v>
      </c>
      <c r="F234" s="106">
        <f t="shared" si="6"/>
        <v>185.78664000000001</v>
      </c>
      <c r="G234" s="106">
        <v>0</v>
      </c>
      <c r="H234" s="106">
        <f t="shared" si="7"/>
        <v>278.67995999999999</v>
      </c>
      <c r="I234" s="36"/>
      <c r="L234" s="246"/>
      <c r="M234" s="246"/>
      <c r="N234" s="36"/>
      <c r="T234" s="21"/>
    </row>
    <row r="235" spans="1:20" s="105" customFormat="1" ht="15.75" customHeight="1" x14ac:dyDescent="0.25">
      <c r="A235" s="131">
        <v>38</v>
      </c>
      <c r="B235" s="132"/>
      <c r="C235" s="106" t="s">
        <v>393</v>
      </c>
      <c r="D235" s="111">
        <f>(17.26)*(10.764)</f>
        <v>185.78664000000001</v>
      </c>
      <c r="E235" s="106">
        <v>0</v>
      </c>
      <c r="F235" s="106">
        <f t="shared" si="6"/>
        <v>185.78664000000001</v>
      </c>
      <c r="G235" s="106">
        <v>0</v>
      </c>
      <c r="H235" s="106">
        <f t="shared" si="7"/>
        <v>278.67995999999999</v>
      </c>
      <c r="I235" s="36"/>
      <c r="L235" s="246"/>
      <c r="M235" s="246"/>
      <c r="N235" s="36"/>
      <c r="T235" s="21"/>
    </row>
    <row r="236" spans="1:20" s="105" customFormat="1" ht="15.75" customHeight="1" x14ac:dyDescent="0.25">
      <c r="A236" s="131">
        <v>39</v>
      </c>
      <c r="B236" s="132"/>
      <c r="C236" s="106" t="s">
        <v>393</v>
      </c>
      <c r="D236" s="111">
        <f>(18.41)*(10.764)</f>
        <v>198.16523999999998</v>
      </c>
      <c r="E236" s="106">
        <v>0</v>
      </c>
      <c r="F236" s="106">
        <f t="shared" si="6"/>
        <v>198.16523999999998</v>
      </c>
      <c r="G236" s="63">
        <v>0</v>
      </c>
      <c r="H236" s="106">
        <f t="shared" si="7"/>
        <v>297.24785999999995</v>
      </c>
      <c r="I236" s="36"/>
      <c r="L236" s="246"/>
      <c r="M236" s="246"/>
      <c r="N236" s="36"/>
      <c r="T236" s="35"/>
    </row>
    <row r="237" spans="1:20" s="105" customFormat="1" ht="15.75" customHeight="1" x14ac:dyDescent="0.25">
      <c r="A237" s="131">
        <v>40</v>
      </c>
      <c r="B237" s="132"/>
      <c r="C237" s="106" t="s">
        <v>393</v>
      </c>
      <c r="D237" s="111">
        <f>(18.78)*(10.764)</f>
        <v>202.14792</v>
      </c>
      <c r="E237" s="106">
        <v>0</v>
      </c>
      <c r="F237" s="106">
        <f t="shared" si="6"/>
        <v>202.14792</v>
      </c>
      <c r="G237" s="106">
        <v>0</v>
      </c>
      <c r="H237" s="106">
        <f t="shared" si="7"/>
        <v>303.22188</v>
      </c>
      <c r="I237" s="36"/>
      <c r="L237" s="246"/>
      <c r="M237" s="246"/>
      <c r="N237" s="36"/>
      <c r="T237" s="34"/>
    </row>
    <row r="238" spans="1:20" s="105" customFormat="1" ht="15.75" customHeight="1" x14ac:dyDescent="0.25">
      <c r="A238" s="131">
        <v>41</v>
      </c>
      <c r="B238" s="132"/>
      <c r="C238" s="106" t="s">
        <v>393</v>
      </c>
      <c r="D238" s="111">
        <f>(18.62)*(10.764)</f>
        <v>200.42568</v>
      </c>
      <c r="E238" s="106">
        <v>0</v>
      </c>
      <c r="F238" s="106">
        <f t="shared" si="6"/>
        <v>200.42568</v>
      </c>
      <c r="G238" s="106">
        <v>0</v>
      </c>
      <c r="H238" s="106">
        <f t="shared" si="7"/>
        <v>300.63851999999997</v>
      </c>
      <c r="I238" s="36"/>
      <c r="L238" s="246"/>
      <c r="M238" s="246"/>
      <c r="N238" s="36"/>
      <c r="T238" s="21"/>
    </row>
    <row r="239" spans="1:20" s="105" customFormat="1" ht="15.75" customHeight="1" x14ac:dyDescent="0.25">
      <c r="A239" s="131">
        <v>42</v>
      </c>
      <c r="B239" s="132"/>
      <c r="C239" s="106" t="s">
        <v>393</v>
      </c>
      <c r="D239" s="111">
        <f>(18.24)*(10.764)</f>
        <v>196.33535999999998</v>
      </c>
      <c r="E239" s="106">
        <v>0</v>
      </c>
      <c r="F239" s="106">
        <f t="shared" si="6"/>
        <v>196.33535999999998</v>
      </c>
      <c r="G239" s="106">
        <v>0</v>
      </c>
      <c r="H239" s="106">
        <f t="shared" si="7"/>
        <v>294.50303999999994</v>
      </c>
      <c r="I239" s="36"/>
      <c r="L239" s="246"/>
      <c r="M239" s="246"/>
      <c r="N239" s="36"/>
      <c r="T239" s="21"/>
    </row>
    <row r="240" spans="1:20" s="105" customFormat="1" ht="15.75" customHeight="1" x14ac:dyDescent="0.25">
      <c r="A240" s="131">
        <v>43</v>
      </c>
      <c r="B240" s="132"/>
      <c r="C240" s="106" t="s">
        <v>393</v>
      </c>
      <c r="D240" s="111">
        <f>(17.09)*(10.764)</f>
        <v>183.95675999999997</v>
      </c>
      <c r="E240" s="106">
        <v>0</v>
      </c>
      <c r="F240" s="106">
        <f t="shared" si="6"/>
        <v>183.95675999999997</v>
      </c>
      <c r="G240" s="63">
        <v>0</v>
      </c>
      <c r="H240" s="106">
        <f t="shared" si="7"/>
        <v>275.93513999999993</v>
      </c>
      <c r="I240" s="36"/>
      <c r="L240" s="246"/>
      <c r="M240" s="246"/>
      <c r="N240" s="36"/>
      <c r="T240" s="35"/>
    </row>
    <row r="241" spans="1:20" s="105" customFormat="1" ht="15.75" customHeight="1" x14ac:dyDescent="0.25">
      <c r="A241" s="131">
        <v>44</v>
      </c>
      <c r="B241" s="132"/>
      <c r="C241" s="106" t="s">
        <v>393</v>
      </c>
      <c r="D241" s="111">
        <f>(17.09)*(10.764)</f>
        <v>183.95675999999997</v>
      </c>
      <c r="E241" s="106">
        <v>0</v>
      </c>
      <c r="F241" s="106">
        <f t="shared" si="6"/>
        <v>183.95675999999997</v>
      </c>
      <c r="G241" s="106">
        <v>0</v>
      </c>
      <c r="H241" s="106">
        <f t="shared" si="7"/>
        <v>275.93513999999993</v>
      </c>
      <c r="I241" s="36"/>
      <c r="L241" s="246"/>
      <c r="M241" s="246"/>
      <c r="N241" s="36"/>
      <c r="T241" s="34"/>
    </row>
    <row r="242" spans="1:20" s="105" customFormat="1" ht="15.75" customHeight="1" x14ac:dyDescent="0.25">
      <c r="A242" s="131">
        <v>45</v>
      </c>
      <c r="B242" s="132"/>
      <c r="C242" s="106" t="s">
        <v>393</v>
      </c>
      <c r="D242" s="111">
        <f>(20.06)*(10.764)</f>
        <v>215.92583999999997</v>
      </c>
      <c r="E242" s="106">
        <v>0</v>
      </c>
      <c r="F242" s="106">
        <f t="shared" si="6"/>
        <v>215.92583999999997</v>
      </c>
      <c r="G242" s="106">
        <v>0</v>
      </c>
      <c r="H242" s="106">
        <f t="shared" si="7"/>
        <v>323.88875999999993</v>
      </c>
      <c r="I242" s="36"/>
      <c r="L242" s="246"/>
      <c r="M242" s="246"/>
      <c r="N242" s="36"/>
      <c r="T242" s="21"/>
    </row>
    <row r="243" spans="1:20" s="105" customFormat="1" ht="15.75" customHeight="1" x14ac:dyDescent="0.25">
      <c r="A243" s="131">
        <v>46</v>
      </c>
      <c r="B243" s="132"/>
      <c r="C243" s="106" t="s">
        <v>393</v>
      </c>
      <c r="D243" s="111">
        <f>(16.76)*(10.764)</f>
        <v>180.40464</v>
      </c>
      <c r="E243" s="106">
        <v>0</v>
      </c>
      <c r="F243" s="106">
        <f t="shared" si="6"/>
        <v>180.40464</v>
      </c>
      <c r="G243" s="106">
        <v>0</v>
      </c>
      <c r="H243" s="106">
        <f t="shared" si="7"/>
        <v>270.60696000000002</v>
      </c>
      <c r="I243" s="36"/>
      <c r="L243" s="246"/>
      <c r="M243" s="246"/>
      <c r="N243" s="36"/>
      <c r="T243" s="21"/>
    </row>
    <row r="244" spans="1:20" s="105" customFormat="1" x14ac:dyDescent="0.25">
      <c r="A244" s="133" t="s">
        <v>397</v>
      </c>
      <c r="B244" s="134"/>
      <c r="C244" s="134"/>
      <c r="D244" s="134"/>
      <c r="E244" s="134"/>
      <c r="F244" s="134"/>
      <c r="G244" s="134"/>
      <c r="H244" s="135"/>
      <c r="J244" s="36"/>
      <c r="T244" s="35"/>
    </row>
    <row r="245" spans="1:20" s="105" customFormat="1" ht="15.75" customHeight="1" x14ac:dyDescent="0.25">
      <c r="A245" s="131">
        <v>1</v>
      </c>
      <c r="B245" s="132"/>
      <c r="C245" s="106" t="s">
        <v>393</v>
      </c>
      <c r="D245" s="111">
        <f>(107.22)*(10.764)</f>
        <v>1154.11608</v>
      </c>
      <c r="E245" s="106">
        <v>0</v>
      </c>
      <c r="F245" s="106">
        <f t="shared" ref="F245:F291" si="8">D245+(IF(E245&lt;201,E245,IF(E245&lt;301,E245/2,E245/3)))</f>
        <v>1154.11608</v>
      </c>
      <c r="G245" s="63">
        <v>0</v>
      </c>
      <c r="H245" s="106">
        <f t="shared" ref="H245:H291" si="9">(F245+(IF(G245&lt;101,G245,IF(G245&lt;201,G245/2,IF(G245&lt;=301,G245/3,G245/4)))))*(($H$145)+1)</f>
        <v>1731.1741200000001</v>
      </c>
      <c r="I245" s="36"/>
      <c r="L245" s="246"/>
      <c r="M245" s="246"/>
      <c r="N245" s="36"/>
      <c r="T245" s="35"/>
    </row>
    <row r="246" spans="1:20" s="105" customFormat="1" ht="15.75" customHeight="1" x14ac:dyDescent="0.25">
      <c r="A246" s="131">
        <v>2</v>
      </c>
      <c r="B246" s="132"/>
      <c r="C246" s="106" t="s">
        <v>393</v>
      </c>
      <c r="D246" s="111">
        <f>(81.18)*(10.764)</f>
        <v>873.82151999999996</v>
      </c>
      <c r="E246" s="106">
        <v>0</v>
      </c>
      <c r="F246" s="106">
        <f t="shared" si="8"/>
        <v>873.82151999999996</v>
      </c>
      <c r="G246" s="106">
        <v>0</v>
      </c>
      <c r="H246" s="106">
        <f t="shared" si="9"/>
        <v>1310.7322799999999</v>
      </c>
      <c r="I246" s="36">
        <f>13.95*5.85</f>
        <v>81.607499999999987</v>
      </c>
      <c r="L246" s="246"/>
      <c r="M246" s="246"/>
      <c r="N246" s="36"/>
      <c r="T246" s="34"/>
    </row>
    <row r="247" spans="1:20" s="105" customFormat="1" ht="15.75" customHeight="1" x14ac:dyDescent="0.25">
      <c r="A247" s="131">
        <v>3</v>
      </c>
      <c r="B247" s="132"/>
      <c r="C247" s="106" t="s">
        <v>393</v>
      </c>
      <c r="D247" s="111">
        <f>(103.71)*(10.764)</f>
        <v>1116.3344399999999</v>
      </c>
      <c r="E247" s="106">
        <v>0</v>
      </c>
      <c r="F247" s="106">
        <f t="shared" si="8"/>
        <v>1116.3344399999999</v>
      </c>
      <c r="G247" s="106">
        <v>0</v>
      </c>
      <c r="H247" s="106">
        <f t="shared" si="9"/>
        <v>1674.5016599999999</v>
      </c>
      <c r="I247" s="36"/>
      <c r="L247" s="246"/>
      <c r="M247" s="246"/>
      <c r="N247" s="36"/>
      <c r="T247" s="21"/>
    </row>
    <row r="248" spans="1:20" s="105" customFormat="1" ht="15.75" customHeight="1" x14ac:dyDescent="0.25">
      <c r="A248" s="131">
        <v>4</v>
      </c>
      <c r="B248" s="132"/>
      <c r="C248" s="106" t="s">
        <v>393</v>
      </c>
      <c r="D248" s="111">
        <f>(18.66)*(10.764)</f>
        <v>200.85623999999999</v>
      </c>
      <c r="E248" s="106">
        <v>0</v>
      </c>
      <c r="F248" s="106">
        <f t="shared" si="8"/>
        <v>200.85623999999999</v>
      </c>
      <c r="G248" s="106">
        <v>0</v>
      </c>
      <c r="H248" s="106">
        <f t="shared" si="9"/>
        <v>301.28435999999999</v>
      </c>
      <c r="I248" s="36"/>
      <c r="L248" s="246"/>
      <c r="M248" s="246"/>
      <c r="N248" s="36"/>
      <c r="T248" s="21"/>
    </row>
    <row r="249" spans="1:20" s="105" customFormat="1" ht="15.75" customHeight="1" x14ac:dyDescent="0.25">
      <c r="A249" s="131">
        <v>5</v>
      </c>
      <c r="B249" s="132"/>
      <c r="C249" s="106" t="s">
        <v>393</v>
      </c>
      <c r="D249" s="111">
        <f>(26.05)*(10.764)</f>
        <v>280.40219999999999</v>
      </c>
      <c r="E249" s="106">
        <v>0</v>
      </c>
      <c r="F249" s="106">
        <f t="shared" si="8"/>
        <v>280.40219999999999</v>
      </c>
      <c r="G249" s="63">
        <v>0</v>
      </c>
      <c r="H249" s="106">
        <f t="shared" si="9"/>
        <v>420.60329999999999</v>
      </c>
      <c r="I249" s="110">
        <f>2.95*5.5+1.6*1.35</f>
        <v>18.385000000000002</v>
      </c>
      <c r="L249" s="246"/>
      <c r="M249" s="246"/>
      <c r="N249" s="36"/>
      <c r="T249" s="35"/>
    </row>
    <row r="250" spans="1:20" s="105" customFormat="1" ht="15.75" customHeight="1" x14ac:dyDescent="0.25">
      <c r="A250" s="131">
        <v>6</v>
      </c>
      <c r="B250" s="132"/>
      <c r="C250" s="106" t="s">
        <v>393</v>
      </c>
      <c r="D250" s="111">
        <f>(14.71)*(10.764)</f>
        <v>158.33843999999999</v>
      </c>
      <c r="E250" s="106">
        <v>0</v>
      </c>
      <c r="F250" s="106">
        <f t="shared" si="8"/>
        <v>158.33843999999999</v>
      </c>
      <c r="G250" s="106">
        <v>0</v>
      </c>
      <c r="H250" s="106">
        <f t="shared" si="9"/>
        <v>237.50765999999999</v>
      </c>
      <c r="I250" s="36"/>
      <c r="L250" s="246"/>
      <c r="M250" s="246"/>
      <c r="N250" s="36"/>
      <c r="T250" s="34"/>
    </row>
    <row r="251" spans="1:20" s="105" customFormat="1" ht="15.75" customHeight="1" x14ac:dyDescent="0.25">
      <c r="A251" s="131">
        <v>7</v>
      </c>
      <c r="B251" s="132"/>
      <c r="C251" s="106" t="s">
        <v>393</v>
      </c>
      <c r="D251" s="111">
        <f>(13.66)*(10.764)</f>
        <v>147.03623999999999</v>
      </c>
      <c r="E251" s="106">
        <v>0</v>
      </c>
      <c r="F251" s="106">
        <f t="shared" si="8"/>
        <v>147.03623999999999</v>
      </c>
      <c r="G251" s="106">
        <v>0</v>
      </c>
      <c r="H251" s="106">
        <f t="shared" si="9"/>
        <v>220.55435999999997</v>
      </c>
      <c r="I251" s="36"/>
      <c r="L251" s="246"/>
      <c r="M251" s="246"/>
      <c r="N251" s="36"/>
      <c r="T251" s="21"/>
    </row>
    <row r="252" spans="1:20" s="105" customFormat="1" ht="15.75" customHeight="1" x14ac:dyDescent="0.25">
      <c r="A252" s="131">
        <v>8</v>
      </c>
      <c r="B252" s="132"/>
      <c r="C252" s="106" t="s">
        <v>393</v>
      </c>
      <c r="D252" s="111">
        <f>(33.85)*(10.764)</f>
        <v>364.3614</v>
      </c>
      <c r="E252" s="106">
        <v>0</v>
      </c>
      <c r="F252" s="106">
        <f t="shared" si="8"/>
        <v>364.3614</v>
      </c>
      <c r="G252" s="106">
        <v>0</v>
      </c>
      <c r="H252" s="106">
        <f t="shared" si="9"/>
        <v>546.5421</v>
      </c>
      <c r="I252" s="36"/>
      <c r="L252" s="246"/>
      <c r="M252" s="246"/>
      <c r="N252" s="36"/>
      <c r="T252" s="21"/>
    </row>
    <row r="253" spans="1:20" s="105" customFormat="1" ht="15.75" customHeight="1" x14ac:dyDescent="0.25">
      <c r="A253" s="131">
        <v>9</v>
      </c>
      <c r="B253" s="132"/>
      <c r="C253" s="106" t="s">
        <v>393</v>
      </c>
      <c r="D253" s="111">
        <f>(30.32)*(10.764)</f>
        <v>326.36447999999996</v>
      </c>
      <c r="E253" s="106">
        <v>0</v>
      </c>
      <c r="F253" s="106">
        <f t="shared" si="8"/>
        <v>326.36447999999996</v>
      </c>
      <c r="G253" s="63">
        <v>0</v>
      </c>
      <c r="H253" s="106">
        <f t="shared" si="9"/>
        <v>489.54671999999994</v>
      </c>
      <c r="I253" s="36"/>
      <c r="L253" s="246"/>
      <c r="M253" s="246"/>
      <c r="N253" s="36"/>
      <c r="T253" s="35"/>
    </row>
    <row r="254" spans="1:20" s="105" customFormat="1" ht="15.75" customHeight="1" x14ac:dyDescent="0.25">
      <c r="A254" s="131">
        <v>10</v>
      </c>
      <c r="B254" s="132"/>
      <c r="C254" s="106" t="s">
        <v>393</v>
      </c>
      <c r="D254" s="111">
        <f>(32.02)*(10.764)</f>
        <v>344.66327999999999</v>
      </c>
      <c r="E254" s="106">
        <v>0</v>
      </c>
      <c r="F254" s="106">
        <f t="shared" si="8"/>
        <v>344.66327999999999</v>
      </c>
      <c r="G254" s="106">
        <v>0</v>
      </c>
      <c r="H254" s="106">
        <f t="shared" si="9"/>
        <v>516.99491999999998</v>
      </c>
      <c r="I254" s="36"/>
      <c r="L254" s="246"/>
      <c r="M254" s="246"/>
      <c r="N254" s="36"/>
      <c r="T254" s="34"/>
    </row>
    <row r="255" spans="1:20" s="105" customFormat="1" ht="15.75" customHeight="1" x14ac:dyDescent="0.25">
      <c r="A255" s="131">
        <v>11</v>
      </c>
      <c r="B255" s="132"/>
      <c r="C255" s="106" t="s">
        <v>393</v>
      </c>
      <c r="D255" s="111">
        <f>(25.11)*(10.764)</f>
        <v>270.28404</v>
      </c>
      <c r="E255" s="106">
        <v>0</v>
      </c>
      <c r="F255" s="106">
        <f t="shared" si="8"/>
        <v>270.28404</v>
      </c>
      <c r="G255" s="106">
        <v>0</v>
      </c>
      <c r="H255" s="106">
        <f t="shared" si="9"/>
        <v>405.42606000000001</v>
      </c>
      <c r="I255" s="36"/>
      <c r="L255" s="246"/>
      <c r="M255" s="246"/>
      <c r="N255" s="36"/>
      <c r="T255" s="21"/>
    </row>
    <row r="256" spans="1:20" s="105" customFormat="1" ht="15.75" customHeight="1" x14ac:dyDescent="0.25">
      <c r="A256" s="131">
        <v>12</v>
      </c>
      <c r="B256" s="132"/>
      <c r="C256" s="106" t="s">
        <v>393</v>
      </c>
      <c r="D256" s="111">
        <f>(23.76)*(10.764)</f>
        <v>255.75264000000001</v>
      </c>
      <c r="E256" s="106">
        <v>0</v>
      </c>
      <c r="F256" s="106">
        <f t="shared" si="8"/>
        <v>255.75264000000001</v>
      </c>
      <c r="G256" s="106">
        <v>0</v>
      </c>
      <c r="H256" s="106">
        <f t="shared" si="9"/>
        <v>383.62896000000001</v>
      </c>
      <c r="I256" s="36"/>
      <c r="L256" s="246"/>
      <c r="M256" s="246"/>
      <c r="N256" s="36"/>
      <c r="T256" s="21"/>
    </row>
    <row r="257" spans="1:20" s="105" customFormat="1" ht="15.75" customHeight="1" x14ac:dyDescent="0.25">
      <c r="A257" s="131">
        <v>13</v>
      </c>
      <c r="B257" s="132"/>
      <c r="C257" s="106" t="s">
        <v>393</v>
      </c>
      <c r="D257" s="111">
        <f>(22.56)*(10.764)</f>
        <v>242.83583999999996</v>
      </c>
      <c r="E257" s="106">
        <v>0</v>
      </c>
      <c r="F257" s="106">
        <f t="shared" si="8"/>
        <v>242.83583999999996</v>
      </c>
      <c r="G257" s="63">
        <v>0</v>
      </c>
      <c r="H257" s="106">
        <f t="shared" si="9"/>
        <v>364.25375999999994</v>
      </c>
      <c r="I257" s="36"/>
      <c r="L257" s="246"/>
      <c r="M257" s="246"/>
      <c r="N257" s="36"/>
      <c r="T257" s="35"/>
    </row>
    <row r="258" spans="1:20" s="105" customFormat="1" ht="15.75" customHeight="1" x14ac:dyDescent="0.25">
      <c r="A258" s="131">
        <v>14</v>
      </c>
      <c r="B258" s="132"/>
      <c r="C258" s="106" t="s">
        <v>393</v>
      </c>
      <c r="D258" s="111">
        <f>(11.31)*(10.764)</f>
        <v>121.74083999999999</v>
      </c>
      <c r="E258" s="106">
        <v>0</v>
      </c>
      <c r="F258" s="106">
        <f t="shared" si="8"/>
        <v>121.74083999999999</v>
      </c>
      <c r="G258" s="106">
        <v>0</v>
      </c>
      <c r="H258" s="106">
        <f t="shared" si="9"/>
        <v>182.61125999999999</v>
      </c>
      <c r="I258" s="36"/>
      <c r="L258" s="246"/>
      <c r="M258" s="246"/>
      <c r="N258" s="36"/>
      <c r="T258" s="34"/>
    </row>
    <row r="259" spans="1:20" s="105" customFormat="1" ht="15.75" customHeight="1" x14ac:dyDescent="0.25">
      <c r="A259" s="131">
        <v>15</v>
      </c>
      <c r="B259" s="132"/>
      <c r="C259" s="106" t="s">
        <v>393</v>
      </c>
      <c r="D259" s="111">
        <f>(7.45)*(10.764)</f>
        <v>80.191800000000001</v>
      </c>
      <c r="E259" s="106">
        <v>0</v>
      </c>
      <c r="F259" s="106">
        <f t="shared" si="8"/>
        <v>80.191800000000001</v>
      </c>
      <c r="G259" s="106">
        <v>0</v>
      </c>
      <c r="H259" s="106">
        <f t="shared" si="9"/>
        <v>120.2877</v>
      </c>
      <c r="I259" s="36"/>
      <c r="L259" s="246"/>
      <c r="M259" s="246"/>
      <c r="N259" s="36"/>
      <c r="T259" s="21"/>
    </row>
    <row r="260" spans="1:20" s="105" customFormat="1" ht="15.75" customHeight="1" x14ac:dyDescent="0.25">
      <c r="A260" s="131">
        <v>16</v>
      </c>
      <c r="B260" s="132"/>
      <c r="C260" s="106" t="s">
        <v>393</v>
      </c>
      <c r="D260" s="111">
        <f>(9.75)*(10.764)</f>
        <v>104.949</v>
      </c>
      <c r="E260" s="106">
        <v>0</v>
      </c>
      <c r="F260" s="106">
        <f t="shared" si="8"/>
        <v>104.949</v>
      </c>
      <c r="G260" s="106">
        <v>0</v>
      </c>
      <c r="H260" s="106">
        <f t="shared" si="9"/>
        <v>157.42349999999999</v>
      </c>
      <c r="I260" s="36"/>
      <c r="L260" s="246"/>
      <c r="M260" s="246"/>
      <c r="N260" s="36"/>
      <c r="T260" s="21"/>
    </row>
    <row r="261" spans="1:20" s="105" customFormat="1" ht="15.75" customHeight="1" x14ac:dyDescent="0.25">
      <c r="A261" s="131">
        <v>17</v>
      </c>
      <c r="B261" s="132"/>
      <c r="C261" s="106" t="s">
        <v>393</v>
      </c>
      <c r="D261" s="111">
        <f>(20.18)*(10.764)</f>
        <v>217.21751999999998</v>
      </c>
      <c r="E261" s="106">
        <v>0</v>
      </c>
      <c r="F261" s="106">
        <f t="shared" si="8"/>
        <v>217.21751999999998</v>
      </c>
      <c r="G261" s="63">
        <v>0</v>
      </c>
      <c r="H261" s="106">
        <f t="shared" si="9"/>
        <v>325.82628</v>
      </c>
      <c r="I261" s="36"/>
      <c r="L261" s="246"/>
      <c r="M261" s="246"/>
      <c r="N261" s="36"/>
      <c r="T261" s="35"/>
    </row>
    <row r="262" spans="1:20" s="105" customFormat="1" ht="15.75" customHeight="1" x14ac:dyDescent="0.25">
      <c r="A262" s="131">
        <v>18</v>
      </c>
      <c r="B262" s="132"/>
      <c r="C262" s="106" t="s">
        <v>393</v>
      </c>
      <c r="D262" s="111">
        <f>(45.26)*(10.764)</f>
        <v>487.17863999999997</v>
      </c>
      <c r="E262" s="106">
        <v>0</v>
      </c>
      <c r="F262" s="106">
        <f t="shared" si="8"/>
        <v>487.17863999999997</v>
      </c>
      <c r="G262" s="106">
        <v>0</v>
      </c>
      <c r="H262" s="106">
        <f t="shared" si="9"/>
        <v>730.7679599999999</v>
      </c>
      <c r="I262" s="36"/>
      <c r="L262" s="246"/>
      <c r="M262" s="246"/>
      <c r="N262" s="36"/>
      <c r="T262" s="34"/>
    </row>
    <row r="263" spans="1:20" s="105" customFormat="1" ht="15.75" customHeight="1" x14ac:dyDescent="0.25">
      <c r="A263" s="131">
        <v>19</v>
      </c>
      <c r="B263" s="132"/>
      <c r="C263" s="106" t="s">
        <v>393</v>
      </c>
      <c r="D263" s="111">
        <f>(46.7)*(10.764)</f>
        <v>502.67880000000002</v>
      </c>
      <c r="E263" s="106">
        <v>0</v>
      </c>
      <c r="F263" s="106">
        <f t="shared" si="8"/>
        <v>502.67880000000002</v>
      </c>
      <c r="G263" s="106">
        <v>0</v>
      </c>
      <c r="H263" s="106">
        <f t="shared" si="9"/>
        <v>754.01819999999998</v>
      </c>
      <c r="I263" s="36"/>
      <c r="L263" s="246"/>
      <c r="M263" s="246"/>
      <c r="N263" s="36"/>
      <c r="T263" s="21"/>
    </row>
    <row r="264" spans="1:20" s="105" customFormat="1" ht="15.75" customHeight="1" x14ac:dyDescent="0.25">
      <c r="A264" s="131">
        <v>20</v>
      </c>
      <c r="B264" s="132"/>
      <c r="C264" s="106" t="s">
        <v>393</v>
      </c>
      <c r="D264" s="111">
        <f>(25.83)*(10.764)</f>
        <v>278.03411999999997</v>
      </c>
      <c r="E264" s="106">
        <v>0</v>
      </c>
      <c r="F264" s="106">
        <f t="shared" si="8"/>
        <v>278.03411999999997</v>
      </c>
      <c r="G264" s="106">
        <v>0</v>
      </c>
      <c r="H264" s="106">
        <f t="shared" si="9"/>
        <v>417.05117999999993</v>
      </c>
      <c r="I264" s="36"/>
      <c r="L264" s="246"/>
      <c r="M264" s="246"/>
      <c r="N264" s="36"/>
      <c r="T264" s="21"/>
    </row>
    <row r="265" spans="1:20" s="105" customFormat="1" ht="15.75" customHeight="1" x14ac:dyDescent="0.25">
      <c r="A265" s="131">
        <v>21</v>
      </c>
      <c r="B265" s="132"/>
      <c r="C265" s="106" t="s">
        <v>393</v>
      </c>
      <c r="D265" s="111">
        <f>(29.07)*(10.764)</f>
        <v>312.90947999999997</v>
      </c>
      <c r="E265" s="106">
        <v>0</v>
      </c>
      <c r="F265" s="106">
        <f t="shared" si="8"/>
        <v>312.90947999999997</v>
      </c>
      <c r="G265" s="63">
        <v>0</v>
      </c>
      <c r="H265" s="106">
        <f t="shared" si="9"/>
        <v>469.36421999999993</v>
      </c>
      <c r="I265" s="36"/>
      <c r="L265" s="246"/>
      <c r="M265" s="246"/>
      <c r="N265" s="36"/>
      <c r="T265" s="35"/>
    </row>
    <row r="266" spans="1:20" s="105" customFormat="1" ht="15.75" customHeight="1" x14ac:dyDescent="0.25">
      <c r="A266" s="131">
        <v>22</v>
      </c>
      <c r="B266" s="132"/>
      <c r="C266" s="106" t="s">
        <v>393</v>
      </c>
      <c r="D266" s="111">
        <f>(21.72)*(10.764)</f>
        <v>233.79407999999998</v>
      </c>
      <c r="E266" s="106">
        <v>0</v>
      </c>
      <c r="F266" s="106">
        <f t="shared" si="8"/>
        <v>233.79407999999998</v>
      </c>
      <c r="G266" s="106">
        <v>0</v>
      </c>
      <c r="H266" s="106">
        <f t="shared" si="9"/>
        <v>350.69111999999996</v>
      </c>
      <c r="I266" s="36"/>
      <c r="L266" s="246"/>
      <c r="M266" s="246"/>
      <c r="N266" s="36"/>
      <c r="T266" s="34"/>
    </row>
    <row r="267" spans="1:20" s="105" customFormat="1" ht="15.75" customHeight="1" x14ac:dyDescent="0.25">
      <c r="A267" s="131">
        <v>23</v>
      </c>
      <c r="B267" s="132"/>
      <c r="C267" s="106" t="s">
        <v>393</v>
      </c>
      <c r="D267" s="111">
        <f>(16.49)*(10.764)</f>
        <v>177.49835999999996</v>
      </c>
      <c r="E267" s="106">
        <v>0</v>
      </c>
      <c r="F267" s="106">
        <f t="shared" si="8"/>
        <v>177.49835999999996</v>
      </c>
      <c r="G267" s="106">
        <v>0</v>
      </c>
      <c r="H267" s="106">
        <f t="shared" si="9"/>
        <v>266.24753999999996</v>
      </c>
      <c r="I267" s="36"/>
      <c r="L267" s="246"/>
      <c r="M267" s="246"/>
      <c r="N267" s="36"/>
      <c r="T267" s="21"/>
    </row>
    <row r="268" spans="1:20" s="105" customFormat="1" ht="15.75" customHeight="1" x14ac:dyDescent="0.25">
      <c r="A268" s="131">
        <v>24</v>
      </c>
      <c r="B268" s="132"/>
      <c r="C268" s="106" t="s">
        <v>393</v>
      </c>
      <c r="D268" s="111">
        <f>(19.58)*(10.764)</f>
        <v>210.75911999999997</v>
      </c>
      <c r="E268" s="106">
        <v>0</v>
      </c>
      <c r="F268" s="106">
        <f t="shared" si="8"/>
        <v>210.75911999999997</v>
      </c>
      <c r="G268" s="106">
        <v>0</v>
      </c>
      <c r="H268" s="106">
        <f t="shared" si="9"/>
        <v>316.13867999999997</v>
      </c>
      <c r="I268" s="36"/>
      <c r="L268" s="246"/>
      <c r="M268" s="246"/>
      <c r="N268" s="36"/>
      <c r="T268" s="21"/>
    </row>
    <row r="269" spans="1:20" s="105" customFormat="1" ht="15.75" customHeight="1" x14ac:dyDescent="0.25">
      <c r="A269" s="131">
        <v>25</v>
      </c>
      <c r="B269" s="132"/>
      <c r="C269" s="106" t="s">
        <v>393</v>
      </c>
      <c r="D269" s="111">
        <f>(16.49)*(10.764)</f>
        <v>177.49835999999996</v>
      </c>
      <c r="E269" s="106">
        <v>0</v>
      </c>
      <c r="F269" s="106">
        <f t="shared" si="8"/>
        <v>177.49835999999996</v>
      </c>
      <c r="G269" s="63">
        <v>0</v>
      </c>
      <c r="H269" s="106">
        <f t="shared" si="9"/>
        <v>266.24753999999996</v>
      </c>
      <c r="I269" s="36"/>
      <c r="L269" s="246"/>
      <c r="M269" s="246"/>
      <c r="N269" s="36"/>
      <c r="T269" s="35"/>
    </row>
    <row r="270" spans="1:20" s="105" customFormat="1" ht="15.75" customHeight="1" x14ac:dyDescent="0.25">
      <c r="A270" s="131">
        <v>26</v>
      </c>
      <c r="B270" s="132"/>
      <c r="C270" s="106" t="s">
        <v>393</v>
      </c>
      <c r="D270" s="111">
        <f>(20.92)*(10.764)</f>
        <v>225.18288000000001</v>
      </c>
      <c r="E270" s="106">
        <v>0</v>
      </c>
      <c r="F270" s="106">
        <f t="shared" si="8"/>
        <v>225.18288000000001</v>
      </c>
      <c r="G270" s="106">
        <v>0</v>
      </c>
      <c r="H270" s="106">
        <f t="shared" si="9"/>
        <v>337.77431999999999</v>
      </c>
      <c r="I270" s="36"/>
      <c r="L270" s="246"/>
      <c r="M270" s="246"/>
      <c r="N270" s="36"/>
      <c r="T270" s="34"/>
    </row>
    <row r="271" spans="1:20" s="105" customFormat="1" ht="15.75" customHeight="1" x14ac:dyDescent="0.25">
      <c r="A271" s="131">
        <v>27</v>
      </c>
      <c r="B271" s="132"/>
      <c r="C271" s="106" t="s">
        <v>393</v>
      </c>
      <c r="D271" s="111">
        <f>(55.52)*(10.764)</f>
        <v>597.61728000000005</v>
      </c>
      <c r="E271" s="106">
        <v>0</v>
      </c>
      <c r="F271" s="106">
        <f t="shared" si="8"/>
        <v>597.61728000000005</v>
      </c>
      <c r="G271" s="106">
        <v>0</v>
      </c>
      <c r="H271" s="106">
        <f t="shared" si="9"/>
        <v>896.42592000000013</v>
      </c>
      <c r="I271" s="36"/>
      <c r="L271" s="246"/>
      <c r="M271" s="246"/>
      <c r="N271" s="36"/>
      <c r="T271" s="21"/>
    </row>
    <row r="272" spans="1:20" s="105" customFormat="1" ht="15.75" customHeight="1" x14ac:dyDescent="0.25">
      <c r="A272" s="131">
        <v>28</v>
      </c>
      <c r="B272" s="132"/>
      <c r="C272" s="106" t="s">
        <v>393</v>
      </c>
      <c r="D272" s="111">
        <f>(46.48)*(10.764)</f>
        <v>500.31071999999995</v>
      </c>
      <c r="E272" s="106">
        <v>0</v>
      </c>
      <c r="F272" s="106">
        <f t="shared" si="8"/>
        <v>500.31071999999995</v>
      </c>
      <c r="G272" s="106">
        <v>0</v>
      </c>
      <c r="H272" s="106">
        <f t="shared" si="9"/>
        <v>750.46607999999992</v>
      </c>
      <c r="I272" s="36"/>
      <c r="L272" s="246"/>
      <c r="M272" s="246"/>
      <c r="N272" s="36"/>
      <c r="T272" s="21"/>
    </row>
    <row r="273" spans="1:20" s="105" customFormat="1" ht="15.75" customHeight="1" x14ac:dyDescent="0.25">
      <c r="A273" s="131">
        <v>29</v>
      </c>
      <c r="B273" s="132"/>
      <c r="C273" s="106" t="s">
        <v>393</v>
      </c>
      <c r="D273" s="111">
        <f>(30.23)*(10.764)</f>
        <v>325.39571999999998</v>
      </c>
      <c r="E273" s="106">
        <v>0</v>
      </c>
      <c r="F273" s="106">
        <f t="shared" si="8"/>
        <v>325.39571999999998</v>
      </c>
      <c r="G273" s="63">
        <v>0</v>
      </c>
      <c r="H273" s="106">
        <f t="shared" si="9"/>
        <v>488.09357999999997</v>
      </c>
      <c r="I273" s="36"/>
      <c r="L273" s="246"/>
      <c r="M273" s="246"/>
      <c r="N273" s="36"/>
      <c r="T273" s="35"/>
    </row>
    <row r="274" spans="1:20" s="105" customFormat="1" ht="15.75" customHeight="1" x14ac:dyDescent="0.25">
      <c r="A274" s="131">
        <v>30</v>
      </c>
      <c r="B274" s="132"/>
      <c r="C274" s="106" t="s">
        <v>393</v>
      </c>
      <c r="D274" s="111">
        <f>(19.39)*(10.764)</f>
        <v>208.71395999999999</v>
      </c>
      <c r="E274" s="106">
        <v>0</v>
      </c>
      <c r="F274" s="106">
        <f t="shared" si="8"/>
        <v>208.71395999999999</v>
      </c>
      <c r="G274" s="106">
        <v>0</v>
      </c>
      <c r="H274" s="106">
        <f t="shared" si="9"/>
        <v>313.07093999999995</v>
      </c>
      <c r="I274" s="36"/>
      <c r="L274" s="246"/>
      <c r="M274" s="246"/>
      <c r="N274" s="36"/>
      <c r="T274" s="34"/>
    </row>
    <row r="275" spans="1:20" s="105" customFormat="1" ht="15.75" customHeight="1" x14ac:dyDescent="0.25">
      <c r="A275" s="131">
        <v>31</v>
      </c>
      <c r="B275" s="132"/>
      <c r="C275" s="106" t="s">
        <v>393</v>
      </c>
      <c r="D275" s="111">
        <f>(19.03)*(10.764)</f>
        <v>204.83892</v>
      </c>
      <c r="E275" s="106">
        <v>0</v>
      </c>
      <c r="F275" s="106">
        <f t="shared" si="8"/>
        <v>204.83892</v>
      </c>
      <c r="G275" s="106">
        <v>0</v>
      </c>
      <c r="H275" s="106">
        <f t="shared" si="9"/>
        <v>307.25837999999999</v>
      </c>
      <c r="I275" s="36"/>
      <c r="L275" s="246"/>
      <c r="M275" s="246"/>
      <c r="N275" s="36"/>
      <c r="T275" s="21"/>
    </row>
    <row r="276" spans="1:20" s="105" customFormat="1" ht="15.75" customHeight="1" x14ac:dyDescent="0.25">
      <c r="A276" s="131">
        <v>32</v>
      </c>
      <c r="B276" s="132"/>
      <c r="C276" s="106" t="s">
        <v>393</v>
      </c>
      <c r="D276" s="111">
        <f>(18.65)*(10.764)</f>
        <v>200.74859999999998</v>
      </c>
      <c r="E276" s="106">
        <v>0</v>
      </c>
      <c r="F276" s="106">
        <f t="shared" si="8"/>
        <v>200.74859999999998</v>
      </c>
      <c r="G276" s="106">
        <v>0</v>
      </c>
      <c r="H276" s="106">
        <f t="shared" si="9"/>
        <v>301.12289999999996</v>
      </c>
      <c r="I276" s="36"/>
      <c r="L276" s="246"/>
      <c r="M276" s="246"/>
      <c r="N276" s="36"/>
      <c r="T276" s="21"/>
    </row>
    <row r="277" spans="1:20" s="105" customFormat="1" ht="15.75" customHeight="1" x14ac:dyDescent="0.25">
      <c r="A277" s="131">
        <v>33</v>
      </c>
      <c r="B277" s="132"/>
      <c r="C277" s="106" t="s">
        <v>393</v>
      </c>
      <c r="D277" s="111">
        <f>(17.8)*(10.764)</f>
        <v>191.5992</v>
      </c>
      <c r="E277" s="106">
        <v>0</v>
      </c>
      <c r="F277" s="106">
        <f t="shared" si="8"/>
        <v>191.5992</v>
      </c>
      <c r="G277" s="106">
        <v>0</v>
      </c>
      <c r="H277" s="106">
        <f t="shared" si="9"/>
        <v>287.39879999999999</v>
      </c>
      <c r="I277" s="36"/>
      <c r="L277" s="246"/>
      <c r="M277" s="246"/>
      <c r="N277" s="36"/>
      <c r="T277" s="21"/>
    </row>
    <row r="278" spans="1:20" s="105" customFormat="1" ht="15.75" customHeight="1" x14ac:dyDescent="0.25">
      <c r="A278" s="131">
        <v>34</v>
      </c>
      <c r="B278" s="132"/>
      <c r="C278" s="106" t="s">
        <v>393</v>
      </c>
      <c r="D278" s="111">
        <f>(16.65)*(10.764)</f>
        <v>179.22059999999996</v>
      </c>
      <c r="E278" s="106">
        <v>0</v>
      </c>
      <c r="F278" s="106">
        <f t="shared" si="8"/>
        <v>179.22059999999996</v>
      </c>
      <c r="G278" s="106">
        <v>0</v>
      </c>
      <c r="H278" s="106">
        <f t="shared" si="9"/>
        <v>268.83089999999993</v>
      </c>
      <c r="I278" s="36"/>
      <c r="L278" s="246"/>
      <c r="M278" s="246"/>
      <c r="N278" s="36"/>
      <c r="T278" s="21"/>
    </row>
    <row r="279" spans="1:20" s="105" customFormat="1" ht="15.75" customHeight="1" x14ac:dyDescent="0.25">
      <c r="A279" s="131">
        <v>35</v>
      </c>
      <c r="B279" s="132"/>
      <c r="C279" s="106" t="s">
        <v>393</v>
      </c>
      <c r="D279" s="111">
        <f>(19.76)*(10.764)</f>
        <v>212.69664</v>
      </c>
      <c r="E279" s="106">
        <v>0</v>
      </c>
      <c r="F279" s="106">
        <f t="shared" si="8"/>
        <v>212.69664</v>
      </c>
      <c r="G279" s="63">
        <v>0</v>
      </c>
      <c r="H279" s="106">
        <f t="shared" si="9"/>
        <v>319.04496</v>
      </c>
      <c r="I279" s="36"/>
      <c r="L279" s="246"/>
      <c r="M279" s="246"/>
      <c r="N279" s="36"/>
      <c r="T279" s="35"/>
    </row>
    <row r="280" spans="1:20" s="105" customFormat="1" ht="15.75" customHeight="1" x14ac:dyDescent="0.25">
      <c r="A280" s="131">
        <v>36</v>
      </c>
      <c r="B280" s="132"/>
      <c r="C280" s="106" t="s">
        <v>393</v>
      </c>
      <c r="D280" s="111">
        <f>(16.43)*(10.764)</f>
        <v>176.85252</v>
      </c>
      <c r="E280" s="106">
        <v>0</v>
      </c>
      <c r="F280" s="106">
        <f t="shared" si="8"/>
        <v>176.85252</v>
      </c>
      <c r="G280" s="106">
        <v>0</v>
      </c>
      <c r="H280" s="106">
        <f t="shared" si="9"/>
        <v>265.27877999999998</v>
      </c>
      <c r="I280" s="36"/>
      <c r="L280" s="246"/>
      <c r="M280" s="246"/>
      <c r="N280" s="36"/>
      <c r="T280" s="34"/>
    </row>
    <row r="281" spans="1:20" s="105" customFormat="1" ht="15.75" customHeight="1" x14ac:dyDescent="0.25">
      <c r="A281" s="131">
        <v>37</v>
      </c>
      <c r="B281" s="132"/>
      <c r="C281" s="106" t="s">
        <v>393</v>
      </c>
      <c r="D281" s="111">
        <f>(20.23)*(10.764)</f>
        <v>217.75572</v>
      </c>
      <c r="E281" s="106">
        <v>0</v>
      </c>
      <c r="F281" s="106">
        <f t="shared" si="8"/>
        <v>217.75572</v>
      </c>
      <c r="G281" s="106">
        <v>0</v>
      </c>
      <c r="H281" s="106">
        <f t="shared" si="9"/>
        <v>326.63357999999999</v>
      </c>
      <c r="I281" s="36"/>
      <c r="L281" s="246"/>
      <c r="M281" s="246"/>
      <c r="N281" s="36"/>
      <c r="T281" s="21"/>
    </row>
    <row r="282" spans="1:20" s="105" customFormat="1" ht="15.75" customHeight="1" x14ac:dyDescent="0.25">
      <c r="A282" s="131">
        <v>38</v>
      </c>
      <c r="B282" s="132"/>
      <c r="C282" s="106" t="s">
        <v>393</v>
      </c>
      <c r="D282" s="111">
        <f>(17.25)*(10.764)</f>
        <v>185.679</v>
      </c>
      <c r="E282" s="106">
        <v>0</v>
      </c>
      <c r="F282" s="106">
        <f t="shared" si="8"/>
        <v>185.679</v>
      </c>
      <c r="G282" s="106">
        <v>0</v>
      </c>
      <c r="H282" s="106">
        <f t="shared" si="9"/>
        <v>278.51850000000002</v>
      </c>
      <c r="I282" s="36"/>
      <c r="L282" s="246"/>
      <c r="M282" s="246"/>
      <c r="N282" s="36"/>
      <c r="T282" s="21"/>
    </row>
    <row r="283" spans="1:20" s="105" customFormat="1" ht="15.75" customHeight="1" x14ac:dyDescent="0.25">
      <c r="A283" s="131">
        <v>39</v>
      </c>
      <c r="B283" s="132"/>
      <c r="C283" s="106" t="s">
        <v>393</v>
      </c>
      <c r="D283" s="111">
        <f>(17.25)*(10.764)</f>
        <v>185.679</v>
      </c>
      <c r="E283" s="106">
        <v>0</v>
      </c>
      <c r="F283" s="106">
        <f t="shared" si="8"/>
        <v>185.679</v>
      </c>
      <c r="G283" s="63">
        <v>0</v>
      </c>
      <c r="H283" s="106">
        <f t="shared" si="9"/>
        <v>278.51850000000002</v>
      </c>
      <c r="I283" s="36"/>
      <c r="L283" s="246"/>
      <c r="M283" s="246"/>
      <c r="N283" s="36"/>
      <c r="T283" s="35"/>
    </row>
    <row r="284" spans="1:20" s="105" customFormat="1" ht="15.75" customHeight="1" x14ac:dyDescent="0.25">
      <c r="A284" s="131">
        <v>40</v>
      </c>
      <c r="B284" s="132"/>
      <c r="C284" s="106" t="s">
        <v>393</v>
      </c>
      <c r="D284" s="111">
        <f>(18.41)*(10.764)</f>
        <v>198.16523999999998</v>
      </c>
      <c r="E284" s="106">
        <v>0</v>
      </c>
      <c r="F284" s="106">
        <f t="shared" si="8"/>
        <v>198.16523999999998</v>
      </c>
      <c r="G284" s="106">
        <v>0</v>
      </c>
      <c r="H284" s="106">
        <f t="shared" si="9"/>
        <v>297.24785999999995</v>
      </c>
      <c r="I284" s="36"/>
      <c r="L284" s="246"/>
      <c r="M284" s="246"/>
      <c r="N284" s="36"/>
      <c r="T284" s="34"/>
    </row>
    <row r="285" spans="1:20" s="105" customFormat="1" ht="15.75" customHeight="1" x14ac:dyDescent="0.25">
      <c r="A285" s="131">
        <v>41</v>
      </c>
      <c r="B285" s="132"/>
      <c r="C285" s="106" t="s">
        <v>393</v>
      </c>
      <c r="D285" s="111">
        <f>(33.23)*(10.764)</f>
        <v>357.68771999999996</v>
      </c>
      <c r="E285" s="106">
        <v>0</v>
      </c>
      <c r="F285" s="106">
        <f t="shared" si="8"/>
        <v>357.68771999999996</v>
      </c>
      <c r="G285" s="106">
        <v>0</v>
      </c>
      <c r="H285" s="106">
        <f t="shared" si="9"/>
        <v>536.53157999999996</v>
      </c>
      <c r="I285" s="36"/>
      <c r="L285" s="246"/>
      <c r="M285" s="246"/>
      <c r="N285" s="36"/>
      <c r="T285" s="21"/>
    </row>
    <row r="286" spans="1:20" s="105" customFormat="1" ht="15.75" customHeight="1" x14ac:dyDescent="0.25">
      <c r="A286" s="131">
        <v>42</v>
      </c>
      <c r="B286" s="132"/>
      <c r="C286" s="106" t="s">
        <v>393</v>
      </c>
      <c r="D286" s="111">
        <f>(27.4)*(10.764)</f>
        <v>294.93359999999996</v>
      </c>
      <c r="E286" s="106">
        <v>0</v>
      </c>
      <c r="F286" s="106">
        <f t="shared" si="8"/>
        <v>294.93359999999996</v>
      </c>
      <c r="G286" s="106">
        <v>0</v>
      </c>
      <c r="H286" s="106">
        <f t="shared" si="9"/>
        <v>442.40039999999993</v>
      </c>
      <c r="I286" s="36"/>
      <c r="L286" s="246"/>
      <c r="M286" s="246"/>
      <c r="N286" s="36"/>
      <c r="T286" s="21"/>
    </row>
    <row r="287" spans="1:20" s="105" customFormat="1" ht="15.75" customHeight="1" x14ac:dyDescent="0.25">
      <c r="A287" s="131">
        <v>43</v>
      </c>
      <c r="B287" s="132"/>
      <c r="C287" s="106" t="s">
        <v>393</v>
      </c>
      <c r="D287" s="111">
        <f>(18.24)*(10.764)</f>
        <v>196.33535999999998</v>
      </c>
      <c r="E287" s="106">
        <v>0</v>
      </c>
      <c r="F287" s="106">
        <f t="shared" si="8"/>
        <v>196.33535999999998</v>
      </c>
      <c r="G287" s="63">
        <v>0</v>
      </c>
      <c r="H287" s="106">
        <f t="shared" si="9"/>
        <v>294.50303999999994</v>
      </c>
      <c r="I287" s="36"/>
      <c r="L287" s="246"/>
      <c r="M287" s="246"/>
      <c r="N287" s="36"/>
      <c r="T287" s="35"/>
    </row>
    <row r="288" spans="1:20" s="105" customFormat="1" ht="15.75" customHeight="1" x14ac:dyDescent="0.25">
      <c r="A288" s="131">
        <v>44</v>
      </c>
      <c r="B288" s="132"/>
      <c r="C288" s="106" t="s">
        <v>393</v>
      </c>
      <c r="D288" s="111">
        <f>(17.09)*(10.764)</f>
        <v>183.95675999999997</v>
      </c>
      <c r="E288" s="106">
        <v>0</v>
      </c>
      <c r="F288" s="106">
        <f t="shared" si="8"/>
        <v>183.95675999999997</v>
      </c>
      <c r="G288" s="106">
        <v>0</v>
      </c>
      <c r="H288" s="106">
        <f t="shared" si="9"/>
        <v>275.93513999999993</v>
      </c>
      <c r="I288" s="36"/>
      <c r="L288" s="246"/>
      <c r="M288" s="246"/>
      <c r="N288" s="36"/>
      <c r="T288" s="34"/>
    </row>
    <row r="289" spans="1:20" s="105" customFormat="1" ht="15.75" customHeight="1" x14ac:dyDescent="0.25">
      <c r="A289" s="131">
        <v>45</v>
      </c>
      <c r="B289" s="132"/>
      <c r="C289" s="106" t="s">
        <v>393</v>
      </c>
      <c r="D289" s="111">
        <f>(17.09)*(10.764)</f>
        <v>183.95675999999997</v>
      </c>
      <c r="E289" s="106">
        <v>0</v>
      </c>
      <c r="F289" s="106">
        <f t="shared" si="8"/>
        <v>183.95675999999997</v>
      </c>
      <c r="G289" s="106">
        <v>0</v>
      </c>
      <c r="H289" s="106">
        <f t="shared" si="9"/>
        <v>275.93513999999993</v>
      </c>
      <c r="I289" s="36"/>
      <c r="L289" s="246"/>
      <c r="M289" s="246"/>
      <c r="N289" s="36"/>
      <c r="T289" s="21"/>
    </row>
    <row r="290" spans="1:20" s="105" customFormat="1" ht="15.75" customHeight="1" x14ac:dyDescent="0.25">
      <c r="A290" s="131">
        <v>46</v>
      </c>
      <c r="B290" s="132"/>
      <c r="C290" s="106" t="s">
        <v>393</v>
      </c>
      <c r="D290" s="111">
        <f>(20.06)*(10.764)</f>
        <v>215.92583999999997</v>
      </c>
      <c r="E290" s="106">
        <v>0</v>
      </c>
      <c r="F290" s="106">
        <f t="shared" si="8"/>
        <v>215.92583999999997</v>
      </c>
      <c r="G290" s="106">
        <v>0</v>
      </c>
      <c r="H290" s="106">
        <f t="shared" si="9"/>
        <v>323.88875999999993</v>
      </c>
      <c r="I290" s="36"/>
      <c r="L290" s="246"/>
      <c r="M290" s="246"/>
      <c r="N290" s="36"/>
      <c r="T290" s="21"/>
    </row>
    <row r="291" spans="1:20" s="105" customFormat="1" ht="15.75" customHeight="1" x14ac:dyDescent="0.25">
      <c r="A291" s="131">
        <v>47</v>
      </c>
      <c r="B291" s="132"/>
      <c r="C291" s="106" t="s">
        <v>393</v>
      </c>
      <c r="D291" s="111">
        <f>(16.78)*(10.764)</f>
        <v>180.61992000000001</v>
      </c>
      <c r="E291" s="106">
        <v>0</v>
      </c>
      <c r="F291" s="106">
        <f t="shared" si="8"/>
        <v>180.61992000000001</v>
      </c>
      <c r="G291" s="106">
        <v>0</v>
      </c>
      <c r="H291" s="106">
        <f t="shared" si="9"/>
        <v>270.92988000000003</v>
      </c>
      <c r="I291" s="36"/>
      <c r="L291" s="246"/>
      <c r="M291" s="246"/>
      <c r="N291" s="36"/>
      <c r="T291" s="34"/>
    </row>
    <row r="292" spans="1:20" s="108" customFormat="1" x14ac:dyDescent="0.25">
      <c r="A292" s="133" t="s">
        <v>407</v>
      </c>
      <c r="B292" s="134"/>
      <c r="C292" s="134"/>
      <c r="D292" s="134"/>
      <c r="E292" s="134"/>
      <c r="F292" s="134"/>
      <c r="G292" s="134"/>
      <c r="H292" s="135"/>
      <c r="J292" s="36"/>
      <c r="T292" s="35"/>
    </row>
    <row r="293" spans="1:20" s="105" customFormat="1" x14ac:dyDescent="0.25">
      <c r="A293" s="133" t="s">
        <v>398</v>
      </c>
      <c r="B293" s="134"/>
      <c r="C293" s="134"/>
      <c r="D293" s="134"/>
      <c r="E293" s="134"/>
      <c r="F293" s="134"/>
      <c r="G293" s="134"/>
      <c r="H293" s="135"/>
      <c r="I293" s="105">
        <f>3+3+1</f>
        <v>7</v>
      </c>
      <c r="J293" s="36"/>
      <c r="T293" s="35"/>
    </row>
    <row r="294" spans="1:20" s="105" customFormat="1" ht="15.75" customHeight="1" x14ac:dyDescent="0.25">
      <c r="A294" s="131">
        <v>1</v>
      </c>
      <c r="B294" s="132"/>
      <c r="C294" s="106" t="s">
        <v>399</v>
      </c>
      <c r="D294" s="111">
        <f>(47.74)*(10.764)</f>
        <v>513.87335999999993</v>
      </c>
      <c r="E294" s="106">
        <v>0</v>
      </c>
      <c r="F294" s="106">
        <f t="shared" ref="F294:F316" si="10">D294+(IF(E294&lt;201,E294,IF(E294&lt;301,E294/2,E294/3)))</f>
        <v>513.87335999999993</v>
      </c>
      <c r="G294" s="63">
        <v>0</v>
      </c>
      <c r="H294" s="106">
        <f t="shared" ref="H294:H316" si="11">(F294+(IF(G294&lt;101,G294,IF(G294&lt;201,G294/2,IF(G294&lt;=301,G294/3,G294/4)))))*(($H$145)+1)</f>
        <v>770.81003999999984</v>
      </c>
      <c r="I294" s="36"/>
      <c r="L294" s="246"/>
      <c r="M294" s="246"/>
      <c r="N294" s="36"/>
      <c r="T294" s="35"/>
    </row>
    <row r="295" spans="1:20" s="105" customFormat="1" ht="15.75" customHeight="1" x14ac:dyDescent="0.25">
      <c r="A295" s="131">
        <v>2</v>
      </c>
      <c r="B295" s="132"/>
      <c r="C295" s="106" t="s">
        <v>399</v>
      </c>
      <c r="D295" s="111">
        <f>(30.25)*(10.764)</f>
        <v>325.61099999999999</v>
      </c>
      <c r="E295" s="106">
        <v>0</v>
      </c>
      <c r="F295" s="106">
        <f t="shared" si="10"/>
        <v>325.61099999999999</v>
      </c>
      <c r="G295" s="106">
        <v>0</v>
      </c>
      <c r="H295" s="106">
        <f t="shared" si="11"/>
        <v>488.41649999999998</v>
      </c>
      <c r="I295" s="36">
        <f>13.95*5.85</f>
        <v>81.607499999999987</v>
      </c>
      <c r="L295" s="246"/>
      <c r="M295" s="246"/>
      <c r="N295" s="36"/>
      <c r="T295" s="34"/>
    </row>
    <row r="296" spans="1:20" s="105" customFormat="1" ht="15.75" customHeight="1" x14ac:dyDescent="0.25">
      <c r="A296" s="131">
        <v>3</v>
      </c>
      <c r="B296" s="132"/>
      <c r="C296" s="106" t="s">
        <v>399</v>
      </c>
      <c r="D296" s="111">
        <f>30.44*(10.764)</f>
        <v>327.65616</v>
      </c>
      <c r="E296" s="106">
        <v>0</v>
      </c>
      <c r="F296" s="106">
        <f t="shared" si="10"/>
        <v>327.65616</v>
      </c>
      <c r="G296" s="106">
        <v>0</v>
      </c>
      <c r="H296" s="106">
        <f t="shared" si="11"/>
        <v>491.48424</v>
      </c>
      <c r="I296" s="36"/>
      <c r="L296" s="246"/>
      <c r="M296" s="246"/>
      <c r="N296" s="36"/>
      <c r="T296" s="21"/>
    </row>
    <row r="297" spans="1:20" s="105" customFormat="1" ht="15.75" customHeight="1" x14ac:dyDescent="0.25">
      <c r="A297" s="131">
        <v>4</v>
      </c>
      <c r="B297" s="132"/>
      <c r="C297" s="106" t="s">
        <v>399</v>
      </c>
      <c r="D297" s="111">
        <f>(20.88)*(10.764)</f>
        <v>224.75231999999997</v>
      </c>
      <c r="E297" s="106">
        <v>0</v>
      </c>
      <c r="F297" s="106">
        <f t="shared" si="10"/>
        <v>224.75231999999997</v>
      </c>
      <c r="G297" s="106">
        <v>0</v>
      </c>
      <c r="H297" s="106">
        <f t="shared" si="11"/>
        <v>337.12847999999997</v>
      </c>
      <c r="I297" s="36"/>
      <c r="L297" s="246"/>
      <c r="M297" s="246"/>
      <c r="N297" s="36"/>
      <c r="T297" s="21"/>
    </row>
    <row r="298" spans="1:20" s="105" customFormat="1" ht="15.75" customHeight="1" x14ac:dyDescent="0.25">
      <c r="A298" s="131">
        <v>5</v>
      </c>
      <c r="B298" s="132"/>
      <c r="C298" s="106" t="s">
        <v>399</v>
      </c>
      <c r="D298" s="111">
        <f>(29.88)*(10.764)</f>
        <v>321.62831999999997</v>
      </c>
      <c r="E298" s="106">
        <v>0</v>
      </c>
      <c r="F298" s="106">
        <f t="shared" si="10"/>
        <v>321.62831999999997</v>
      </c>
      <c r="G298" s="63">
        <v>0</v>
      </c>
      <c r="H298" s="106">
        <f t="shared" si="11"/>
        <v>482.44247999999993</v>
      </c>
      <c r="I298" s="110">
        <f>2.95*5.5+1.6*1.35</f>
        <v>18.385000000000002</v>
      </c>
      <c r="L298" s="246"/>
      <c r="M298" s="246"/>
      <c r="N298" s="36"/>
      <c r="T298" s="35"/>
    </row>
    <row r="299" spans="1:20" s="105" customFormat="1" ht="15.75" customHeight="1" x14ac:dyDescent="0.25">
      <c r="A299" s="131">
        <v>6</v>
      </c>
      <c r="B299" s="132"/>
      <c r="C299" s="106" t="s">
        <v>399</v>
      </c>
      <c r="D299" s="111">
        <f>(26.5)*(10.764)</f>
        <v>285.24599999999998</v>
      </c>
      <c r="E299" s="106">
        <v>0</v>
      </c>
      <c r="F299" s="106">
        <f t="shared" si="10"/>
        <v>285.24599999999998</v>
      </c>
      <c r="G299" s="106">
        <v>0</v>
      </c>
      <c r="H299" s="106">
        <f t="shared" si="11"/>
        <v>427.86899999999997</v>
      </c>
      <c r="I299" s="36"/>
      <c r="L299" s="246"/>
      <c r="M299" s="246"/>
      <c r="N299" s="36"/>
      <c r="T299" s="34"/>
    </row>
    <row r="300" spans="1:20" s="105" customFormat="1" ht="15.75" customHeight="1" x14ac:dyDescent="0.25">
      <c r="A300" s="131">
        <v>7</v>
      </c>
      <c r="B300" s="132"/>
      <c r="C300" s="106" t="s">
        <v>399</v>
      </c>
      <c r="D300" s="111">
        <f>(28)*(10.764)</f>
        <v>301.392</v>
      </c>
      <c r="E300" s="106">
        <v>0</v>
      </c>
      <c r="F300" s="106">
        <f t="shared" si="10"/>
        <v>301.392</v>
      </c>
      <c r="G300" s="106">
        <v>0</v>
      </c>
      <c r="H300" s="106">
        <f t="shared" si="11"/>
        <v>452.08799999999997</v>
      </c>
      <c r="I300" s="36"/>
      <c r="L300" s="246"/>
      <c r="M300" s="246"/>
      <c r="N300" s="36"/>
      <c r="T300" s="21"/>
    </row>
    <row r="301" spans="1:20" s="105" customFormat="1" ht="15.75" customHeight="1" x14ac:dyDescent="0.25">
      <c r="A301" s="131">
        <v>8</v>
      </c>
      <c r="B301" s="132"/>
      <c r="C301" s="106" t="s">
        <v>399</v>
      </c>
      <c r="D301" s="111">
        <f>(26.5)*(10.764)</f>
        <v>285.24599999999998</v>
      </c>
      <c r="E301" s="106">
        <v>0</v>
      </c>
      <c r="F301" s="106">
        <f t="shared" si="10"/>
        <v>285.24599999999998</v>
      </c>
      <c r="G301" s="106">
        <v>0</v>
      </c>
      <c r="H301" s="106">
        <f t="shared" si="11"/>
        <v>427.86899999999997</v>
      </c>
      <c r="I301" s="36"/>
      <c r="L301" s="246"/>
      <c r="M301" s="246"/>
      <c r="N301" s="36"/>
      <c r="T301" s="21"/>
    </row>
    <row r="302" spans="1:20" s="105" customFormat="1" ht="15.75" customHeight="1" x14ac:dyDescent="0.25">
      <c r="A302" s="131">
        <v>9</v>
      </c>
      <c r="B302" s="132"/>
      <c r="C302" s="106" t="s">
        <v>399</v>
      </c>
      <c r="D302" s="111">
        <f>(31)*(10.764)</f>
        <v>333.68399999999997</v>
      </c>
      <c r="E302" s="106">
        <v>0</v>
      </c>
      <c r="F302" s="106">
        <f t="shared" si="10"/>
        <v>333.68399999999997</v>
      </c>
      <c r="G302" s="63">
        <v>0</v>
      </c>
      <c r="H302" s="106">
        <f t="shared" si="11"/>
        <v>500.52599999999995</v>
      </c>
      <c r="I302" s="36"/>
      <c r="L302" s="246"/>
      <c r="M302" s="246"/>
      <c r="N302" s="36"/>
      <c r="T302" s="35"/>
    </row>
    <row r="303" spans="1:20" s="105" customFormat="1" ht="15.75" customHeight="1" x14ac:dyDescent="0.25">
      <c r="A303" s="131">
        <v>10</v>
      </c>
      <c r="B303" s="132"/>
      <c r="C303" s="106" t="s">
        <v>399</v>
      </c>
      <c r="D303" s="111">
        <f>(20.88)*(10.764)</f>
        <v>224.75231999999997</v>
      </c>
      <c r="E303" s="106">
        <v>0</v>
      </c>
      <c r="F303" s="106">
        <f t="shared" si="10"/>
        <v>224.75231999999997</v>
      </c>
      <c r="G303" s="106">
        <v>0</v>
      </c>
      <c r="H303" s="106">
        <f t="shared" si="11"/>
        <v>337.12847999999997</v>
      </c>
      <c r="I303" s="36"/>
      <c r="L303" s="246"/>
      <c r="M303" s="246"/>
      <c r="N303" s="36"/>
      <c r="T303" s="34"/>
    </row>
    <row r="304" spans="1:20" s="105" customFormat="1" ht="15.75" customHeight="1" x14ac:dyDescent="0.25">
      <c r="A304" s="131">
        <v>11</v>
      </c>
      <c r="B304" s="132"/>
      <c r="C304" s="106" t="s">
        <v>399</v>
      </c>
      <c r="D304" s="111">
        <f>(25.38)*(10.764)</f>
        <v>273.19031999999999</v>
      </c>
      <c r="E304" s="106">
        <v>0</v>
      </c>
      <c r="F304" s="106">
        <f t="shared" si="10"/>
        <v>273.19031999999999</v>
      </c>
      <c r="G304" s="106">
        <v>0</v>
      </c>
      <c r="H304" s="106">
        <f t="shared" si="11"/>
        <v>409.78548000000001</v>
      </c>
      <c r="I304" s="36"/>
      <c r="L304" s="246"/>
      <c r="M304" s="246"/>
      <c r="N304" s="36"/>
      <c r="T304" s="21"/>
    </row>
    <row r="305" spans="1:20" s="105" customFormat="1" ht="15.75" customHeight="1" x14ac:dyDescent="0.25">
      <c r="A305" s="131">
        <v>12</v>
      </c>
      <c r="B305" s="132"/>
      <c r="C305" s="106" t="s">
        <v>399</v>
      </c>
      <c r="D305" s="111">
        <f>(22.38)*(10.764)</f>
        <v>240.89831999999998</v>
      </c>
      <c r="E305" s="106">
        <v>0</v>
      </c>
      <c r="F305" s="106">
        <f t="shared" si="10"/>
        <v>240.89831999999998</v>
      </c>
      <c r="G305" s="106">
        <v>0</v>
      </c>
      <c r="H305" s="106">
        <f t="shared" si="11"/>
        <v>361.34747999999996</v>
      </c>
      <c r="I305" s="36"/>
      <c r="L305" s="246"/>
      <c r="M305" s="246"/>
      <c r="N305" s="36"/>
      <c r="T305" s="21"/>
    </row>
    <row r="306" spans="1:20" s="105" customFormat="1" ht="15.75" customHeight="1" x14ac:dyDescent="0.25">
      <c r="A306" s="131">
        <v>13</v>
      </c>
      <c r="B306" s="132"/>
      <c r="C306" s="106" t="s">
        <v>399</v>
      </c>
      <c r="D306" s="111">
        <f>(25.75)*(10.764)</f>
        <v>277.173</v>
      </c>
      <c r="E306" s="106">
        <v>0</v>
      </c>
      <c r="F306" s="106">
        <f t="shared" si="10"/>
        <v>277.173</v>
      </c>
      <c r="G306" s="63">
        <v>0</v>
      </c>
      <c r="H306" s="106">
        <f t="shared" si="11"/>
        <v>415.7595</v>
      </c>
      <c r="I306" s="36"/>
      <c r="L306" s="246"/>
      <c r="M306" s="246"/>
      <c r="N306" s="36"/>
      <c r="T306" s="35"/>
    </row>
    <row r="307" spans="1:20" s="105" customFormat="1" ht="15.75" customHeight="1" x14ac:dyDescent="0.25">
      <c r="A307" s="131">
        <v>14</v>
      </c>
      <c r="B307" s="132"/>
      <c r="C307" s="106" t="s">
        <v>399</v>
      </c>
      <c r="D307" s="111">
        <f>(39.63)*(10.764)</f>
        <v>426.57731999999999</v>
      </c>
      <c r="E307" s="106">
        <v>0</v>
      </c>
      <c r="F307" s="106">
        <f t="shared" si="10"/>
        <v>426.57731999999999</v>
      </c>
      <c r="G307" s="106">
        <v>0</v>
      </c>
      <c r="H307" s="106">
        <f t="shared" si="11"/>
        <v>639.86598000000004</v>
      </c>
      <c r="I307" s="36"/>
      <c r="L307" s="246"/>
      <c r="M307" s="246"/>
      <c r="N307" s="36"/>
      <c r="T307" s="34"/>
    </row>
    <row r="308" spans="1:20" s="105" customFormat="1" ht="15.75" customHeight="1" x14ac:dyDescent="0.25">
      <c r="A308" s="131">
        <v>15</v>
      </c>
      <c r="B308" s="132"/>
      <c r="C308" s="106" t="s">
        <v>399</v>
      </c>
      <c r="D308" s="111">
        <f>(22.83)*(10.764)</f>
        <v>245.74211999999997</v>
      </c>
      <c r="E308" s="106">
        <v>0</v>
      </c>
      <c r="F308" s="106">
        <f t="shared" si="10"/>
        <v>245.74211999999997</v>
      </c>
      <c r="G308" s="106">
        <v>0</v>
      </c>
      <c r="H308" s="106">
        <f t="shared" si="11"/>
        <v>368.61317999999994</v>
      </c>
      <c r="I308" s="36"/>
      <c r="L308" s="246"/>
      <c r="M308" s="246"/>
      <c r="N308" s="36"/>
      <c r="T308" s="21"/>
    </row>
    <row r="309" spans="1:20" s="105" customFormat="1" ht="15.75" customHeight="1" x14ac:dyDescent="0.25">
      <c r="A309" s="131">
        <v>16</v>
      </c>
      <c r="B309" s="132"/>
      <c r="C309" s="106" t="s">
        <v>399</v>
      </c>
      <c r="D309" s="111">
        <f>(33.83)*(10.764)</f>
        <v>364.14611999999994</v>
      </c>
      <c r="E309" s="106">
        <v>0</v>
      </c>
      <c r="F309" s="106">
        <f t="shared" si="10"/>
        <v>364.14611999999994</v>
      </c>
      <c r="G309" s="106">
        <v>0</v>
      </c>
      <c r="H309" s="106">
        <f t="shared" si="11"/>
        <v>546.21917999999994</v>
      </c>
      <c r="I309" s="36"/>
      <c r="L309" s="246"/>
      <c r="M309" s="246"/>
      <c r="N309" s="36"/>
      <c r="T309" s="21"/>
    </row>
    <row r="310" spans="1:20" s="105" customFormat="1" ht="15.75" customHeight="1" x14ac:dyDescent="0.25">
      <c r="A310" s="131">
        <v>17</v>
      </c>
      <c r="B310" s="132"/>
      <c r="C310" s="106" t="s">
        <v>399</v>
      </c>
      <c r="D310" s="111">
        <f>(28.94)*(10.764)</f>
        <v>311.51015999999998</v>
      </c>
      <c r="E310" s="106">
        <v>0</v>
      </c>
      <c r="F310" s="106">
        <f t="shared" si="10"/>
        <v>311.51015999999998</v>
      </c>
      <c r="G310" s="63">
        <v>0</v>
      </c>
      <c r="H310" s="106">
        <f t="shared" si="11"/>
        <v>467.26523999999995</v>
      </c>
      <c r="I310" s="36"/>
      <c r="L310" s="246"/>
      <c r="M310" s="246"/>
      <c r="N310" s="36"/>
      <c r="T310" s="35"/>
    </row>
    <row r="311" spans="1:20" s="105" customFormat="1" ht="15.75" customHeight="1" x14ac:dyDescent="0.25">
      <c r="A311" s="131">
        <v>18</v>
      </c>
      <c r="B311" s="132"/>
      <c r="C311" s="106" t="s">
        <v>399</v>
      </c>
      <c r="D311" s="111">
        <f>(30.57)*(10.764)</f>
        <v>329.05547999999999</v>
      </c>
      <c r="E311" s="106">
        <v>0</v>
      </c>
      <c r="F311" s="106">
        <f t="shared" si="10"/>
        <v>329.05547999999999</v>
      </c>
      <c r="G311" s="106">
        <v>0</v>
      </c>
      <c r="H311" s="106">
        <f t="shared" si="11"/>
        <v>493.58321999999998</v>
      </c>
      <c r="I311" s="36"/>
      <c r="L311" s="246"/>
      <c r="M311" s="246"/>
      <c r="N311" s="36"/>
      <c r="T311" s="34"/>
    </row>
    <row r="312" spans="1:20" s="105" customFormat="1" ht="15.75" customHeight="1" x14ac:dyDescent="0.25">
      <c r="A312" s="131">
        <v>19</v>
      </c>
      <c r="B312" s="132"/>
      <c r="C312" s="106" t="s">
        <v>399</v>
      </c>
      <c r="D312" s="111">
        <f>(28.95)*(10.764)</f>
        <v>311.61779999999999</v>
      </c>
      <c r="E312" s="106">
        <v>0</v>
      </c>
      <c r="F312" s="106">
        <f t="shared" si="10"/>
        <v>311.61779999999999</v>
      </c>
      <c r="G312" s="106">
        <v>0</v>
      </c>
      <c r="H312" s="106">
        <f t="shared" si="11"/>
        <v>467.42669999999998</v>
      </c>
      <c r="I312" s="36"/>
      <c r="L312" s="246"/>
      <c r="M312" s="246"/>
      <c r="N312" s="36"/>
      <c r="T312" s="21"/>
    </row>
    <row r="313" spans="1:20" s="105" customFormat="1" ht="15.75" customHeight="1" x14ac:dyDescent="0.25">
      <c r="A313" s="131">
        <v>20</v>
      </c>
      <c r="B313" s="132"/>
      <c r="C313" s="106" t="s">
        <v>399</v>
      </c>
      <c r="D313" s="111">
        <f>(32.61)*(10.764)</f>
        <v>351.01403999999997</v>
      </c>
      <c r="E313" s="106">
        <v>0</v>
      </c>
      <c r="F313" s="106">
        <f t="shared" si="10"/>
        <v>351.01403999999997</v>
      </c>
      <c r="G313" s="106">
        <v>0</v>
      </c>
      <c r="H313" s="106">
        <f t="shared" si="11"/>
        <v>526.52105999999992</v>
      </c>
      <c r="I313" s="36"/>
      <c r="L313" s="246"/>
      <c r="M313" s="246"/>
      <c r="N313" s="36"/>
      <c r="T313" s="21"/>
    </row>
    <row r="314" spans="1:20" s="105" customFormat="1" ht="15.75" customHeight="1" x14ac:dyDescent="0.25">
      <c r="A314" s="131">
        <v>21</v>
      </c>
      <c r="B314" s="132"/>
      <c r="C314" s="106" t="s">
        <v>399</v>
      </c>
      <c r="D314" s="111">
        <f>(21.31)*(10.764)</f>
        <v>229.38083999999998</v>
      </c>
      <c r="E314" s="106">
        <v>0</v>
      </c>
      <c r="F314" s="106">
        <f t="shared" si="10"/>
        <v>229.38083999999998</v>
      </c>
      <c r="G314" s="63">
        <v>0</v>
      </c>
      <c r="H314" s="106">
        <f t="shared" si="11"/>
        <v>344.07125999999994</v>
      </c>
      <c r="I314" s="36"/>
      <c r="L314" s="246"/>
      <c r="M314" s="246"/>
      <c r="N314" s="36"/>
      <c r="T314" s="35"/>
    </row>
    <row r="315" spans="1:20" s="105" customFormat="1" ht="15.75" customHeight="1" x14ac:dyDescent="0.25">
      <c r="A315" s="131">
        <v>22</v>
      </c>
      <c r="B315" s="132"/>
      <c r="C315" s="106" t="s">
        <v>399</v>
      </c>
      <c r="D315" s="111">
        <f>(23.65)*(10.764)</f>
        <v>254.56859999999998</v>
      </c>
      <c r="E315" s="106">
        <v>0</v>
      </c>
      <c r="F315" s="106">
        <f t="shared" si="10"/>
        <v>254.56859999999998</v>
      </c>
      <c r="G315" s="106">
        <v>0</v>
      </c>
      <c r="H315" s="106">
        <f t="shared" si="11"/>
        <v>381.85289999999998</v>
      </c>
      <c r="I315" s="36"/>
      <c r="L315" s="246"/>
      <c r="M315" s="246"/>
      <c r="N315" s="36"/>
      <c r="T315" s="34"/>
    </row>
    <row r="316" spans="1:20" s="105" customFormat="1" ht="15.75" customHeight="1" x14ac:dyDescent="0.25">
      <c r="A316" s="131">
        <v>23</v>
      </c>
      <c r="B316" s="132"/>
      <c r="C316" s="106" t="s">
        <v>399</v>
      </c>
      <c r="D316" s="111">
        <f>(35.72)*(10.764)</f>
        <v>384.49007999999998</v>
      </c>
      <c r="E316" s="106">
        <v>0</v>
      </c>
      <c r="F316" s="106">
        <f t="shared" si="10"/>
        <v>384.49007999999998</v>
      </c>
      <c r="G316" s="106">
        <v>0</v>
      </c>
      <c r="H316" s="106">
        <f t="shared" si="11"/>
        <v>576.73511999999994</v>
      </c>
      <c r="I316" s="36"/>
      <c r="L316" s="246"/>
      <c r="M316" s="246"/>
      <c r="N316" s="36"/>
      <c r="T316" s="21"/>
    </row>
    <row r="317" spans="1:20" s="105" customFormat="1" x14ac:dyDescent="0.25">
      <c r="A317" s="133" t="s">
        <v>401</v>
      </c>
      <c r="B317" s="134"/>
      <c r="C317" s="134"/>
      <c r="D317" s="134"/>
      <c r="E317" s="134"/>
      <c r="F317" s="134"/>
      <c r="G317" s="134"/>
      <c r="H317" s="135"/>
      <c r="I317" s="105">
        <v>2</v>
      </c>
      <c r="J317" s="36"/>
      <c r="T317" s="35"/>
    </row>
    <row r="318" spans="1:20" s="105" customFormat="1" ht="15.75" customHeight="1" x14ac:dyDescent="0.25">
      <c r="A318" s="131">
        <v>1</v>
      </c>
      <c r="B318" s="132"/>
      <c r="C318" s="106" t="s">
        <v>399</v>
      </c>
      <c r="D318" s="111">
        <f>(47.74)*(10.764)</f>
        <v>513.87335999999993</v>
      </c>
      <c r="E318" s="106">
        <v>0</v>
      </c>
      <c r="F318" s="106">
        <f t="shared" ref="F318:F338" si="12">D318+(IF(E318&lt;201,E318,IF(E318&lt;301,E318/2,E318/3)))</f>
        <v>513.87335999999993</v>
      </c>
      <c r="G318" s="63">
        <v>0</v>
      </c>
      <c r="H318" s="106">
        <f t="shared" ref="H318:H338" si="13">(F318+(IF(G318&lt;101,G318,IF(G318&lt;201,G318/2,IF(G318&lt;=301,G318/3,G318/4)))))*(($H$145)+1)</f>
        <v>770.81003999999984</v>
      </c>
      <c r="I318" s="36"/>
      <c r="L318" s="246"/>
      <c r="M318" s="246"/>
      <c r="N318" s="36"/>
      <c r="T318" s="35"/>
    </row>
    <row r="319" spans="1:20" s="105" customFormat="1" ht="15.75" customHeight="1" x14ac:dyDescent="0.25">
      <c r="A319" s="131">
        <v>2</v>
      </c>
      <c r="B319" s="132"/>
      <c r="C319" s="106" t="s">
        <v>399</v>
      </c>
      <c r="D319" s="111">
        <f>(30.25)*(10.764)</f>
        <v>325.61099999999999</v>
      </c>
      <c r="E319" s="106">
        <v>0</v>
      </c>
      <c r="F319" s="106">
        <f t="shared" si="12"/>
        <v>325.61099999999999</v>
      </c>
      <c r="G319" s="106">
        <v>0</v>
      </c>
      <c r="H319" s="106">
        <f t="shared" si="13"/>
        <v>488.41649999999998</v>
      </c>
      <c r="I319" s="36">
        <f>13.95*5.85</f>
        <v>81.607499999999987</v>
      </c>
      <c r="L319" s="246"/>
      <c r="M319" s="246"/>
      <c r="N319" s="36"/>
      <c r="T319" s="34"/>
    </row>
    <row r="320" spans="1:20" s="105" customFormat="1" ht="15.75" customHeight="1" x14ac:dyDescent="0.25">
      <c r="A320" s="131">
        <v>3</v>
      </c>
      <c r="B320" s="132"/>
      <c r="C320" s="106" t="s">
        <v>399</v>
      </c>
      <c r="D320" s="111">
        <f>30.44*(10.764)</f>
        <v>327.65616</v>
      </c>
      <c r="E320" s="106">
        <v>0</v>
      </c>
      <c r="F320" s="106">
        <f t="shared" si="12"/>
        <v>327.65616</v>
      </c>
      <c r="G320" s="106">
        <v>0</v>
      </c>
      <c r="H320" s="106">
        <f t="shared" si="13"/>
        <v>491.48424</v>
      </c>
      <c r="I320" s="36"/>
      <c r="L320" s="246"/>
      <c r="M320" s="246"/>
      <c r="N320" s="36"/>
      <c r="T320" s="21"/>
    </row>
    <row r="321" spans="1:20" s="105" customFormat="1" ht="15.75" customHeight="1" x14ac:dyDescent="0.25">
      <c r="A321" s="131">
        <v>4</v>
      </c>
      <c r="B321" s="132"/>
      <c r="C321" s="106" t="s">
        <v>399</v>
      </c>
      <c r="D321" s="111">
        <f>(20.88)*(10.764)</f>
        <v>224.75231999999997</v>
      </c>
      <c r="E321" s="106">
        <v>0</v>
      </c>
      <c r="F321" s="106">
        <f t="shared" si="12"/>
        <v>224.75231999999997</v>
      </c>
      <c r="G321" s="106">
        <v>0</v>
      </c>
      <c r="H321" s="106">
        <f t="shared" si="13"/>
        <v>337.12847999999997</v>
      </c>
      <c r="I321" s="36"/>
      <c r="L321" s="246"/>
      <c r="M321" s="246"/>
      <c r="N321" s="36"/>
      <c r="T321" s="21"/>
    </row>
    <row r="322" spans="1:20" s="105" customFormat="1" ht="15.75" customHeight="1" x14ac:dyDescent="0.25">
      <c r="A322" s="131">
        <v>5</v>
      </c>
      <c r="B322" s="132"/>
      <c r="C322" s="106" t="s">
        <v>399</v>
      </c>
      <c r="D322" s="111">
        <f>(29.88)*(10.764)</f>
        <v>321.62831999999997</v>
      </c>
      <c r="E322" s="106">
        <v>0</v>
      </c>
      <c r="F322" s="106">
        <f t="shared" si="12"/>
        <v>321.62831999999997</v>
      </c>
      <c r="G322" s="63">
        <v>0</v>
      </c>
      <c r="H322" s="106">
        <f t="shared" si="13"/>
        <v>482.44247999999993</v>
      </c>
      <c r="I322" s="110">
        <f>2.95*5.5+1.6*1.35</f>
        <v>18.385000000000002</v>
      </c>
      <c r="L322" s="246"/>
      <c r="M322" s="246"/>
      <c r="N322" s="36"/>
      <c r="T322" s="35"/>
    </row>
    <row r="323" spans="1:20" s="105" customFormat="1" ht="15.75" customHeight="1" x14ac:dyDescent="0.25">
      <c r="A323" s="131">
        <v>6</v>
      </c>
      <c r="B323" s="132"/>
      <c r="C323" s="106" t="s">
        <v>399</v>
      </c>
      <c r="D323" s="111">
        <f>(26.5)*(10.764)</f>
        <v>285.24599999999998</v>
      </c>
      <c r="E323" s="106">
        <v>0</v>
      </c>
      <c r="F323" s="106">
        <f t="shared" si="12"/>
        <v>285.24599999999998</v>
      </c>
      <c r="G323" s="106">
        <v>0</v>
      </c>
      <c r="H323" s="106">
        <f t="shared" si="13"/>
        <v>427.86899999999997</v>
      </c>
      <c r="I323" s="36"/>
      <c r="L323" s="246"/>
      <c r="M323" s="246"/>
      <c r="N323" s="36"/>
      <c r="T323" s="34"/>
    </row>
    <row r="324" spans="1:20" s="105" customFormat="1" ht="15.75" customHeight="1" x14ac:dyDescent="0.25">
      <c r="A324" s="131">
        <v>7</v>
      </c>
      <c r="B324" s="132"/>
      <c r="C324" s="106" t="s">
        <v>399</v>
      </c>
      <c r="D324" s="111">
        <f>(28)*(10.764)</f>
        <v>301.392</v>
      </c>
      <c r="E324" s="106">
        <v>0</v>
      </c>
      <c r="F324" s="106">
        <f t="shared" si="12"/>
        <v>301.392</v>
      </c>
      <c r="G324" s="106">
        <v>0</v>
      </c>
      <c r="H324" s="106">
        <f t="shared" si="13"/>
        <v>452.08799999999997</v>
      </c>
      <c r="I324" s="36"/>
      <c r="L324" s="246"/>
      <c r="M324" s="246"/>
      <c r="N324" s="36"/>
      <c r="T324" s="21"/>
    </row>
    <row r="325" spans="1:20" s="105" customFormat="1" ht="15.75" customHeight="1" x14ac:dyDescent="0.25">
      <c r="A325" s="131">
        <v>8</v>
      </c>
      <c r="B325" s="132"/>
      <c r="C325" s="106" t="s">
        <v>399</v>
      </c>
      <c r="D325" s="111">
        <f>(26.5)*(10.764)</f>
        <v>285.24599999999998</v>
      </c>
      <c r="E325" s="106">
        <v>0</v>
      </c>
      <c r="F325" s="106">
        <f t="shared" si="12"/>
        <v>285.24599999999998</v>
      </c>
      <c r="G325" s="106">
        <v>0</v>
      </c>
      <c r="H325" s="106">
        <f t="shared" si="13"/>
        <v>427.86899999999997</v>
      </c>
      <c r="I325" s="36"/>
      <c r="L325" s="246"/>
      <c r="M325" s="246"/>
      <c r="N325" s="36"/>
      <c r="T325" s="21"/>
    </row>
    <row r="326" spans="1:20" s="105" customFormat="1" ht="15.75" customHeight="1" x14ac:dyDescent="0.25">
      <c r="A326" s="131">
        <v>9</v>
      </c>
      <c r="B326" s="132"/>
      <c r="C326" s="106" t="s">
        <v>399</v>
      </c>
      <c r="D326" s="111">
        <f>(31)*(10.764)</f>
        <v>333.68399999999997</v>
      </c>
      <c r="E326" s="106">
        <v>0</v>
      </c>
      <c r="F326" s="106">
        <f t="shared" si="12"/>
        <v>333.68399999999997</v>
      </c>
      <c r="G326" s="63">
        <v>0</v>
      </c>
      <c r="H326" s="106">
        <f t="shared" si="13"/>
        <v>500.52599999999995</v>
      </c>
      <c r="I326" s="36"/>
      <c r="L326" s="246"/>
      <c r="M326" s="246"/>
      <c r="N326" s="36"/>
      <c r="T326" s="35"/>
    </row>
    <row r="327" spans="1:20" s="105" customFormat="1" ht="15.75" customHeight="1" x14ac:dyDescent="0.25">
      <c r="A327" s="131">
        <v>10</v>
      </c>
      <c r="B327" s="132"/>
      <c r="C327" s="106" t="s">
        <v>399</v>
      </c>
      <c r="D327" s="111">
        <f>(20.88)*(10.764)</f>
        <v>224.75231999999997</v>
      </c>
      <c r="E327" s="106">
        <v>0</v>
      </c>
      <c r="F327" s="106">
        <f t="shared" si="12"/>
        <v>224.75231999999997</v>
      </c>
      <c r="G327" s="106">
        <v>0</v>
      </c>
      <c r="H327" s="106">
        <f t="shared" si="13"/>
        <v>337.12847999999997</v>
      </c>
      <c r="I327" s="36"/>
      <c r="L327" s="246"/>
      <c r="M327" s="246"/>
      <c r="N327" s="36"/>
      <c r="T327" s="34"/>
    </row>
    <row r="328" spans="1:20" s="105" customFormat="1" ht="15.75" customHeight="1" x14ac:dyDescent="0.25">
      <c r="A328" s="131">
        <v>11</v>
      </c>
      <c r="B328" s="132"/>
      <c r="C328" s="106" t="s">
        <v>399</v>
      </c>
      <c r="D328" s="111">
        <f>(25.39)*(10.764)</f>
        <v>273.29795999999999</v>
      </c>
      <c r="E328" s="106">
        <v>0</v>
      </c>
      <c r="F328" s="106">
        <f t="shared" si="12"/>
        <v>273.29795999999999</v>
      </c>
      <c r="G328" s="106">
        <v>0</v>
      </c>
      <c r="H328" s="106">
        <f t="shared" si="13"/>
        <v>409.94693999999998</v>
      </c>
      <c r="I328" s="36"/>
      <c r="L328" s="246"/>
      <c r="M328" s="246"/>
      <c r="N328" s="36"/>
      <c r="T328" s="21"/>
    </row>
    <row r="329" spans="1:20" s="105" customFormat="1" ht="15.75" customHeight="1" x14ac:dyDescent="0.25">
      <c r="A329" s="131">
        <v>12</v>
      </c>
      <c r="B329" s="132"/>
      <c r="C329" s="106" t="s">
        <v>399</v>
      </c>
      <c r="D329" s="111">
        <f>(22.38)*(10.764)</f>
        <v>240.89831999999998</v>
      </c>
      <c r="E329" s="106">
        <v>0</v>
      </c>
      <c r="F329" s="106">
        <f t="shared" si="12"/>
        <v>240.89831999999998</v>
      </c>
      <c r="G329" s="106">
        <v>0</v>
      </c>
      <c r="H329" s="106">
        <f t="shared" si="13"/>
        <v>361.34747999999996</v>
      </c>
      <c r="I329" s="36"/>
      <c r="L329" s="246"/>
      <c r="M329" s="246"/>
      <c r="N329" s="36"/>
      <c r="T329" s="21"/>
    </row>
    <row r="330" spans="1:20" s="105" customFormat="1" ht="15.75" customHeight="1" x14ac:dyDescent="0.25">
      <c r="A330" s="131">
        <v>13</v>
      </c>
      <c r="B330" s="132"/>
      <c r="C330" s="106" t="s">
        <v>399</v>
      </c>
      <c r="D330" s="111">
        <f>(25.75)*(10.764)</f>
        <v>277.173</v>
      </c>
      <c r="E330" s="106">
        <v>0</v>
      </c>
      <c r="F330" s="106">
        <f t="shared" si="12"/>
        <v>277.173</v>
      </c>
      <c r="G330" s="63">
        <v>0</v>
      </c>
      <c r="H330" s="106">
        <f t="shared" si="13"/>
        <v>415.7595</v>
      </c>
      <c r="I330" s="36"/>
      <c r="L330" s="246"/>
      <c r="M330" s="246"/>
      <c r="N330" s="36"/>
      <c r="T330" s="35"/>
    </row>
    <row r="331" spans="1:20" s="105" customFormat="1" ht="15.75" customHeight="1" x14ac:dyDescent="0.25">
      <c r="A331" s="131">
        <v>14</v>
      </c>
      <c r="B331" s="132"/>
      <c r="C331" s="106" t="s">
        <v>399</v>
      </c>
      <c r="D331" s="111">
        <f>(39.63)*(10.764)</f>
        <v>426.57731999999999</v>
      </c>
      <c r="E331" s="106">
        <v>0</v>
      </c>
      <c r="F331" s="106">
        <f t="shared" si="12"/>
        <v>426.57731999999999</v>
      </c>
      <c r="G331" s="106">
        <v>0</v>
      </c>
      <c r="H331" s="106">
        <f t="shared" si="13"/>
        <v>639.86598000000004</v>
      </c>
      <c r="I331" s="36"/>
      <c r="L331" s="246"/>
      <c r="M331" s="246"/>
      <c r="N331" s="36"/>
      <c r="T331" s="34"/>
    </row>
    <row r="332" spans="1:20" s="105" customFormat="1" ht="15.75" customHeight="1" x14ac:dyDescent="0.25">
      <c r="A332" s="131">
        <v>15</v>
      </c>
      <c r="B332" s="132"/>
      <c r="C332" s="106" t="s">
        <v>399</v>
      </c>
      <c r="D332" s="111">
        <f>(22.83)*(10.764)</f>
        <v>245.74211999999997</v>
      </c>
      <c r="E332" s="106">
        <v>0</v>
      </c>
      <c r="F332" s="106">
        <f t="shared" si="12"/>
        <v>245.74211999999997</v>
      </c>
      <c r="G332" s="106">
        <v>0</v>
      </c>
      <c r="H332" s="106">
        <f t="shared" si="13"/>
        <v>368.61317999999994</v>
      </c>
      <c r="I332" s="36"/>
      <c r="L332" s="246"/>
      <c r="M332" s="246"/>
      <c r="N332" s="36"/>
      <c r="T332" s="21"/>
    </row>
    <row r="333" spans="1:20" s="105" customFormat="1" ht="15.75" customHeight="1" x14ac:dyDescent="0.25">
      <c r="A333" s="131">
        <v>16</v>
      </c>
      <c r="B333" s="132"/>
      <c r="C333" s="106" t="s">
        <v>399</v>
      </c>
      <c r="D333" s="111">
        <f>(33.83)*(10.764)</f>
        <v>364.14611999999994</v>
      </c>
      <c r="E333" s="106">
        <v>0</v>
      </c>
      <c r="F333" s="106">
        <f t="shared" si="12"/>
        <v>364.14611999999994</v>
      </c>
      <c r="G333" s="106">
        <v>0</v>
      </c>
      <c r="H333" s="106">
        <f t="shared" si="13"/>
        <v>546.21917999999994</v>
      </c>
      <c r="I333" s="36"/>
      <c r="L333" s="246"/>
      <c r="M333" s="246"/>
      <c r="N333" s="36"/>
      <c r="T333" s="21"/>
    </row>
    <row r="334" spans="1:20" s="105" customFormat="1" ht="15.75" customHeight="1" x14ac:dyDescent="0.25">
      <c r="A334" s="131">
        <v>17</v>
      </c>
      <c r="B334" s="132"/>
      <c r="C334" s="106" t="s">
        <v>399</v>
      </c>
      <c r="D334" s="111">
        <f>(28.94)*(10.764)</f>
        <v>311.51015999999998</v>
      </c>
      <c r="E334" s="106">
        <v>0</v>
      </c>
      <c r="F334" s="106">
        <f t="shared" si="12"/>
        <v>311.51015999999998</v>
      </c>
      <c r="G334" s="63">
        <v>0</v>
      </c>
      <c r="H334" s="106">
        <f t="shared" si="13"/>
        <v>467.26523999999995</v>
      </c>
      <c r="I334" s="36"/>
      <c r="L334" s="246"/>
      <c r="M334" s="246"/>
      <c r="N334" s="36"/>
      <c r="T334" s="35"/>
    </row>
    <row r="335" spans="1:20" s="105" customFormat="1" ht="15.75" customHeight="1" x14ac:dyDescent="0.25">
      <c r="A335" s="131">
        <v>18</v>
      </c>
      <c r="B335" s="132"/>
      <c r="C335" s="106" t="s">
        <v>399</v>
      </c>
      <c r="D335" s="111">
        <f>(30.57)*(10.764)</f>
        <v>329.05547999999999</v>
      </c>
      <c r="E335" s="106">
        <v>0</v>
      </c>
      <c r="F335" s="106">
        <f t="shared" si="12"/>
        <v>329.05547999999999</v>
      </c>
      <c r="G335" s="106">
        <v>0</v>
      </c>
      <c r="H335" s="106">
        <f t="shared" si="13"/>
        <v>493.58321999999998</v>
      </c>
      <c r="I335" s="36"/>
      <c r="L335" s="246"/>
      <c r="M335" s="246"/>
      <c r="N335" s="36"/>
      <c r="T335" s="34"/>
    </row>
    <row r="336" spans="1:20" s="105" customFormat="1" ht="15.75" customHeight="1" x14ac:dyDescent="0.25">
      <c r="A336" s="131">
        <v>19</v>
      </c>
      <c r="B336" s="132"/>
      <c r="C336" s="106" t="s">
        <v>399</v>
      </c>
      <c r="D336" s="111">
        <f>(28.95)*(10.764)</f>
        <v>311.61779999999999</v>
      </c>
      <c r="E336" s="106">
        <v>0</v>
      </c>
      <c r="F336" s="106">
        <f t="shared" si="12"/>
        <v>311.61779999999999</v>
      </c>
      <c r="G336" s="106">
        <v>0</v>
      </c>
      <c r="H336" s="106">
        <f t="shared" si="13"/>
        <v>467.42669999999998</v>
      </c>
      <c r="I336" s="36"/>
      <c r="L336" s="246"/>
      <c r="M336" s="246"/>
      <c r="N336" s="36"/>
      <c r="T336" s="21"/>
    </row>
    <row r="337" spans="1:20" s="105" customFormat="1" ht="15.75" customHeight="1" x14ac:dyDescent="0.25">
      <c r="A337" s="131">
        <v>20</v>
      </c>
      <c r="B337" s="132"/>
      <c r="C337" s="106" t="s">
        <v>399</v>
      </c>
      <c r="D337" s="111">
        <f>(32.61)*(10.764)</f>
        <v>351.01403999999997</v>
      </c>
      <c r="E337" s="106">
        <v>0</v>
      </c>
      <c r="F337" s="106">
        <f t="shared" si="12"/>
        <v>351.01403999999997</v>
      </c>
      <c r="G337" s="106">
        <v>0</v>
      </c>
      <c r="H337" s="106">
        <f t="shared" si="13"/>
        <v>526.52105999999992</v>
      </c>
      <c r="I337" s="36"/>
      <c r="L337" s="246"/>
      <c r="M337" s="246"/>
      <c r="N337" s="36"/>
      <c r="T337" s="21"/>
    </row>
    <row r="338" spans="1:20" s="105" customFormat="1" ht="15.75" customHeight="1" x14ac:dyDescent="0.25">
      <c r="A338" s="131">
        <v>21</v>
      </c>
      <c r="B338" s="132"/>
      <c r="C338" s="106" t="s">
        <v>399</v>
      </c>
      <c r="D338" s="111">
        <f>(21.31)*(10.764)</f>
        <v>229.38083999999998</v>
      </c>
      <c r="E338" s="106">
        <v>0</v>
      </c>
      <c r="F338" s="106">
        <f t="shared" si="12"/>
        <v>229.38083999999998</v>
      </c>
      <c r="G338" s="63">
        <v>0</v>
      </c>
      <c r="H338" s="106">
        <f t="shared" si="13"/>
        <v>344.07125999999994</v>
      </c>
      <c r="I338" s="36"/>
      <c r="L338" s="246"/>
      <c r="M338" s="246"/>
      <c r="N338" s="36"/>
      <c r="T338" s="35"/>
    </row>
    <row r="339" spans="1:20" s="105" customFormat="1" ht="15.75" customHeight="1" x14ac:dyDescent="0.25">
      <c r="A339" s="131">
        <v>22</v>
      </c>
      <c r="B339" s="132"/>
      <c r="C339" s="283" t="s">
        <v>400</v>
      </c>
      <c r="D339" s="284"/>
      <c r="E339" s="284"/>
      <c r="F339" s="284"/>
      <c r="G339" s="284"/>
      <c r="H339" s="285"/>
      <c r="I339" s="36"/>
      <c r="L339" s="246"/>
      <c r="M339" s="246"/>
      <c r="N339" s="36"/>
      <c r="T339" s="34"/>
    </row>
    <row r="340" spans="1:20" s="105" customFormat="1" ht="15.75" customHeight="1" x14ac:dyDescent="0.25">
      <c r="A340" s="131">
        <v>23</v>
      </c>
      <c r="B340" s="132"/>
      <c r="C340" s="286"/>
      <c r="D340" s="287"/>
      <c r="E340" s="287"/>
      <c r="F340" s="287"/>
      <c r="G340" s="287"/>
      <c r="H340" s="288"/>
      <c r="I340" s="36"/>
      <c r="L340" s="246"/>
      <c r="M340" s="246"/>
      <c r="N340" s="36"/>
      <c r="T340" s="21"/>
    </row>
    <row r="341" spans="1:20" s="37" customFormat="1" hidden="1" x14ac:dyDescent="0.25">
      <c r="A341" s="131"/>
      <c r="B341" s="190"/>
      <c r="C341" s="190"/>
      <c r="D341" s="190"/>
      <c r="E341" s="190"/>
      <c r="F341" s="190"/>
      <c r="G341" s="190"/>
      <c r="H341" s="132"/>
      <c r="I341" s="36"/>
      <c r="N341" s="36"/>
    </row>
    <row r="342" spans="1:20" ht="47.25" hidden="1" customHeight="1" x14ac:dyDescent="0.25">
      <c r="A342" s="171" t="s">
        <v>118</v>
      </c>
      <c r="B342" s="159" t="s">
        <v>178</v>
      </c>
      <c r="C342" s="173" t="s">
        <v>54</v>
      </c>
      <c r="D342" s="159" t="s">
        <v>372</v>
      </c>
      <c r="E342" s="159" t="s">
        <v>233</v>
      </c>
      <c r="F342" s="173" t="s">
        <v>55</v>
      </c>
      <c r="G342" s="261" t="s">
        <v>56</v>
      </c>
      <c r="H342" s="68" t="s">
        <v>149</v>
      </c>
      <c r="I342" s="36"/>
      <c r="T342" s="37"/>
    </row>
    <row r="343" spans="1:20" s="37" customFormat="1" hidden="1" x14ac:dyDescent="0.25">
      <c r="A343" s="172"/>
      <c r="B343" s="160"/>
      <c r="C343" s="174"/>
      <c r="D343" s="160"/>
      <c r="E343" s="160"/>
      <c r="F343" s="174"/>
      <c r="G343" s="262"/>
      <c r="H343" s="55">
        <v>0.45</v>
      </c>
      <c r="I343" s="36"/>
    </row>
    <row r="344" spans="1:20" s="37" customFormat="1" hidden="1" x14ac:dyDescent="0.25">
      <c r="A344" s="133" t="s">
        <v>116</v>
      </c>
      <c r="B344" s="134"/>
      <c r="C344" s="134"/>
      <c r="D344" s="134"/>
      <c r="E344" s="134"/>
      <c r="F344" s="134"/>
      <c r="G344" s="134"/>
      <c r="H344" s="135"/>
      <c r="J344" s="36"/>
    </row>
    <row r="345" spans="1:20" s="37" customFormat="1" ht="15.75" hidden="1" customHeight="1" x14ac:dyDescent="0.25">
      <c r="A345" s="131">
        <v>1</v>
      </c>
      <c r="B345" s="132"/>
      <c r="C345" s="42"/>
      <c r="D345" s="42"/>
      <c r="E345" s="42">
        <v>0</v>
      </c>
      <c r="F345" s="42">
        <f>D345+E345</f>
        <v>0</v>
      </c>
      <c r="G345" s="54">
        <v>0</v>
      </c>
      <c r="H345" s="54">
        <f>F345*(($H$343)+1)+(IF(G345&lt;101,G345,IF(G345&lt;201,G345/2,IF(G345&lt;=301,G345/3,G345/4))))</f>
        <v>0</v>
      </c>
      <c r="I345" s="36"/>
      <c r="L345" s="246"/>
      <c r="M345" s="246"/>
      <c r="N345" s="36"/>
    </row>
    <row r="346" spans="1:20" s="37" customFormat="1" ht="15.75" hidden="1" customHeight="1" x14ac:dyDescent="0.25">
      <c r="A346" s="131">
        <f>A345+1</f>
        <v>2</v>
      </c>
      <c r="B346" s="132"/>
      <c r="C346" s="42"/>
      <c r="D346" s="42"/>
      <c r="E346" s="42">
        <v>0</v>
      </c>
      <c r="F346" s="54">
        <f>D346+E346</f>
        <v>0</v>
      </c>
      <c r="G346" s="54">
        <v>0</v>
      </c>
      <c r="H346" s="54">
        <f>F346*(($H$343)+1)+(IF(G346&lt;101,G346,IF(G346&lt;201,G346/2,IF(G346&lt;=301,G346/3,G346/4))))</f>
        <v>0</v>
      </c>
      <c r="I346" s="36"/>
      <c r="L346" s="246"/>
      <c r="M346" s="246"/>
      <c r="N346" s="36"/>
    </row>
    <row r="347" spans="1:20" s="37" customFormat="1" ht="15.75" hidden="1" customHeight="1" x14ac:dyDescent="0.25">
      <c r="A347" s="131">
        <f>A346+1</f>
        <v>3</v>
      </c>
      <c r="B347" s="132"/>
      <c r="C347" s="42"/>
      <c r="D347" s="42"/>
      <c r="E347" s="42">
        <v>0</v>
      </c>
      <c r="F347" s="54">
        <f>D347+E347</f>
        <v>0</v>
      </c>
      <c r="G347" s="54">
        <v>0</v>
      </c>
      <c r="H347" s="54">
        <f>F347*(($H$343)+1)+(IF(G347&lt;101,G347,IF(G347&lt;201,G347/2,IF(G347&lt;=301,G347/3,G347/4))))</f>
        <v>0</v>
      </c>
      <c r="I347" s="36"/>
      <c r="L347" s="246"/>
      <c r="M347" s="246"/>
      <c r="N347" s="36"/>
    </row>
    <row r="348" spans="1:20" s="37" customFormat="1" ht="15.75" hidden="1" customHeight="1" x14ac:dyDescent="0.25">
      <c r="A348" s="131">
        <f>A347+1</f>
        <v>4</v>
      </c>
      <c r="B348" s="132"/>
      <c r="C348" s="42"/>
      <c r="D348" s="42"/>
      <c r="E348" s="42">
        <v>0</v>
      </c>
      <c r="F348" s="54">
        <f>D348+E348</f>
        <v>0</v>
      </c>
      <c r="G348" s="54">
        <v>0</v>
      </c>
      <c r="H348" s="54">
        <f>F348*(($H$343)+1)+(IF(G348&lt;101,G348,IF(G348&lt;201,G348/2,IF(G348&lt;=301,G348/3,G348/4))))</f>
        <v>0</v>
      </c>
      <c r="I348" s="36"/>
      <c r="L348" s="246"/>
      <c r="M348" s="246"/>
      <c r="N348" s="36"/>
      <c r="T348" s="21"/>
    </row>
    <row r="349" spans="1:20" s="37" customFormat="1" hidden="1" x14ac:dyDescent="0.25">
      <c r="A349" s="188" t="s">
        <v>117</v>
      </c>
      <c r="B349" s="188"/>
      <c r="C349" s="188"/>
      <c r="D349" s="188"/>
      <c r="E349" s="188"/>
      <c r="F349" s="188"/>
      <c r="G349" s="188"/>
      <c r="H349" s="188"/>
      <c r="I349" s="36"/>
      <c r="L349" s="246"/>
      <c r="M349" s="246"/>
    </row>
    <row r="350" spans="1:20" s="37" customFormat="1" hidden="1" x14ac:dyDescent="0.25">
      <c r="A350" s="158">
        <f>LEFT(A349,SUM(LEN(A349)-LEN(SUBSTITUTE(A349,{"0","1","2","3","4","5","6","7","8","9"},""))))*100+1</f>
        <v>201</v>
      </c>
      <c r="B350" s="158"/>
      <c r="C350" s="42"/>
      <c r="D350" s="42"/>
      <c r="E350" s="54">
        <v>0</v>
      </c>
      <c r="F350" s="54">
        <f>D350+E350</f>
        <v>0</v>
      </c>
      <c r="G350" s="54">
        <v>0</v>
      </c>
      <c r="H350" s="54">
        <f>F350*(($H$343)+1)+(IF(G350&lt;101,G350,IF(G350&lt;201,G350/2,IF(G350&lt;=301,G350/3,G350/4))))</f>
        <v>0</v>
      </c>
      <c r="I350" s="36"/>
      <c r="N350" s="36"/>
    </row>
    <row r="351" spans="1:20" s="37" customFormat="1" hidden="1" x14ac:dyDescent="0.25">
      <c r="A351" s="158">
        <f>A350+1</f>
        <v>202</v>
      </c>
      <c r="B351" s="158"/>
      <c r="C351" s="42"/>
      <c r="D351" s="42"/>
      <c r="E351" s="54">
        <v>0</v>
      </c>
      <c r="F351" s="54">
        <f>D351+E351</f>
        <v>0</v>
      </c>
      <c r="G351" s="54">
        <v>0</v>
      </c>
      <c r="H351" s="54">
        <f>F351*(($H$343)+1)+(IF(G351&lt;101,G351,IF(G351&lt;201,G351/2,IF(G351&lt;=301,G351/3,G351/4))))</f>
        <v>0</v>
      </c>
      <c r="I351" s="36"/>
      <c r="N351" s="36"/>
    </row>
    <row r="352" spans="1:20" s="37" customFormat="1" hidden="1" x14ac:dyDescent="0.25">
      <c r="A352" s="158">
        <f>A351+1</f>
        <v>203</v>
      </c>
      <c r="B352" s="158"/>
      <c r="C352" s="42"/>
      <c r="D352" s="42"/>
      <c r="E352" s="54">
        <v>0</v>
      </c>
      <c r="F352" s="54">
        <f>D352+E352</f>
        <v>0</v>
      </c>
      <c r="G352" s="54">
        <v>0</v>
      </c>
      <c r="H352" s="54">
        <f>F352*(($H$343)+1)+(IF(G352&lt;101,G352,IF(G352&lt;201,G352/2,IF(G352&lt;=301,G352/3,G352/4))))</f>
        <v>0</v>
      </c>
      <c r="I352" s="36"/>
      <c r="N352" s="36"/>
    </row>
    <row r="353" spans="1:14" s="37" customFormat="1" hidden="1" x14ac:dyDescent="0.25">
      <c r="A353" s="158">
        <f>A352+1</f>
        <v>204</v>
      </c>
      <c r="B353" s="158"/>
      <c r="C353" s="42"/>
      <c r="D353" s="42"/>
      <c r="E353" s="54">
        <v>0</v>
      </c>
      <c r="F353" s="54">
        <f>D353+E353</f>
        <v>0</v>
      </c>
      <c r="G353" s="54">
        <v>0</v>
      </c>
      <c r="H353" s="54">
        <f>F353*(($H$343)+1)+(IF(G353&lt;101,G353,IF(G353&lt;201,G353/2,IF(G353&lt;=301,G353/3,G353/4))))</f>
        <v>0</v>
      </c>
      <c r="I353" s="36"/>
      <c r="N353" s="36"/>
    </row>
    <row r="354" spans="1:14" s="37" customFormat="1" hidden="1" x14ac:dyDescent="0.25">
      <c r="A354" s="158">
        <f>A353+1</f>
        <v>205</v>
      </c>
      <c r="B354" s="158"/>
      <c r="C354" s="42"/>
      <c r="D354" s="42"/>
      <c r="E354" s="54">
        <v>0</v>
      </c>
      <c r="F354" s="54">
        <f>D354+E354</f>
        <v>0</v>
      </c>
      <c r="G354" s="54">
        <v>0</v>
      </c>
      <c r="H354" s="54">
        <f>F354*(($H$343)+1)+(IF(G354&lt;101,G354,IF(G354&lt;201,G354/2,IF(G354&lt;=301,G354/3,G354/4))))</f>
        <v>0</v>
      </c>
      <c r="I354" s="36"/>
      <c r="N354" s="36"/>
    </row>
    <row r="355" spans="1:14" s="37" customFormat="1" ht="15.75" hidden="1" customHeight="1" x14ac:dyDescent="0.25">
      <c r="A355" s="133" t="s">
        <v>150</v>
      </c>
      <c r="B355" s="134"/>
      <c r="C355" s="134"/>
      <c r="D355" s="134"/>
      <c r="E355" s="134"/>
      <c r="F355" s="134"/>
      <c r="G355" s="134"/>
      <c r="H355" s="135"/>
      <c r="I355" s="36"/>
    </row>
    <row r="356" spans="1:14" s="37" customFormat="1" ht="15.75" hidden="1" customHeight="1" x14ac:dyDescent="0.25">
      <c r="A356" s="131" t="str">
        <f ca="1">(SUMPRODUCT(MID(0&amp;(LEFT(A355,SUM(LEN(A355)-LEN(SUBSTITUTE(A355,{"0","1","2"},""))))), LARGE(INDEX(ISNUMBER(--MID((LEFT(A355,SUM(LEN(A355)-LEN(SUBSTITUTE(A355,{"0","1","2"},""))))), ROW(INDIRECT("1:"&amp;LEN((LEFT(A355,SUM(LEN(A355)-LEN(SUBSTITUTE(A355,{"0","1","2"},"")))))))), 1)) * ROW(INDIRECT("1:"&amp;LEN((LEFT(A355,SUM(LEN(A355)-LEN(SUBSTITUTE(A355,{"0","1","2"},"")))))))), 0), ROW(INDIRECT("1:"&amp;LEN((LEFT(A355,SUM(LEN(A355)-LEN(SUBSTITUTE(A355,{"0","1","2"},"")))))))))+1, 1) * 10^ROW(INDIRECT("1:"&amp;LEN((LEFT(A355,SUM(LEN(A355)-LEN(SUBSTITUTE(A355,{"0","1","2"},""))))))))/10))*100+1&amp;""&amp;" ,.., "&amp;""&amp;(SUMPRODUCT(MID(0&amp;(--TRIM(RIGHT(SUBSTITUTE(LEFT(A355,_xlfn.AGGREGATE(16,6,FIND({0,1,2,3,4,5,6,7,8,9},A355,ROW(INDIRECT("1:"&amp;LEN(A355)))),1))," ",REPT(" ",LEN(A355))),LEN(A355)))), LARGE(INDEX(ISNUMBER(--MID((--TRIM(RIGHT(SUBSTITUTE(LEFT(A355,_xlfn.AGGREGATE(16,6,FIND({0,1,2,3,4,5,6,7,8,9},A355,ROW(INDIRECT("1:"&amp;LEN(A355)))),1))," ",REPT(" ",LEN(A355))),LEN(A355)))), ROW(INDIRECT("1:"&amp;LEN((--TRIM(RIGHT(SUBSTITUTE(LEFT(A355,_xlfn.AGGREGATE(16,6,FIND({0,1,2,3,4,5,6,7,8,9},A355,ROW(INDIRECT("1:"&amp;LEN(A355)))),1))," ",REPT(" ",LEN(A355))),LEN(A355))))))), 1)) * ROW(INDIRECT("1:"&amp;LEN((--TRIM(RIGHT(SUBSTITUTE(LEFT(A355,_xlfn.AGGREGATE(16,6,FIND({0,1,2,3,4,5,6,7,8,9},A355,ROW(INDIRECT("1:"&amp;LEN(A355)))),1))," ",REPT(" ",LEN(A355))),LEN(A355))))))), 0), ROW(INDIRECT("1:"&amp;LEN((--TRIM(RIGHT(SUBSTITUTE(LEFT(A355,_xlfn.AGGREGATE(16,6,FIND({0,1,2,3,4,5,6,7,8,9},A355,ROW(INDIRECT("1:"&amp;LEN(A355)))),1))," ",REPT(" ",LEN(A355))),LEN(A355))))))))+1, 1) * 10^ROW(INDIRECT("1:"&amp;LEN((--TRIM(RIGHT(SUBSTITUTE(LEFT(A355,_xlfn.AGGREGATE(16,6,FIND({0,1,2,3,4,5,6,7,8,9},A355,ROW(INDIRECT("1:"&amp;LEN(A355)))),1))," ",REPT(" ",LEN(A355))),LEN(A355)))))))/10))*100+1</f>
        <v>301 ,.., 1501</v>
      </c>
      <c r="B356" s="132"/>
      <c r="C356" s="42"/>
      <c r="D356" s="42"/>
      <c r="E356" s="54">
        <v>0</v>
      </c>
      <c r="F356" s="54">
        <f>D356+E356</f>
        <v>0</v>
      </c>
      <c r="G356" s="54">
        <v>0</v>
      </c>
      <c r="H356" s="54">
        <f>F356*(($H$343)+1)+(IF(G356&lt;101,G356,IF(G356&lt;201,G356/2,IF(G356&lt;=301,G356/3,G356/4))))</f>
        <v>0</v>
      </c>
      <c r="I356" s="36"/>
    </row>
    <row r="357" spans="1:14" s="37" customFormat="1" ht="15.75" hidden="1" customHeight="1" x14ac:dyDescent="0.25">
      <c r="A357" s="131" t="str">
        <f ca="1">(SUMPRODUCT(MID(0&amp;(LEFT(A356,SUM(LEN(A356)-LEN(SUBSTITUTE(A356,{"0","1","2"},""))))), LARGE(INDEX(ISNUMBER(--MID((LEFT(A356,SUM(LEN(A356)-LEN(SUBSTITUTE(A356,{"0","1","2"},""))))), ROW(INDIRECT("1:"&amp;LEN((LEFT(A356,SUM(LEN(A356)-LEN(SUBSTITUTE(A356,{"0","1","2"},"")))))))), 1)) * ROW(INDIRECT("1:"&amp;LEN((LEFT(A356,SUM(LEN(A356)-LEN(SUBSTITUTE(A356,{"0","1","2"},"")))))))), 0), ROW(INDIRECT("1:"&amp;LEN((LEFT(A356,SUM(LEN(A356)-LEN(SUBSTITUTE(A356,{"0","1","2"},"")))))))))+1, 1) * 10^ROW(INDIRECT("1:"&amp;LEN((LEFT(A356,SUM(LEN(A356)-LEN(SUBSTITUTE(A356,{"0","1","2"},""))))))))/10))*1+1&amp;""&amp;" ,.., "&amp;""&amp;(SUMPRODUCT(MID(0&amp;(--TRIM(RIGHT(SUBSTITUTE(LEFT(A356,_xlfn.AGGREGATE(16,6,FIND({0,1,2,3,4,5,6,7,8,9},A356,ROW(INDIRECT("1:"&amp;LEN(A356)))),1))," ",REPT(" ",LEN(A356))),LEN(A356)))), LARGE(INDEX(ISNUMBER(--MID((--TRIM(RIGHT(SUBSTITUTE(LEFT(A356,_xlfn.AGGREGATE(16,6,FIND({0,1,2,3,4,5,6,7,8,9},A356,ROW(INDIRECT("1:"&amp;LEN(A356)))),1))," ",REPT(" ",LEN(A356))),LEN(A356)))), ROW(INDIRECT("1:"&amp;LEN((--TRIM(RIGHT(SUBSTITUTE(LEFT(A356,_xlfn.AGGREGATE(16,6,FIND({0,1,2,3,4,5,6,7,8,9},A356,ROW(INDIRECT("1:"&amp;LEN(A356)))),1))," ",REPT(" ",LEN(A356))),LEN(A356))))))), 1)) * ROW(INDIRECT("1:"&amp;LEN((--TRIM(RIGHT(SUBSTITUTE(LEFT(A356,_xlfn.AGGREGATE(16,6,FIND({0,1,2,3,4,5,6,7,8,9},A356,ROW(INDIRECT("1:"&amp;LEN(A356)))),1))," ",REPT(" ",LEN(A356))),LEN(A356))))))), 0), ROW(INDIRECT("1:"&amp;LEN((--TRIM(RIGHT(SUBSTITUTE(LEFT(A356,_xlfn.AGGREGATE(16,6,FIND({0,1,2,3,4,5,6,7,8,9},A356,ROW(INDIRECT("1:"&amp;LEN(A356)))),1))," ",REPT(" ",LEN(A356))),LEN(A356))))))))+1, 1) * 10^ROW(INDIRECT("1:"&amp;LEN((--TRIM(RIGHT(SUBSTITUTE(LEFT(A356,_xlfn.AGGREGATE(16,6,FIND({0,1,2,3,4,5,6,7,8,9},A356,ROW(INDIRECT("1:"&amp;LEN(A356)))),1))," ",REPT(" ",LEN(A356))),LEN(A356)))))))/10))*1+1</f>
        <v>302 ,.., 1502</v>
      </c>
      <c r="B357" s="132"/>
      <c r="C357" s="42"/>
      <c r="D357" s="42"/>
      <c r="E357" s="54">
        <v>0</v>
      </c>
      <c r="F357" s="54">
        <f>D357+E357</f>
        <v>0</v>
      </c>
      <c r="G357" s="54">
        <v>0</v>
      </c>
      <c r="H357" s="54">
        <f>F357*(($H$343)+1)+(IF(G357&lt;101,G357,IF(G357&lt;201,G357/2,IF(G357&lt;=301,G357/3,G357/4))))</f>
        <v>0</v>
      </c>
      <c r="I357" s="36"/>
    </row>
    <row r="358" spans="1:14" s="37" customFormat="1" ht="15.75" hidden="1" customHeight="1" x14ac:dyDescent="0.25">
      <c r="A358" s="131" t="str">
        <f ca="1">(SUMPRODUCT(MID(0&amp;(LEFT(A357,SUM(LEN(A357)-LEN(SUBSTITUTE(A357,{"0","1","2"},""))))), LARGE(INDEX(ISNUMBER(--MID((LEFT(A357,SUM(LEN(A357)-LEN(SUBSTITUTE(A357,{"0","1","2"},""))))), ROW(INDIRECT("1:"&amp;LEN((LEFT(A357,SUM(LEN(A357)-LEN(SUBSTITUTE(A357,{"0","1","2"},"")))))))), 1)) * ROW(INDIRECT("1:"&amp;LEN((LEFT(A357,SUM(LEN(A357)-LEN(SUBSTITUTE(A357,{"0","1","2"},"")))))))), 0), ROW(INDIRECT("1:"&amp;LEN((LEFT(A357,SUM(LEN(A357)-LEN(SUBSTITUTE(A357,{"0","1","2"},"")))))))))+1, 1) * 10^ROW(INDIRECT("1:"&amp;LEN((LEFT(A357,SUM(LEN(A357)-LEN(SUBSTITUTE(A357,{"0","1","2"},""))))))))/10))*1+1&amp;""&amp;" ,.., "&amp;""&amp;(SUMPRODUCT(MID(0&amp;(--TRIM(RIGHT(SUBSTITUTE(LEFT(A357,_xlfn.AGGREGATE(16,6,FIND({0,1,2,3,4,5,6,7,8,9},A357,ROW(INDIRECT("1:"&amp;LEN(A357)))),1))," ",REPT(" ",LEN(A357))),LEN(A357)))), LARGE(INDEX(ISNUMBER(--MID((--TRIM(RIGHT(SUBSTITUTE(LEFT(A357,_xlfn.AGGREGATE(16,6,FIND({0,1,2,3,4,5,6,7,8,9},A357,ROW(INDIRECT("1:"&amp;LEN(A357)))),1))," ",REPT(" ",LEN(A357))),LEN(A357)))), ROW(INDIRECT("1:"&amp;LEN((--TRIM(RIGHT(SUBSTITUTE(LEFT(A357,_xlfn.AGGREGATE(16,6,FIND({0,1,2,3,4,5,6,7,8,9},A357,ROW(INDIRECT("1:"&amp;LEN(A357)))),1))," ",REPT(" ",LEN(A357))),LEN(A357))))))), 1)) * ROW(INDIRECT("1:"&amp;LEN((--TRIM(RIGHT(SUBSTITUTE(LEFT(A357,_xlfn.AGGREGATE(16,6,FIND({0,1,2,3,4,5,6,7,8,9},A357,ROW(INDIRECT("1:"&amp;LEN(A357)))),1))," ",REPT(" ",LEN(A357))),LEN(A357))))))), 0), ROW(INDIRECT("1:"&amp;LEN((--TRIM(RIGHT(SUBSTITUTE(LEFT(A357,_xlfn.AGGREGATE(16,6,FIND({0,1,2,3,4,5,6,7,8,9},A357,ROW(INDIRECT("1:"&amp;LEN(A357)))),1))," ",REPT(" ",LEN(A357))),LEN(A357))))))))+1, 1) * 10^ROW(INDIRECT("1:"&amp;LEN((--TRIM(RIGHT(SUBSTITUTE(LEFT(A357,_xlfn.AGGREGATE(16,6,FIND({0,1,2,3,4,5,6,7,8,9},A357,ROW(INDIRECT("1:"&amp;LEN(A357)))),1))," ",REPT(" ",LEN(A357))),LEN(A357)))))))/10))*1+1</f>
        <v>303 ,.., 1503</v>
      </c>
      <c r="B358" s="132"/>
      <c r="C358" s="42"/>
      <c r="D358" s="42"/>
      <c r="E358" s="54">
        <v>0</v>
      </c>
      <c r="F358" s="54">
        <f>D358+E358</f>
        <v>0</v>
      </c>
      <c r="G358" s="54">
        <v>0</v>
      </c>
      <c r="H358" s="54">
        <f>F358*(($H$343)+1)+(IF(G358&lt;101,G358,IF(G358&lt;201,G358/2,IF(G358&lt;=301,G358/3,G358/4))))</f>
        <v>0</v>
      </c>
      <c r="I358" s="36"/>
    </row>
    <row r="359" spans="1:14" s="37" customFormat="1" ht="15.75" hidden="1" customHeight="1" x14ac:dyDescent="0.25">
      <c r="A359" s="131" t="str">
        <f ca="1">(SUMPRODUCT(MID(0&amp;(LEFT(A358,SUM(LEN(A358)-LEN(SUBSTITUTE(A358,{"0","1","2"},""))))), LARGE(INDEX(ISNUMBER(--MID((LEFT(A358,SUM(LEN(A358)-LEN(SUBSTITUTE(A358,{"0","1","2"},""))))), ROW(INDIRECT("1:"&amp;LEN((LEFT(A358,SUM(LEN(A358)-LEN(SUBSTITUTE(A358,{"0","1","2"},"")))))))), 1)) * ROW(INDIRECT("1:"&amp;LEN((LEFT(A358,SUM(LEN(A358)-LEN(SUBSTITUTE(A358,{"0","1","2"},"")))))))), 0), ROW(INDIRECT("1:"&amp;LEN((LEFT(A358,SUM(LEN(A358)-LEN(SUBSTITUTE(A358,{"0","1","2"},"")))))))))+1, 1) * 10^ROW(INDIRECT("1:"&amp;LEN((LEFT(A358,SUM(LEN(A358)-LEN(SUBSTITUTE(A358,{"0","1","2"},""))))))))/10))*1+1&amp;""&amp;" ,.., "&amp;""&amp;(SUMPRODUCT(MID(0&amp;(--TRIM(RIGHT(SUBSTITUTE(LEFT(A358,_xlfn.AGGREGATE(16,6,FIND({0,1,2,3,4,5,6,7,8,9},A358,ROW(INDIRECT("1:"&amp;LEN(A358)))),1))," ",REPT(" ",LEN(A358))),LEN(A358)))), LARGE(INDEX(ISNUMBER(--MID((--TRIM(RIGHT(SUBSTITUTE(LEFT(A358,_xlfn.AGGREGATE(16,6,FIND({0,1,2,3,4,5,6,7,8,9},A358,ROW(INDIRECT("1:"&amp;LEN(A358)))),1))," ",REPT(" ",LEN(A358))),LEN(A358)))), ROW(INDIRECT("1:"&amp;LEN((--TRIM(RIGHT(SUBSTITUTE(LEFT(A358,_xlfn.AGGREGATE(16,6,FIND({0,1,2,3,4,5,6,7,8,9},A358,ROW(INDIRECT("1:"&amp;LEN(A358)))),1))," ",REPT(" ",LEN(A358))),LEN(A358))))))), 1)) * ROW(INDIRECT("1:"&amp;LEN((--TRIM(RIGHT(SUBSTITUTE(LEFT(A358,_xlfn.AGGREGATE(16,6,FIND({0,1,2,3,4,5,6,7,8,9},A358,ROW(INDIRECT("1:"&amp;LEN(A358)))),1))," ",REPT(" ",LEN(A358))),LEN(A358))))))), 0), ROW(INDIRECT("1:"&amp;LEN((--TRIM(RIGHT(SUBSTITUTE(LEFT(A358,_xlfn.AGGREGATE(16,6,FIND({0,1,2,3,4,5,6,7,8,9},A358,ROW(INDIRECT("1:"&amp;LEN(A358)))),1))," ",REPT(" ",LEN(A358))),LEN(A358))))))))+1, 1) * 10^ROW(INDIRECT("1:"&amp;LEN((--TRIM(RIGHT(SUBSTITUTE(LEFT(A358,_xlfn.AGGREGATE(16,6,FIND({0,1,2,3,4,5,6,7,8,9},A358,ROW(INDIRECT("1:"&amp;LEN(A358)))),1))," ",REPT(" ",LEN(A358))),LEN(A358)))))))/10))*1+1</f>
        <v>304 ,.., 1504</v>
      </c>
      <c r="B359" s="132"/>
      <c r="C359" s="42"/>
      <c r="D359" s="42"/>
      <c r="E359" s="54">
        <v>0</v>
      </c>
      <c r="F359" s="54">
        <f>D359+E359</f>
        <v>0</v>
      </c>
      <c r="G359" s="54">
        <v>0</v>
      </c>
      <c r="H359" s="54">
        <f>F359*(($H$343)+1)+(IF(G359&lt;101,G359,IF(G359&lt;201,G359/2,IF(G359&lt;=301,G359/3,G359/4))))</f>
        <v>0</v>
      </c>
      <c r="I359" s="36"/>
    </row>
    <row r="360" spans="1:14" s="37" customFormat="1" ht="15.75" hidden="1" customHeight="1" x14ac:dyDescent="0.25">
      <c r="A360" s="131" t="str">
        <f ca="1">(SUMPRODUCT(MID(0&amp;(LEFT(A359,SUM(LEN(A359)-LEN(SUBSTITUTE(A359,{"0","1","2"},""))))), LARGE(INDEX(ISNUMBER(--MID((LEFT(A359,SUM(LEN(A359)-LEN(SUBSTITUTE(A359,{"0","1","2"},""))))), ROW(INDIRECT("1:"&amp;LEN((LEFT(A359,SUM(LEN(A359)-LEN(SUBSTITUTE(A359,{"0","1","2"},"")))))))), 1)) * ROW(INDIRECT("1:"&amp;LEN((LEFT(A359,SUM(LEN(A359)-LEN(SUBSTITUTE(A359,{"0","1","2"},"")))))))), 0), ROW(INDIRECT("1:"&amp;LEN((LEFT(A359,SUM(LEN(A359)-LEN(SUBSTITUTE(A359,{"0","1","2"},"")))))))))+1, 1) * 10^ROW(INDIRECT("1:"&amp;LEN((LEFT(A359,SUM(LEN(A359)-LEN(SUBSTITUTE(A359,{"0","1","2"},""))))))))/10))*1+1&amp;""&amp;" ,.., "&amp;""&amp;(SUMPRODUCT(MID(0&amp;(--TRIM(RIGHT(SUBSTITUTE(LEFT(A359,_xlfn.AGGREGATE(16,6,FIND({0,1,2,3,4,5,6,7,8,9},A359,ROW(INDIRECT("1:"&amp;LEN(A359)))),1))," ",REPT(" ",LEN(A359))),LEN(A359)))), LARGE(INDEX(ISNUMBER(--MID((--TRIM(RIGHT(SUBSTITUTE(LEFT(A359,_xlfn.AGGREGATE(16,6,FIND({0,1,2,3,4,5,6,7,8,9},A359,ROW(INDIRECT("1:"&amp;LEN(A359)))),1))," ",REPT(" ",LEN(A359))),LEN(A359)))), ROW(INDIRECT("1:"&amp;LEN((--TRIM(RIGHT(SUBSTITUTE(LEFT(A359,_xlfn.AGGREGATE(16,6,FIND({0,1,2,3,4,5,6,7,8,9},A359,ROW(INDIRECT("1:"&amp;LEN(A359)))),1))," ",REPT(" ",LEN(A359))),LEN(A359))))))), 1)) * ROW(INDIRECT("1:"&amp;LEN((--TRIM(RIGHT(SUBSTITUTE(LEFT(A359,_xlfn.AGGREGATE(16,6,FIND({0,1,2,3,4,5,6,7,8,9},A359,ROW(INDIRECT("1:"&amp;LEN(A359)))),1))," ",REPT(" ",LEN(A359))),LEN(A359))))))), 0), ROW(INDIRECT("1:"&amp;LEN((--TRIM(RIGHT(SUBSTITUTE(LEFT(A359,_xlfn.AGGREGATE(16,6,FIND({0,1,2,3,4,5,6,7,8,9},A359,ROW(INDIRECT("1:"&amp;LEN(A359)))),1))," ",REPT(" ",LEN(A359))),LEN(A359))))))))+1, 1) * 10^ROW(INDIRECT("1:"&amp;LEN((--TRIM(RIGHT(SUBSTITUTE(LEFT(A359,_xlfn.AGGREGATE(16,6,FIND({0,1,2,3,4,5,6,7,8,9},A359,ROW(INDIRECT("1:"&amp;LEN(A359)))),1))," ",REPT(" ",LEN(A359))),LEN(A359)))))))/10))*1+1</f>
        <v>305 ,.., 1505</v>
      </c>
      <c r="B360" s="132"/>
      <c r="C360" s="42"/>
      <c r="D360" s="42"/>
      <c r="E360" s="54">
        <v>0</v>
      </c>
      <c r="F360" s="54">
        <f>D360+E360</f>
        <v>0</v>
      </c>
      <c r="G360" s="54">
        <v>0</v>
      </c>
      <c r="H360" s="54">
        <f>F360*(($H$343)+1)+(IF(G360&lt;101,G360,IF(G360&lt;201,G360/2,IF(G360&lt;=301,G360/3,G360/4))))</f>
        <v>0</v>
      </c>
      <c r="I360" s="36"/>
    </row>
    <row r="361" spans="1:14" s="37" customFormat="1" hidden="1" x14ac:dyDescent="0.25">
      <c r="A361" s="133" t="s">
        <v>144</v>
      </c>
      <c r="B361" s="134"/>
      <c r="C361" s="134"/>
      <c r="D361" s="134"/>
      <c r="E361" s="134"/>
      <c r="F361" s="134"/>
      <c r="G361" s="134"/>
      <c r="H361" s="135"/>
      <c r="I361" s="36"/>
    </row>
    <row r="362" spans="1:14" s="37" customFormat="1" ht="15.75" hidden="1" customHeight="1" x14ac:dyDescent="0.25">
      <c r="A362" s="131" t="str">
        <f ca="1">(SUMPRODUCT(MID(0&amp;(LEFT(A361,SUM(LEN(A361)-LEN(SUBSTITUTE(A361,{"0","1","2"},""))))), LARGE(INDEX(ISNUMBER(--MID((LEFT(A361,SUM(LEN(A361)-LEN(SUBSTITUTE(A361,{"0","1","2"},""))))), ROW(INDIRECT("1:"&amp;LEN((LEFT(A361,SUM(LEN(A361)-LEN(SUBSTITUTE(A361,{"0","1","2"},"")))))))), 1)) * ROW(INDIRECT("1:"&amp;LEN((LEFT(A361,SUM(LEN(A361)-LEN(SUBSTITUTE(A361,{"0","1","2"},"")))))))), 0), ROW(INDIRECT("1:"&amp;LEN((LEFT(A361,SUM(LEN(A361)-LEN(SUBSTITUTE(A361,{"0","1","2"},"")))))))))+1, 1) * 10^ROW(INDIRECT("1:"&amp;LEN((LEFT(A361,SUM(LEN(A361)-LEN(SUBSTITUTE(A361,{"0","1","2"},""))))))))/10))*100+1&amp;""&amp;" to "&amp;""&amp;(SUMPRODUCT(MID(0&amp;(--TRIM(RIGHT(SUBSTITUTE(LEFT(A361,_xlfn.AGGREGATE(16,6,FIND({0,1,2,3,4,5,6,7,8,9},A361,ROW(INDIRECT("1:"&amp;LEN(A361)))),1))," ",REPT(" ",LEN(A361))),LEN(A361)))), LARGE(INDEX(ISNUMBER(--MID((--TRIM(RIGHT(SUBSTITUTE(LEFT(A361,_xlfn.AGGREGATE(16,6,FIND({0,1,2,3,4,5,6,7,8,9},A361,ROW(INDIRECT("1:"&amp;LEN(A361)))),1))," ",REPT(" ",LEN(A361))),LEN(A361)))), ROW(INDIRECT("1:"&amp;LEN((--TRIM(RIGHT(SUBSTITUTE(LEFT(A361,_xlfn.AGGREGATE(16,6,FIND({0,1,2,3,4,5,6,7,8,9},A361,ROW(INDIRECT("1:"&amp;LEN(A361)))),1))," ",REPT(" ",LEN(A361))),LEN(A361))))))), 1)) * ROW(INDIRECT("1:"&amp;LEN((--TRIM(RIGHT(SUBSTITUTE(LEFT(A361,_xlfn.AGGREGATE(16,6,FIND({0,1,2,3,4,5,6,7,8,9},A361,ROW(INDIRECT("1:"&amp;LEN(A361)))),1))," ",REPT(" ",LEN(A361))),LEN(A361))))))), 0), ROW(INDIRECT("1:"&amp;LEN((--TRIM(RIGHT(SUBSTITUTE(LEFT(A361,_xlfn.AGGREGATE(16,6,FIND({0,1,2,3,4,5,6,7,8,9},A361,ROW(INDIRECT("1:"&amp;LEN(A361)))),1))," ",REPT(" ",LEN(A361))),LEN(A361))))))))+1, 1) * 10^ROW(INDIRECT("1:"&amp;LEN((--TRIM(RIGHT(SUBSTITUTE(LEFT(A361,_xlfn.AGGREGATE(16,6,FIND({0,1,2,3,4,5,6,7,8,9},A361,ROW(INDIRECT("1:"&amp;LEN(A361)))),1))," ",REPT(" ",LEN(A361))),LEN(A361)))))))/10))*100+1</f>
        <v>201 to 501</v>
      </c>
      <c r="B362" s="132"/>
      <c r="C362" s="42"/>
      <c r="D362" s="42"/>
      <c r="E362" s="54">
        <v>0</v>
      </c>
      <c r="F362" s="54">
        <f>D362+E362</f>
        <v>0</v>
      </c>
      <c r="G362" s="54">
        <v>0</v>
      </c>
      <c r="H362" s="54">
        <f>F362*(($H$343)+1)+(IF(G362&lt;101,G362,IF(G362&lt;201,G362/2,IF(G362&lt;=301,G362/3,G362/4))))</f>
        <v>0</v>
      </c>
      <c r="I362" s="36"/>
    </row>
    <row r="363" spans="1:14" s="37" customFormat="1" ht="15.75" hidden="1" customHeight="1" x14ac:dyDescent="0.25">
      <c r="A363" s="131" t="str">
        <f ca="1">(SUMPRODUCT(MID(0&amp;(LEFT(A362,SUM(LEN(A362)-LEN(SUBSTITUTE(A362,{"0","1","2"},""))))), LARGE(INDEX(ISNUMBER(--MID((LEFT(A362,SUM(LEN(A362)-LEN(SUBSTITUTE(A362,{"0","1","2"},""))))), ROW(INDIRECT("1:"&amp;LEN((LEFT(A362,SUM(LEN(A362)-LEN(SUBSTITUTE(A362,{"0","1","2"},"")))))))), 1)) * ROW(INDIRECT("1:"&amp;LEN((LEFT(A362,SUM(LEN(A362)-LEN(SUBSTITUTE(A362,{"0","1","2"},"")))))))), 0), ROW(INDIRECT("1:"&amp;LEN((LEFT(A362,SUM(LEN(A362)-LEN(SUBSTITUTE(A362,{"0","1","2"},"")))))))))+1, 1) * 10^ROW(INDIRECT("1:"&amp;LEN((LEFT(A362,SUM(LEN(A362)-LEN(SUBSTITUTE(A362,{"0","1","2"},""))))))))/10))*1+1&amp;""&amp;" to "&amp;""&amp;(SUMPRODUCT(MID(0&amp;(--TRIM(RIGHT(SUBSTITUTE(LEFT(A362,_xlfn.AGGREGATE(16,6,FIND({0,1,2,3,4,5,6,7,8,9},A362,ROW(INDIRECT("1:"&amp;LEN(A362)))),1))," ",REPT(" ",LEN(A362))),LEN(A362)))), LARGE(INDEX(ISNUMBER(--MID((--TRIM(RIGHT(SUBSTITUTE(LEFT(A362,_xlfn.AGGREGATE(16,6,FIND({0,1,2,3,4,5,6,7,8,9},A362,ROW(INDIRECT("1:"&amp;LEN(A362)))),1))," ",REPT(" ",LEN(A362))),LEN(A362)))), ROW(INDIRECT("1:"&amp;LEN((--TRIM(RIGHT(SUBSTITUTE(LEFT(A362,_xlfn.AGGREGATE(16,6,FIND({0,1,2,3,4,5,6,7,8,9},A362,ROW(INDIRECT("1:"&amp;LEN(A362)))),1))," ",REPT(" ",LEN(A362))),LEN(A362))))))), 1)) * ROW(INDIRECT("1:"&amp;LEN((--TRIM(RIGHT(SUBSTITUTE(LEFT(A362,_xlfn.AGGREGATE(16,6,FIND({0,1,2,3,4,5,6,7,8,9},A362,ROW(INDIRECT("1:"&amp;LEN(A362)))),1))," ",REPT(" ",LEN(A362))),LEN(A362))))))), 0), ROW(INDIRECT("1:"&amp;LEN((--TRIM(RIGHT(SUBSTITUTE(LEFT(A362,_xlfn.AGGREGATE(16,6,FIND({0,1,2,3,4,5,6,7,8,9},A362,ROW(INDIRECT("1:"&amp;LEN(A362)))),1))," ",REPT(" ",LEN(A362))),LEN(A362))))))))+1, 1) * 10^ROW(INDIRECT("1:"&amp;LEN((--TRIM(RIGHT(SUBSTITUTE(LEFT(A362,_xlfn.AGGREGATE(16,6,FIND({0,1,2,3,4,5,6,7,8,9},A362,ROW(INDIRECT("1:"&amp;LEN(A362)))),1))," ",REPT(" ",LEN(A362))),LEN(A362)))))))/10))*1+1</f>
        <v>202 to 502</v>
      </c>
      <c r="B363" s="132"/>
      <c r="C363" s="42"/>
      <c r="D363" s="42"/>
      <c r="E363" s="54">
        <v>0</v>
      </c>
      <c r="F363" s="54">
        <f>D363+E363</f>
        <v>0</v>
      </c>
      <c r="G363" s="54">
        <v>0</v>
      </c>
      <c r="H363" s="54">
        <f>F363*(($H$343)+1)+(IF(G363&lt;101,G363,IF(G363&lt;201,G363/2,IF(G363&lt;=301,G363/3,G363/4))))</f>
        <v>0</v>
      </c>
      <c r="I363" s="36"/>
    </row>
    <row r="364" spans="1:14" s="37" customFormat="1" ht="15.75" hidden="1" customHeight="1" x14ac:dyDescent="0.25">
      <c r="A364" s="131" t="str">
        <f ca="1">(SUMPRODUCT(MID(0&amp;(LEFT(A363,SUM(LEN(A363)-LEN(SUBSTITUTE(A363,{"0","1","2"},""))))), LARGE(INDEX(ISNUMBER(--MID((LEFT(A363,SUM(LEN(A363)-LEN(SUBSTITUTE(A363,{"0","1","2"},""))))), ROW(INDIRECT("1:"&amp;LEN((LEFT(A363,SUM(LEN(A363)-LEN(SUBSTITUTE(A363,{"0","1","2"},"")))))))), 1)) * ROW(INDIRECT("1:"&amp;LEN((LEFT(A363,SUM(LEN(A363)-LEN(SUBSTITUTE(A363,{"0","1","2"},"")))))))), 0), ROW(INDIRECT("1:"&amp;LEN((LEFT(A363,SUM(LEN(A363)-LEN(SUBSTITUTE(A363,{"0","1","2"},"")))))))))+1, 1) * 10^ROW(INDIRECT("1:"&amp;LEN((LEFT(A363,SUM(LEN(A363)-LEN(SUBSTITUTE(A363,{"0","1","2"},""))))))))/10))*1+1&amp;""&amp;" to "&amp;""&amp;(SUMPRODUCT(MID(0&amp;(--TRIM(RIGHT(SUBSTITUTE(LEFT(A363,_xlfn.AGGREGATE(16,6,FIND({0,1,2,3,4,5,6,7,8,9},A363,ROW(INDIRECT("1:"&amp;LEN(A363)))),1))," ",REPT(" ",LEN(A363))),LEN(A363)))), LARGE(INDEX(ISNUMBER(--MID((--TRIM(RIGHT(SUBSTITUTE(LEFT(A363,_xlfn.AGGREGATE(16,6,FIND({0,1,2,3,4,5,6,7,8,9},A363,ROW(INDIRECT("1:"&amp;LEN(A363)))),1))," ",REPT(" ",LEN(A363))),LEN(A363)))), ROW(INDIRECT("1:"&amp;LEN((--TRIM(RIGHT(SUBSTITUTE(LEFT(A363,_xlfn.AGGREGATE(16,6,FIND({0,1,2,3,4,5,6,7,8,9},A363,ROW(INDIRECT("1:"&amp;LEN(A363)))),1))," ",REPT(" ",LEN(A363))),LEN(A363))))))), 1)) * ROW(INDIRECT("1:"&amp;LEN((--TRIM(RIGHT(SUBSTITUTE(LEFT(A363,_xlfn.AGGREGATE(16,6,FIND({0,1,2,3,4,5,6,7,8,9},A363,ROW(INDIRECT("1:"&amp;LEN(A363)))),1))," ",REPT(" ",LEN(A363))),LEN(A363))))))), 0), ROW(INDIRECT("1:"&amp;LEN((--TRIM(RIGHT(SUBSTITUTE(LEFT(A363,_xlfn.AGGREGATE(16,6,FIND({0,1,2,3,4,5,6,7,8,9},A363,ROW(INDIRECT("1:"&amp;LEN(A363)))),1))," ",REPT(" ",LEN(A363))),LEN(A363))))))))+1, 1) * 10^ROW(INDIRECT("1:"&amp;LEN((--TRIM(RIGHT(SUBSTITUTE(LEFT(A363,_xlfn.AGGREGATE(16,6,FIND({0,1,2,3,4,5,6,7,8,9},A363,ROW(INDIRECT("1:"&amp;LEN(A363)))),1))," ",REPT(" ",LEN(A363))),LEN(A363)))))))/10))*1+1</f>
        <v>203 to 503</v>
      </c>
      <c r="B364" s="132"/>
      <c r="C364" s="42"/>
      <c r="D364" s="42"/>
      <c r="E364" s="54">
        <v>0</v>
      </c>
      <c r="F364" s="54">
        <f>D364+E364</f>
        <v>0</v>
      </c>
      <c r="G364" s="54">
        <v>0</v>
      </c>
      <c r="H364" s="54">
        <f>F364*(($H$343)+1)+(IF(G364&lt;101,G364,IF(G364&lt;201,G364/2,IF(G364&lt;=301,G364/3,G364/4))))</f>
        <v>0</v>
      </c>
      <c r="I364" s="36"/>
    </row>
    <row r="365" spans="1:14" s="37" customFormat="1" ht="15.75" hidden="1" customHeight="1" x14ac:dyDescent="0.25">
      <c r="A365" s="131" t="str">
        <f ca="1">(SUMPRODUCT(MID(0&amp;(LEFT(A364,SUM(LEN(A364)-LEN(SUBSTITUTE(A364,{"0","1","2"},""))))), LARGE(INDEX(ISNUMBER(--MID((LEFT(A364,SUM(LEN(A364)-LEN(SUBSTITUTE(A364,{"0","1","2"},""))))), ROW(INDIRECT("1:"&amp;LEN((LEFT(A364,SUM(LEN(A364)-LEN(SUBSTITUTE(A364,{"0","1","2"},"")))))))), 1)) * ROW(INDIRECT("1:"&amp;LEN((LEFT(A364,SUM(LEN(A364)-LEN(SUBSTITUTE(A364,{"0","1","2"},"")))))))), 0), ROW(INDIRECT("1:"&amp;LEN((LEFT(A364,SUM(LEN(A364)-LEN(SUBSTITUTE(A364,{"0","1","2"},"")))))))))+1, 1) * 10^ROW(INDIRECT("1:"&amp;LEN((LEFT(A364,SUM(LEN(A364)-LEN(SUBSTITUTE(A364,{"0","1","2"},""))))))))/10))*1+1&amp;""&amp;" to "&amp;""&amp;(SUMPRODUCT(MID(0&amp;(--TRIM(RIGHT(SUBSTITUTE(LEFT(A364,_xlfn.AGGREGATE(16,6,FIND({0,1,2,3,4,5,6,7,8,9},A364,ROW(INDIRECT("1:"&amp;LEN(A364)))),1))," ",REPT(" ",LEN(A364))),LEN(A364)))), LARGE(INDEX(ISNUMBER(--MID((--TRIM(RIGHT(SUBSTITUTE(LEFT(A364,_xlfn.AGGREGATE(16,6,FIND({0,1,2,3,4,5,6,7,8,9},A364,ROW(INDIRECT("1:"&amp;LEN(A364)))),1))," ",REPT(" ",LEN(A364))),LEN(A364)))), ROW(INDIRECT("1:"&amp;LEN((--TRIM(RIGHT(SUBSTITUTE(LEFT(A364,_xlfn.AGGREGATE(16,6,FIND({0,1,2,3,4,5,6,7,8,9},A364,ROW(INDIRECT("1:"&amp;LEN(A364)))),1))," ",REPT(" ",LEN(A364))),LEN(A364))))))), 1)) * ROW(INDIRECT("1:"&amp;LEN((--TRIM(RIGHT(SUBSTITUTE(LEFT(A364,_xlfn.AGGREGATE(16,6,FIND({0,1,2,3,4,5,6,7,8,9},A364,ROW(INDIRECT("1:"&amp;LEN(A364)))),1))," ",REPT(" ",LEN(A364))),LEN(A364))))))), 0), ROW(INDIRECT("1:"&amp;LEN((--TRIM(RIGHT(SUBSTITUTE(LEFT(A364,_xlfn.AGGREGATE(16,6,FIND({0,1,2,3,4,5,6,7,8,9},A364,ROW(INDIRECT("1:"&amp;LEN(A364)))),1))," ",REPT(" ",LEN(A364))),LEN(A364))))))))+1, 1) * 10^ROW(INDIRECT("1:"&amp;LEN((--TRIM(RIGHT(SUBSTITUTE(LEFT(A364,_xlfn.AGGREGATE(16,6,FIND({0,1,2,3,4,5,6,7,8,9},A364,ROW(INDIRECT("1:"&amp;LEN(A364)))),1))," ",REPT(" ",LEN(A364))),LEN(A364)))))))/10))*1+1</f>
        <v>204 to 504</v>
      </c>
      <c r="B365" s="132"/>
      <c r="C365" s="42"/>
      <c r="D365" s="42"/>
      <c r="E365" s="54">
        <v>0</v>
      </c>
      <c r="F365" s="54">
        <f>D365+E365</f>
        <v>0</v>
      </c>
      <c r="G365" s="54">
        <v>0</v>
      </c>
      <c r="H365" s="54">
        <f>F365*(($H$343)+1)+(IF(G365&lt;101,G365,IF(G365&lt;201,G365/2,IF(G365&lt;=301,G365/3,G365/4))))</f>
        <v>0</v>
      </c>
      <c r="I365" s="36"/>
    </row>
    <row r="366" spans="1:14" s="37" customFormat="1" ht="15.75" hidden="1" customHeight="1" x14ac:dyDescent="0.25">
      <c r="A366" s="131" t="str">
        <f ca="1">(SUMPRODUCT(MID(0&amp;(LEFT(A365,SUM(LEN(A365)-LEN(SUBSTITUTE(A365,{"0","1","2"},""))))), LARGE(INDEX(ISNUMBER(--MID((LEFT(A365,SUM(LEN(A365)-LEN(SUBSTITUTE(A365,{"0","1","2"},""))))), ROW(INDIRECT("1:"&amp;LEN((LEFT(A365,SUM(LEN(A365)-LEN(SUBSTITUTE(A365,{"0","1","2"},"")))))))), 1)) * ROW(INDIRECT("1:"&amp;LEN((LEFT(A365,SUM(LEN(A365)-LEN(SUBSTITUTE(A365,{"0","1","2"},"")))))))), 0), ROW(INDIRECT("1:"&amp;LEN((LEFT(A365,SUM(LEN(A365)-LEN(SUBSTITUTE(A365,{"0","1","2"},"")))))))))+1, 1) * 10^ROW(INDIRECT("1:"&amp;LEN((LEFT(A365,SUM(LEN(A365)-LEN(SUBSTITUTE(A365,{"0","1","2"},""))))))))/10))*1+1&amp;""&amp;" to "&amp;""&amp;(SUMPRODUCT(MID(0&amp;(--TRIM(RIGHT(SUBSTITUTE(LEFT(A365,_xlfn.AGGREGATE(16,6,FIND({0,1,2,3,4,5,6,7,8,9},A365,ROW(INDIRECT("1:"&amp;LEN(A365)))),1))," ",REPT(" ",LEN(A365))),LEN(A365)))), LARGE(INDEX(ISNUMBER(--MID((--TRIM(RIGHT(SUBSTITUTE(LEFT(A365,_xlfn.AGGREGATE(16,6,FIND({0,1,2,3,4,5,6,7,8,9},A365,ROW(INDIRECT("1:"&amp;LEN(A365)))),1))," ",REPT(" ",LEN(A365))),LEN(A365)))), ROW(INDIRECT("1:"&amp;LEN((--TRIM(RIGHT(SUBSTITUTE(LEFT(A365,_xlfn.AGGREGATE(16,6,FIND({0,1,2,3,4,5,6,7,8,9},A365,ROW(INDIRECT("1:"&amp;LEN(A365)))),1))," ",REPT(" ",LEN(A365))),LEN(A365))))))), 1)) * ROW(INDIRECT("1:"&amp;LEN((--TRIM(RIGHT(SUBSTITUTE(LEFT(A365,_xlfn.AGGREGATE(16,6,FIND({0,1,2,3,4,5,6,7,8,9},A365,ROW(INDIRECT("1:"&amp;LEN(A365)))),1))," ",REPT(" ",LEN(A365))),LEN(A365))))))), 0), ROW(INDIRECT("1:"&amp;LEN((--TRIM(RIGHT(SUBSTITUTE(LEFT(A365,_xlfn.AGGREGATE(16,6,FIND({0,1,2,3,4,5,6,7,8,9},A365,ROW(INDIRECT("1:"&amp;LEN(A365)))),1))," ",REPT(" ",LEN(A365))),LEN(A365))))))))+1, 1) * 10^ROW(INDIRECT("1:"&amp;LEN((--TRIM(RIGHT(SUBSTITUTE(LEFT(A365,_xlfn.AGGREGATE(16,6,FIND({0,1,2,3,4,5,6,7,8,9},A365,ROW(INDIRECT("1:"&amp;LEN(A365)))),1))," ",REPT(" ",LEN(A365))),LEN(A365)))))))/10))*1+1</f>
        <v>205 to 505</v>
      </c>
      <c r="B366" s="132"/>
      <c r="C366" s="42"/>
      <c r="D366" s="42"/>
      <c r="E366" s="54">
        <v>0</v>
      </c>
      <c r="F366" s="54">
        <f>D366+E366</f>
        <v>0</v>
      </c>
      <c r="G366" s="54">
        <v>0</v>
      </c>
      <c r="H366" s="54">
        <f>F366*(($H$343)+1)+(IF(G366&lt;101,G366,IF(G366&lt;201,G366/2,IF(G366&lt;=301,G366/3,G366/4))))</f>
        <v>0</v>
      </c>
      <c r="I366" s="36"/>
    </row>
    <row r="367" spans="1:14" s="37" customFormat="1" hidden="1" x14ac:dyDescent="0.25">
      <c r="A367" s="133" t="s">
        <v>145</v>
      </c>
      <c r="B367" s="134"/>
      <c r="C367" s="134"/>
      <c r="D367" s="134"/>
      <c r="E367" s="134"/>
      <c r="F367" s="134"/>
      <c r="G367" s="134"/>
      <c r="H367" s="135"/>
      <c r="I367" s="36"/>
    </row>
    <row r="368" spans="1:14" s="37" customFormat="1" ht="15.75" hidden="1" customHeight="1" x14ac:dyDescent="0.25">
      <c r="A368" s="131" t="str">
        <f ca="1">(SUMPRODUCT(MID(0&amp;(LEFT(A367,SUM(LEN(A367)-LEN(SUBSTITUTE(A367,{"0","1","2"},""))))), LARGE(INDEX(ISNUMBER(--MID((LEFT(A367,SUM(LEN(A367)-LEN(SUBSTITUTE(A367,{"0","1","2"},""))))), ROW(INDIRECT("1:"&amp;LEN((LEFT(A367,SUM(LEN(A367)-LEN(SUBSTITUTE(A367,{"0","1","2"},"")))))))), 1)) * ROW(INDIRECT("1:"&amp;LEN((LEFT(A367,SUM(LEN(A367)-LEN(SUBSTITUTE(A367,{"0","1","2"},"")))))))), 0), ROW(INDIRECT("1:"&amp;LEN((LEFT(A367,SUM(LEN(A367)-LEN(SUBSTITUTE(A367,{"0","1","2"},"")))))))))+1, 1) * 10^ROW(INDIRECT("1:"&amp;LEN((LEFT(A367,SUM(LEN(A367)-LEN(SUBSTITUTE(A367,{"0","1","2"},""))))))))/10))*100+1&amp;""&amp;" &amp; "&amp;""&amp;(SUMPRODUCT(MID(0&amp;(--TRIM(RIGHT(SUBSTITUTE(LEFT(A367,_xlfn.AGGREGATE(16,6,FIND({0,1,2,3,4,5,6,7,8,9},A367,ROW(INDIRECT("1:"&amp;LEN(A367)))),1))," ",REPT(" ",LEN(A367))),LEN(A367)))), LARGE(INDEX(ISNUMBER(--MID((--TRIM(RIGHT(SUBSTITUTE(LEFT(A367,_xlfn.AGGREGATE(16,6,FIND({0,1,2,3,4,5,6,7,8,9},A367,ROW(INDIRECT("1:"&amp;LEN(A367)))),1))," ",REPT(" ",LEN(A367))),LEN(A367)))), ROW(INDIRECT("1:"&amp;LEN((--TRIM(RIGHT(SUBSTITUTE(LEFT(A367,_xlfn.AGGREGATE(16,6,FIND({0,1,2,3,4,5,6,7,8,9},A367,ROW(INDIRECT("1:"&amp;LEN(A367)))),1))," ",REPT(" ",LEN(A367))),LEN(A367))))))), 1)) * ROW(INDIRECT("1:"&amp;LEN((--TRIM(RIGHT(SUBSTITUTE(LEFT(A367,_xlfn.AGGREGATE(16,6,FIND({0,1,2,3,4,5,6,7,8,9},A367,ROW(INDIRECT("1:"&amp;LEN(A367)))),1))," ",REPT(" ",LEN(A367))),LEN(A367))))))), 0), ROW(INDIRECT("1:"&amp;LEN((--TRIM(RIGHT(SUBSTITUTE(LEFT(A367,_xlfn.AGGREGATE(16,6,FIND({0,1,2,3,4,5,6,7,8,9},A367,ROW(INDIRECT("1:"&amp;LEN(A367)))),1))," ",REPT(" ",LEN(A367))),LEN(A367))))))))+1, 1) * 10^ROW(INDIRECT("1:"&amp;LEN((--TRIM(RIGHT(SUBSTITUTE(LEFT(A367,_xlfn.AGGREGATE(16,6,FIND({0,1,2,3,4,5,6,7,8,9},A367,ROW(INDIRECT("1:"&amp;LEN(A367)))),1))," ",REPT(" ",LEN(A367))),LEN(A367)))))))/10))*100+1</f>
        <v>201 &amp; 501</v>
      </c>
      <c r="B368" s="132"/>
      <c r="C368" s="42"/>
      <c r="D368" s="42"/>
      <c r="E368" s="54">
        <v>0</v>
      </c>
      <c r="F368" s="54">
        <f>D368+E368</f>
        <v>0</v>
      </c>
      <c r="G368" s="54">
        <v>0</v>
      </c>
      <c r="H368" s="54">
        <f>F368*(($H$343)+1)+(IF(G368&lt;101,G368,IF(G368&lt;201,G368/2,IF(G368&lt;=301,G368/3,G368/4))))</f>
        <v>0</v>
      </c>
      <c r="I368" s="36"/>
    </row>
    <row r="369" spans="1:20" s="37" customFormat="1" ht="15.75" hidden="1" customHeight="1" x14ac:dyDescent="0.25">
      <c r="A369" s="131" t="str">
        <f ca="1">(SUMPRODUCT(MID(0&amp;(LEFT(A368,SUM(LEN(A368)-LEN(SUBSTITUTE(A368,{"0","1","2"},""))))), LARGE(INDEX(ISNUMBER(--MID((LEFT(A368,SUM(LEN(A368)-LEN(SUBSTITUTE(A368,{"0","1","2"},""))))), ROW(INDIRECT("1:"&amp;LEN((LEFT(A368,SUM(LEN(A368)-LEN(SUBSTITUTE(A368,{"0","1","2"},"")))))))), 1)) * ROW(INDIRECT("1:"&amp;LEN((LEFT(A368,SUM(LEN(A368)-LEN(SUBSTITUTE(A368,{"0","1","2"},"")))))))), 0), ROW(INDIRECT("1:"&amp;LEN((LEFT(A368,SUM(LEN(A368)-LEN(SUBSTITUTE(A368,{"0","1","2"},"")))))))))+1, 1) * 10^ROW(INDIRECT("1:"&amp;LEN((LEFT(A368,SUM(LEN(A368)-LEN(SUBSTITUTE(A368,{"0","1","2"},""))))))))/10))*1+1&amp;""&amp;" &amp; "&amp;""&amp;(SUMPRODUCT(MID(0&amp;(--TRIM(RIGHT(SUBSTITUTE(LEFT(A368,_xlfn.AGGREGATE(16,6,FIND({0,1,2,3,4,5,6,7,8,9},A368,ROW(INDIRECT("1:"&amp;LEN(A368)))),1))," ",REPT(" ",LEN(A368))),LEN(A368)))), LARGE(INDEX(ISNUMBER(--MID((--TRIM(RIGHT(SUBSTITUTE(LEFT(A368,_xlfn.AGGREGATE(16,6,FIND({0,1,2,3,4,5,6,7,8,9},A368,ROW(INDIRECT("1:"&amp;LEN(A368)))),1))," ",REPT(" ",LEN(A368))),LEN(A368)))), ROW(INDIRECT("1:"&amp;LEN((--TRIM(RIGHT(SUBSTITUTE(LEFT(A368,_xlfn.AGGREGATE(16,6,FIND({0,1,2,3,4,5,6,7,8,9},A368,ROW(INDIRECT("1:"&amp;LEN(A368)))),1))," ",REPT(" ",LEN(A368))),LEN(A368))))))), 1)) * ROW(INDIRECT("1:"&amp;LEN((--TRIM(RIGHT(SUBSTITUTE(LEFT(A368,_xlfn.AGGREGATE(16,6,FIND({0,1,2,3,4,5,6,7,8,9},A368,ROW(INDIRECT("1:"&amp;LEN(A368)))),1))," ",REPT(" ",LEN(A368))),LEN(A368))))))), 0), ROW(INDIRECT("1:"&amp;LEN((--TRIM(RIGHT(SUBSTITUTE(LEFT(A368,_xlfn.AGGREGATE(16,6,FIND({0,1,2,3,4,5,6,7,8,9},A368,ROW(INDIRECT("1:"&amp;LEN(A368)))),1))," ",REPT(" ",LEN(A368))),LEN(A368))))))))+1, 1) * 10^ROW(INDIRECT("1:"&amp;LEN((--TRIM(RIGHT(SUBSTITUTE(LEFT(A368,_xlfn.AGGREGATE(16,6,FIND({0,1,2,3,4,5,6,7,8,9},A368,ROW(INDIRECT("1:"&amp;LEN(A368)))),1))," ",REPT(" ",LEN(A368))),LEN(A368)))))))/10))*1+1</f>
        <v>202 &amp; 502</v>
      </c>
      <c r="B369" s="132"/>
      <c r="C369" s="42"/>
      <c r="D369" s="42"/>
      <c r="E369" s="54">
        <v>0</v>
      </c>
      <c r="F369" s="54">
        <f>D369+E369</f>
        <v>0</v>
      </c>
      <c r="G369" s="54">
        <v>0</v>
      </c>
      <c r="H369" s="54">
        <f>F369*(($H$343)+1)+(IF(G369&lt;101,G369,IF(G369&lt;201,G369/2,IF(G369&lt;=301,G369/3,G369/4))))</f>
        <v>0</v>
      </c>
      <c r="I369" s="36"/>
    </row>
    <row r="370" spans="1:20" s="37" customFormat="1" ht="15.75" hidden="1" customHeight="1" x14ac:dyDescent="0.25">
      <c r="A370" s="131" t="str">
        <f ca="1">(SUMPRODUCT(MID(0&amp;(LEFT(A369,SUM(LEN(A369)-LEN(SUBSTITUTE(A369,{"0","1","2"},""))))), LARGE(INDEX(ISNUMBER(--MID((LEFT(A369,SUM(LEN(A369)-LEN(SUBSTITUTE(A369,{"0","1","2"},""))))), ROW(INDIRECT("1:"&amp;LEN((LEFT(A369,SUM(LEN(A369)-LEN(SUBSTITUTE(A369,{"0","1","2"},"")))))))), 1)) * ROW(INDIRECT("1:"&amp;LEN((LEFT(A369,SUM(LEN(A369)-LEN(SUBSTITUTE(A369,{"0","1","2"},"")))))))), 0), ROW(INDIRECT("1:"&amp;LEN((LEFT(A369,SUM(LEN(A369)-LEN(SUBSTITUTE(A369,{"0","1","2"},"")))))))))+1, 1) * 10^ROW(INDIRECT("1:"&amp;LEN((LEFT(A369,SUM(LEN(A369)-LEN(SUBSTITUTE(A369,{"0","1","2"},""))))))))/10))*1+1&amp;""&amp;" &amp; "&amp;""&amp;(SUMPRODUCT(MID(0&amp;(--TRIM(RIGHT(SUBSTITUTE(LEFT(A369,_xlfn.AGGREGATE(16,6,FIND({0,1,2,3,4,5,6,7,8,9},A369,ROW(INDIRECT("1:"&amp;LEN(A369)))),1))," ",REPT(" ",LEN(A369))),LEN(A369)))), LARGE(INDEX(ISNUMBER(--MID((--TRIM(RIGHT(SUBSTITUTE(LEFT(A369,_xlfn.AGGREGATE(16,6,FIND({0,1,2,3,4,5,6,7,8,9},A369,ROW(INDIRECT("1:"&amp;LEN(A369)))),1))," ",REPT(" ",LEN(A369))),LEN(A369)))), ROW(INDIRECT("1:"&amp;LEN((--TRIM(RIGHT(SUBSTITUTE(LEFT(A369,_xlfn.AGGREGATE(16,6,FIND({0,1,2,3,4,5,6,7,8,9},A369,ROW(INDIRECT("1:"&amp;LEN(A369)))),1))," ",REPT(" ",LEN(A369))),LEN(A369))))))), 1)) * ROW(INDIRECT("1:"&amp;LEN((--TRIM(RIGHT(SUBSTITUTE(LEFT(A369,_xlfn.AGGREGATE(16,6,FIND({0,1,2,3,4,5,6,7,8,9},A369,ROW(INDIRECT("1:"&amp;LEN(A369)))),1))," ",REPT(" ",LEN(A369))),LEN(A369))))))), 0), ROW(INDIRECT("1:"&amp;LEN((--TRIM(RIGHT(SUBSTITUTE(LEFT(A369,_xlfn.AGGREGATE(16,6,FIND({0,1,2,3,4,5,6,7,8,9},A369,ROW(INDIRECT("1:"&amp;LEN(A369)))),1))," ",REPT(" ",LEN(A369))),LEN(A369))))))))+1, 1) * 10^ROW(INDIRECT("1:"&amp;LEN((--TRIM(RIGHT(SUBSTITUTE(LEFT(A369,_xlfn.AGGREGATE(16,6,FIND({0,1,2,3,4,5,6,7,8,9},A369,ROW(INDIRECT("1:"&amp;LEN(A369)))),1))," ",REPT(" ",LEN(A369))),LEN(A369)))))))/10))*1+1</f>
        <v>203 &amp; 503</v>
      </c>
      <c r="B370" s="132"/>
      <c r="C370" s="42"/>
      <c r="D370" s="42"/>
      <c r="E370" s="54">
        <v>0</v>
      </c>
      <c r="F370" s="54">
        <f>D370+E370</f>
        <v>0</v>
      </c>
      <c r="G370" s="54">
        <v>0</v>
      </c>
      <c r="H370" s="54">
        <f>F370*(($H$343)+1)+(IF(G370&lt;101,G370,IF(G370&lt;201,G370/2,IF(G370&lt;=301,G370/3,G370/4))))</f>
        <v>0</v>
      </c>
      <c r="I370" s="36"/>
    </row>
    <row r="371" spans="1:20" s="37" customFormat="1" ht="15.75" hidden="1" customHeight="1" x14ac:dyDescent="0.25">
      <c r="A371" s="131" t="str">
        <f ca="1">(SUMPRODUCT(MID(0&amp;(LEFT(A370,SUM(LEN(A370)-LEN(SUBSTITUTE(A370,{"0","1","2"},""))))), LARGE(INDEX(ISNUMBER(--MID((LEFT(A370,SUM(LEN(A370)-LEN(SUBSTITUTE(A370,{"0","1","2"},""))))), ROW(INDIRECT("1:"&amp;LEN((LEFT(A370,SUM(LEN(A370)-LEN(SUBSTITUTE(A370,{"0","1","2"},"")))))))), 1)) * ROW(INDIRECT("1:"&amp;LEN((LEFT(A370,SUM(LEN(A370)-LEN(SUBSTITUTE(A370,{"0","1","2"},"")))))))), 0), ROW(INDIRECT("1:"&amp;LEN((LEFT(A370,SUM(LEN(A370)-LEN(SUBSTITUTE(A370,{"0","1","2"},"")))))))))+1, 1) * 10^ROW(INDIRECT("1:"&amp;LEN((LEFT(A370,SUM(LEN(A370)-LEN(SUBSTITUTE(A370,{"0","1","2"},""))))))))/10))*1+1&amp;""&amp;" &amp; "&amp;""&amp;(SUMPRODUCT(MID(0&amp;(--TRIM(RIGHT(SUBSTITUTE(LEFT(A370,_xlfn.AGGREGATE(16,6,FIND({0,1,2,3,4,5,6,7,8,9},A370,ROW(INDIRECT("1:"&amp;LEN(A370)))),1))," ",REPT(" ",LEN(A370))),LEN(A370)))), LARGE(INDEX(ISNUMBER(--MID((--TRIM(RIGHT(SUBSTITUTE(LEFT(A370,_xlfn.AGGREGATE(16,6,FIND({0,1,2,3,4,5,6,7,8,9},A370,ROW(INDIRECT("1:"&amp;LEN(A370)))),1))," ",REPT(" ",LEN(A370))),LEN(A370)))), ROW(INDIRECT("1:"&amp;LEN((--TRIM(RIGHT(SUBSTITUTE(LEFT(A370,_xlfn.AGGREGATE(16,6,FIND({0,1,2,3,4,5,6,7,8,9},A370,ROW(INDIRECT("1:"&amp;LEN(A370)))),1))," ",REPT(" ",LEN(A370))),LEN(A370))))))), 1)) * ROW(INDIRECT("1:"&amp;LEN((--TRIM(RIGHT(SUBSTITUTE(LEFT(A370,_xlfn.AGGREGATE(16,6,FIND({0,1,2,3,4,5,6,7,8,9},A370,ROW(INDIRECT("1:"&amp;LEN(A370)))),1))," ",REPT(" ",LEN(A370))),LEN(A370))))))), 0), ROW(INDIRECT("1:"&amp;LEN((--TRIM(RIGHT(SUBSTITUTE(LEFT(A370,_xlfn.AGGREGATE(16,6,FIND({0,1,2,3,4,5,6,7,8,9},A370,ROW(INDIRECT("1:"&amp;LEN(A370)))),1))," ",REPT(" ",LEN(A370))),LEN(A370))))))))+1, 1) * 10^ROW(INDIRECT("1:"&amp;LEN((--TRIM(RIGHT(SUBSTITUTE(LEFT(A370,_xlfn.AGGREGATE(16,6,FIND({0,1,2,3,4,5,6,7,8,9},A370,ROW(INDIRECT("1:"&amp;LEN(A370)))),1))," ",REPT(" ",LEN(A370))),LEN(A370)))))))/10))*1+1</f>
        <v>204 &amp; 504</v>
      </c>
      <c r="B371" s="132"/>
      <c r="C371" s="42"/>
      <c r="D371" s="42"/>
      <c r="E371" s="54">
        <v>0</v>
      </c>
      <c r="F371" s="54">
        <f>D371+E371</f>
        <v>0</v>
      </c>
      <c r="G371" s="54">
        <v>0</v>
      </c>
      <c r="H371" s="54">
        <f>F371*(($H$343)+1)+(IF(G371&lt;101,G371,IF(G371&lt;201,G371/2,IF(G371&lt;=301,G371/3,G371/4))))</f>
        <v>0</v>
      </c>
      <c r="I371" s="36"/>
    </row>
    <row r="372" spans="1:20" s="37" customFormat="1" ht="15.75" hidden="1" customHeight="1" x14ac:dyDescent="0.25">
      <c r="A372" s="131" t="str">
        <f ca="1">(SUMPRODUCT(MID(0&amp;(LEFT(A371,SUM(LEN(A371)-LEN(SUBSTITUTE(A371,{"0","1","2"},""))))), LARGE(INDEX(ISNUMBER(--MID((LEFT(A371,SUM(LEN(A371)-LEN(SUBSTITUTE(A371,{"0","1","2"},""))))), ROW(INDIRECT("1:"&amp;LEN((LEFT(A371,SUM(LEN(A371)-LEN(SUBSTITUTE(A371,{"0","1","2"},"")))))))), 1)) * ROW(INDIRECT("1:"&amp;LEN((LEFT(A371,SUM(LEN(A371)-LEN(SUBSTITUTE(A371,{"0","1","2"},"")))))))), 0), ROW(INDIRECT("1:"&amp;LEN((LEFT(A371,SUM(LEN(A371)-LEN(SUBSTITUTE(A371,{"0","1","2"},"")))))))))+1, 1) * 10^ROW(INDIRECT("1:"&amp;LEN((LEFT(A371,SUM(LEN(A371)-LEN(SUBSTITUTE(A371,{"0","1","2"},""))))))))/10))*1+1&amp;""&amp;" &amp; "&amp;""&amp;(SUMPRODUCT(MID(0&amp;(--TRIM(RIGHT(SUBSTITUTE(LEFT(A371,_xlfn.AGGREGATE(16,6,FIND({0,1,2,3,4,5,6,7,8,9},A371,ROW(INDIRECT("1:"&amp;LEN(A371)))),1))," ",REPT(" ",LEN(A371))),LEN(A371)))), LARGE(INDEX(ISNUMBER(--MID((--TRIM(RIGHT(SUBSTITUTE(LEFT(A371,_xlfn.AGGREGATE(16,6,FIND({0,1,2,3,4,5,6,7,8,9},A371,ROW(INDIRECT("1:"&amp;LEN(A371)))),1))," ",REPT(" ",LEN(A371))),LEN(A371)))), ROW(INDIRECT("1:"&amp;LEN((--TRIM(RIGHT(SUBSTITUTE(LEFT(A371,_xlfn.AGGREGATE(16,6,FIND({0,1,2,3,4,5,6,7,8,9},A371,ROW(INDIRECT("1:"&amp;LEN(A371)))),1))," ",REPT(" ",LEN(A371))),LEN(A371))))))), 1)) * ROW(INDIRECT("1:"&amp;LEN((--TRIM(RIGHT(SUBSTITUTE(LEFT(A371,_xlfn.AGGREGATE(16,6,FIND({0,1,2,3,4,5,6,7,8,9},A371,ROW(INDIRECT("1:"&amp;LEN(A371)))),1))," ",REPT(" ",LEN(A371))),LEN(A371))))))), 0), ROW(INDIRECT("1:"&amp;LEN((--TRIM(RIGHT(SUBSTITUTE(LEFT(A371,_xlfn.AGGREGATE(16,6,FIND({0,1,2,3,4,5,6,7,8,9},A371,ROW(INDIRECT("1:"&amp;LEN(A371)))),1))," ",REPT(" ",LEN(A371))),LEN(A371))))))))+1, 1) * 10^ROW(INDIRECT("1:"&amp;LEN((--TRIM(RIGHT(SUBSTITUTE(LEFT(A371,_xlfn.AGGREGATE(16,6,FIND({0,1,2,3,4,5,6,7,8,9},A371,ROW(INDIRECT("1:"&amp;LEN(A371)))),1))," ",REPT(" ",LEN(A371))),LEN(A371)))))))/10))*1+1</f>
        <v>205 &amp; 505</v>
      </c>
      <c r="B372" s="132"/>
      <c r="C372" s="42"/>
      <c r="D372" s="42"/>
      <c r="E372" s="54">
        <v>0</v>
      </c>
      <c r="F372" s="54">
        <f>D372+E372</f>
        <v>0</v>
      </c>
      <c r="G372" s="54">
        <v>0</v>
      </c>
      <c r="H372" s="54">
        <f>F372*(($H$343)+1)+(IF(G372&lt;101,G372,IF(G372&lt;201,G372/2,IF(G372&lt;=301,G372/3,G372/4))))</f>
        <v>0</v>
      </c>
      <c r="I372" s="36"/>
    </row>
    <row r="373" spans="1:20" s="35" customFormat="1" x14ac:dyDescent="0.25">
      <c r="A373" s="130" t="s">
        <v>64</v>
      </c>
      <c r="B373" s="130"/>
      <c r="C373" s="130"/>
      <c r="D373" s="130"/>
      <c r="E373" s="130"/>
      <c r="F373" s="130"/>
      <c r="G373" s="130"/>
      <c r="H373" s="130"/>
      <c r="T373" s="37"/>
    </row>
    <row r="374" spans="1:20" s="35" customFormat="1" ht="33" customHeight="1" x14ac:dyDescent="0.25">
      <c r="A374" s="44" t="s">
        <v>154</v>
      </c>
      <c r="B374" s="123" t="s">
        <v>434</v>
      </c>
      <c r="C374" s="124"/>
      <c r="D374" s="124"/>
      <c r="E374" s="124"/>
      <c r="F374" s="124"/>
      <c r="G374" s="124"/>
      <c r="H374" s="125"/>
      <c r="T374" s="37"/>
    </row>
    <row r="375" spans="1:20" s="35" customFormat="1" x14ac:dyDescent="0.25">
      <c r="A375" s="44" t="s">
        <v>154</v>
      </c>
      <c r="B375" s="123" t="str">
        <f>(IF(H342="Saleable area Loading :","We have considered Saleable area of Flats as per our Calculation.","We considered Saleable area of Flat as per Builder area Sheet."))</f>
        <v>We have considered Saleable area of Flats as per our Calculation.</v>
      </c>
      <c r="C375" s="124"/>
      <c r="D375" s="124"/>
      <c r="E375" s="124"/>
      <c r="F375" s="124"/>
      <c r="G375" s="124"/>
      <c r="H375" s="125"/>
      <c r="T375" s="37"/>
    </row>
    <row r="376" spans="1:20" s="35" customFormat="1" x14ac:dyDescent="0.25">
      <c r="A376" s="44" t="s">
        <v>154</v>
      </c>
      <c r="B376" s="123" t="str">
        <f>(IF(H144="Saleable area Loading :","We have considered Saleable area of Commercial as per our Calculation.","We considered Saleable area of Commercial as per Builder area Sheet."))</f>
        <v>We have considered Saleable area of Commercial as per our Calculation.</v>
      </c>
      <c r="C376" s="124"/>
      <c r="D376" s="124"/>
      <c r="E376" s="124"/>
      <c r="F376" s="124"/>
      <c r="G376" s="124"/>
      <c r="H376" s="125"/>
      <c r="T376" s="37"/>
    </row>
    <row r="377" spans="1:20" s="35" customFormat="1" x14ac:dyDescent="0.25">
      <c r="A377" s="44" t="s">
        <v>154</v>
      </c>
      <c r="B377" s="123" t="s">
        <v>121</v>
      </c>
      <c r="C377" s="124"/>
      <c r="D377" s="124"/>
      <c r="E377" s="124"/>
      <c r="F377" s="124"/>
      <c r="G377" s="124"/>
      <c r="H377" s="125"/>
      <c r="T377" s="37"/>
    </row>
    <row r="378" spans="1:20" s="35" customFormat="1" x14ac:dyDescent="0.25">
      <c r="A378" s="44" t="s">
        <v>154</v>
      </c>
      <c r="B378" s="123" t="s">
        <v>402</v>
      </c>
      <c r="C378" s="124"/>
      <c r="D378" s="124"/>
      <c r="E378" s="124"/>
      <c r="F378" s="124"/>
      <c r="G378" s="124"/>
      <c r="H378" s="125"/>
      <c r="T378" s="37"/>
    </row>
    <row r="379" spans="1:20" s="35" customFormat="1" x14ac:dyDescent="0.25">
      <c r="A379" s="44" t="s">
        <v>154</v>
      </c>
      <c r="B379" s="123" t="s">
        <v>153</v>
      </c>
      <c r="C379" s="124"/>
      <c r="D379" s="124"/>
      <c r="E379" s="124"/>
      <c r="F379" s="124"/>
      <c r="G379" s="124"/>
      <c r="H379" s="125"/>
    </row>
    <row r="380" spans="1:20" s="35" customFormat="1" x14ac:dyDescent="0.25">
      <c r="A380" s="44" t="s">
        <v>154</v>
      </c>
      <c r="B380" s="123" t="s">
        <v>122</v>
      </c>
      <c r="C380" s="124"/>
      <c r="D380" s="124"/>
      <c r="E380" s="124"/>
      <c r="F380" s="124"/>
      <c r="G380" s="124"/>
      <c r="H380" s="125"/>
    </row>
    <row r="381" spans="1:20" s="35" customFormat="1" ht="34.5" customHeight="1" x14ac:dyDescent="0.25">
      <c r="A381" s="44" t="s">
        <v>154</v>
      </c>
      <c r="B381" s="123" t="s">
        <v>155</v>
      </c>
      <c r="C381" s="124"/>
      <c r="D381" s="124"/>
      <c r="E381" s="124"/>
      <c r="F381" s="124"/>
      <c r="G381" s="124"/>
      <c r="H381" s="125"/>
    </row>
    <row r="382" spans="1:20" s="35" customFormat="1" x14ac:dyDescent="0.25">
      <c r="A382" s="44" t="s">
        <v>154</v>
      </c>
      <c r="B382" s="123" t="s">
        <v>123</v>
      </c>
      <c r="C382" s="124"/>
      <c r="D382" s="124"/>
      <c r="E382" s="124"/>
      <c r="F382" s="124"/>
      <c r="G382" s="124"/>
      <c r="H382" s="125"/>
    </row>
    <row r="383" spans="1:20" s="35" customFormat="1" ht="32.25" hidden="1" customHeight="1" x14ac:dyDescent="0.25">
      <c r="A383" s="51" t="s">
        <v>154</v>
      </c>
      <c r="B383" s="123" t="s">
        <v>179</v>
      </c>
      <c r="C383" s="124"/>
      <c r="D383" s="124"/>
      <c r="E383" s="124"/>
      <c r="F383" s="124"/>
      <c r="G383" s="124"/>
      <c r="H383" s="125"/>
    </row>
    <row r="384" spans="1:20" s="35" customFormat="1" hidden="1" x14ac:dyDescent="0.25">
      <c r="A384" s="86" t="s">
        <v>154</v>
      </c>
      <c r="B384" s="123" t="s">
        <v>348</v>
      </c>
      <c r="C384" s="124"/>
      <c r="D384" s="124"/>
      <c r="E384" s="124"/>
      <c r="F384" s="124"/>
      <c r="G384" s="124"/>
      <c r="H384" s="125"/>
    </row>
    <row r="385" spans="1:20" s="35" customFormat="1" x14ac:dyDescent="0.25">
      <c r="A385" s="107" t="s">
        <v>154</v>
      </c>
      <c r="B385" s="123" t="s">
        <v>413</v>
      </c>
      <c r="C385" s="124"/>
      <c r="D385" s="124"/>
      <c r="E385" s="124"/>
      <c r="F385" s="124"/>
      <c r="G385" s="124"/>
      <c r="H385" s="125"/>
    </row>
    <row r="386" spans="1:20" s="35" customFormat="1" x14ac:dyDescent="0.25">
      <c r="A386" s="122" t="s">
        <v>154</v>
      </c>
      <c r="B386" s="123" t="s">
        <v>428</v>
      </c>
      <c r="C386" s="124"/>
      <c r="D386" s="124"/>
      <c r="E386" s="124"/>
      <c r="F386" s="124"/>
      <c r="G386" s="124"/>
      <c r="H386" s="125"/>
    </row>
    <row r="387" spans="1:20" s="35" customFormat="1" x14ac:dyDescent="0.25">
      <c r="A387" s="120" t="s">
        <v>154</v>
      </c>
      <c r="B387" s="123" t="s">
        <v>432</v>
      </c>
      <c r="C387" s="124"/>
      <c r="D387" s="124"/>
      <c r="E387" s="124"/>
      <c r="F387" s="124"/>
      <c r="G387" s="124"/>
      <c r="H387" s="125"/>
    </row>
    <row r="388" spans="1:20" s="35" customFormat="1" hidden="1" x14ac:dyDescent="0.25">
      <c r="A388" s="86" t="s">
        <v>154</v>
      </c>
      <c r="B388" s="168" t="str">
        <f ca="1">IF(G54&gt;EDATE(E3,-48),"NO REMARK FOR CC","REMARK FOR CC")</f>
        <v>NO REMARK FOR CC</v>
      </c>
      <c r="C388" s="169"/>
      <c r="D388" s="169"/>
      <c r="E388" s="169"/>
      <c r="F388" s="169"/>
      <c r="G388" s="169"/>
      <c r="H388" s="170"/>
    </row>
    <row r="389" spans="1:20" s="35" customFormat="1" ht="81.75" hidden="1" customHeight="1" x14ac:dyDescent="0.25">
      <c r="A389" s="87" t="s">
        <v>154</v>
      </c>
      <c r="B389" s="168" t="s">
        <v>349</v>
      </c>
      <c r="C389" s="169"/>
      <c r="D389" s="169"/>
      <c r="E389" s="169"/>
      <c r="F389" s="169"/>
      <c r="G389" s="169"/>
      <c r="H389" s="170"/>
    </row>
    <row r="390" spans="1:20" x14ac:dyDescent="0.25">
      <c r="A390" s="189" t="s">
        <v>57</v>
      </c>
      <c r="B390" s="189"/>
      <c r="C390" s="189"/>
      <c r="D390" s="189"/>
      <c r="E390" s="189"/>
      <c r="F390" s="189"/>
      <c r="G390" s="189"/>
      <c r="H390" s="189"/>
      <c r="T390" s="35"/>
    </row>
    <row r="391" spans="1:20" x14ac:dyDescent="0.25">
      <c r="A391" s="143" t="s">
        <v>58</v>
      </c>
      <c r="B391" s="143"/>
      <c r="C391" s="143"/>
      <c r="D391" s="143"/>
      <c r="E391" s="143"/>
      <c r="F391" s="143"/>
      <c r="G391" s="143"/>
      <c r="H391" s="143"/>
      <c r="T391" s="35"/>
    </row>
    <row r="392" spans="1:20" ht="15.75" customHeight="1" x14ac:dyDescent="0.25">
      <c r="A392" s="157" t="s">
        <v>59</v>
      </c>
      <c r="B392" s="157"/>
      <c r="C392" s="157"/>
      <c r="D392" s="157"/>
      <c r="E392" s="157"/>
      <c r="F392" s="157"/>
      <c r="G392" s="157"/>
      <c r="H392" s="157"/>
      <c r="T392" s="35"/>
    </row>
    <row r="393" spans="1:20" x14ac:dyDescent="0.25">
      <c r="A393" s="143" t="s">
        <v>60</v>
      </c>
      <c r="B393" s="143"/>
      <c r="C393" s="143"/>
      <c r="D393" s="143"/>
      <c r="E393" s="143"/>
      <c r="F393" s="143"/>
      <c r="G393" s="143"/>
      <c r="H393" s="143"/>
      <c r="T393" s="35"/>
    </row>
    <row r="394" spans="1:20" x14ac:dyDescent="0.25">
      <c r="A394" s="143" t="s">
        <v>61</v>
      </c>
      <c r="B394" s="143"/>
      <c r="C394" s="143"/>
      <c r="D394" s="143"/>
      <c r="E394" s="143"/>
      <c r="F394" s="143"/>
      <c r="G394" s="143"/>
      <c r="H394" s="143"/>
      <c r="T394" s="35"/>
    </row>
    <row r="395" spans="1:20" x14ac:dyDescent="0.25">
      <c r="A395" s="143" t="s">
        <v>124</v>
      </c>
      <c r="B395" s="143"/>
      <c r="C395" s="143"/>
      <c r="D395" s="143"/>
      <c r="E395" s="143"/>
      <c r="F395" s="143"/>
      <c r="G395" s="143"/>
      <c r="H395" s="143"/>
      <c r="T395" s="35"/>
    </row>
    <row r="396" spans="1:20" ht="33.950000000000003" customHeight="1" x14ac:dyDescent="0.25">
      <c r="A396" s="136" t="s">
        <v>125</v>
      </c>
      <c r="B396" s="136"/>
      <c r="C396" s="136"/>
      <c r="D396" s="136"/>
      <c r="E396" s="136"/>
      <c r="F396" s="136"/>
      <c r="G396" s="136"/>
      <c r="H396" s="136"/>
    </row>
    <row r="397" spans="1:20" x14ac:dyDescent="0.25">
      <c r="A397" s="185" t="s">
        <v>73</v>
      </c>
      <c r="B397" s="185"/>
      <c r="C397" s="185" t="s">
        <v>403</v>
      </c>
      <c r="D397" s="185"/>
      <c r="E397" s="185" t="s">
        <v>103</v>
      </c>
      <c r="F397" s="185"/>
      <c r="G397" s="185" t="s">
        <v>435</v>
      </c>
      <c r="H397" s="185"/>
    </row>
    <row r="398" spans="1:20" x14ac:dyDescent="0.25">
      <c r="A398" s="184" t="s">
        <v>75</v>
      </c>
      <c r="B398" s="184"/>
      <c r="C398" s="184"/>
      <c r="D398" s="184"/>
      <c r="E398" s="184"/>
      <c r="F398" s="184"/>
      <c r="G398" s="184"/>
      <c r="H398" s="184"/>
    </row>
    <row r="399" spans="1:20" x14ac:dyDescent="0.25">
      <c r="A399" s="184"/>
      <c r="B399" s="184"/>
      <c r="C399" s="184"/>
      <c r="D399" s="184"/>
      <c r="E399" s="184"/>
      <c r="F399" s="184"/>
      <c r="G399" s="184"/>
      <c r="H399" s="184"/>
    </row>
    <row r="400" spans="1:20" x14ac:dyDescent="0.25">
      <c r="A400" s="184"/>
      <c r="B400" s="184"/>
      <c r="C400" s="184"/>
      <c r="D400" s="184"/>
      <c r="E400" s="184"/>
      <c r="F400" s="184"/>
      <c r="G400" s="184"/>
      <c r="H400" s="184"/>
    </row>
    <row r="401" spans="1:8" x14ac:dyDescent="0.25">
      <c r="A401" s="184"/>
      <c r="B401" s="184"/>
      <c r="C401" s="184"/>
      <c r="D401" s="184"/>
      <c r="E401" s="184"/>
      <c r="F401" s="184"/>
      <c r="G401" s="184"/>
      <c r="H401" s="184"/>
    </row>
    <row r="402" spans="1:8" x14ac:dyDescent="0.25">
      <c r="A402" s="38" t="s">
        <v>62</v>
      </c>
      <c r="B402" s="39"/>
      <c r="C402" s="39"/>
      <c r="D402" s="38" t="str">
        <f>E9</f>
        <v>Runwal Shopping Arcade 2 - R Galleria 2</v>
      </c>
      <c r="F402" s="39"/>
      <c r="G402" s="39"/>
      <c r="H402" s="39"/>
    </row>
    <row r="403" spans="1:8" x14ac:dyDescent="0.25">
      <c r="A403" s="39"/>
      <c r="B403" s="39"/>
      <c r="C403" s="39"/>
      <c r="D403" s="39"/>
      <c r="E403" s="39"/>
      <c r="F403" s="39"/>
      <c r="G403" s="39"/>
      <c r="H403" s="39"/>
    </row>
    <row r="404" spans="1:8" x14ac:dyDescent="0.25">
      <c r="A404" s="39"/>
      <c r="B404" s="39"/>
      <c r="C404" s="39"/>
      <c r="D404" s="39"/>
      <c r="E404" s="39"/>
      <c r="F404" s="39"/>
      <c r="G404" s="39"/>
      <c r="H404" s="39"/>
    </row>
    <row r="405" spans="1:8" ht="15" customHeight="1" x14ac:dyDescent="0.25"/>
    <row r="446" spans="1:1" x14ac:dyDescent="0.25">
      <c r="A446" s="41" t="s">
        <v>164</v>
      </c>
    </row>
    <row r="490" spans="1:1" x14ac:dyDescent="0.25">
      <c r="A490" s="41" t="s">
        <v>63</v>
      </c>
    </row>
  </sheetData>
  <mergeCells count="742">
    <mergeCell ref="L333:M333"/>
    <mergeCell ref="A334:B334"/>
    <mergeCell ref="L334:M334"/>
    <mergeCell ref="A322:B322"/>
    <mergeCell ref="L322:M322"/>
    <mergeCell ref="A323:B323"/>
    <mergeCell ref="L323:M323"/>
    <mergeCell ref="A324:B324"/>
    <mergeCell ref="L324:M324"/>
    <mergeCell ref="A325:B325"/>
    <mergeCell ref="L325:M325"/>
    <mergeCell ref="A326:B326"/>
    <mergeCell ref="L326:M326"/>
    <mergeCell ref="A327:B327"/>
    <mergeCell ref="L327:M327"/>
    <mergeCell ref="A340:B340"/>
    <mergeCell ref="L340:M340"/>
    <mergeCell ref="C339:H340"/>
    <mergeCell ref="L328:M328"/>
    <mergeCell ref="A329:B329"/>
    <mergeCell ref="L329:M329"/>
    <mergeCell ref="A330:B330"/>
    <mergeCell ref="L330:M330"/>
    <mergeCell ref="A331:B331"/>
    <mergeCell ref="L331:M331"/>
    <mergeCell ref="A328:B328"/>
    <mergeCell ref="A335:B335"/>
    <mergeCell ref="L335:M335"/>
    <mergeCell ref="A336:B336"/>
    <mergeCell ref="L336:M336"/>
    <mergeCell ref="A337:B337"/>
    <mergeCell ref="L337:M337"/>
    <mergeCell ref="A338:B338"/>
    <mergeCell ref="L338:M338"/>
    <mergeCell ref="A339:B339"/>
    <mergeCell ref="L339:M339"/>
    <mergeCell ref="A332:B332"/>
    <mergeCell ref="L332:M332"/>
    <mergeCell ref="A333:B333"/>
    <mergeCell ref="L318:M318"/>
    <mergeCell ref="A319:B319"/>
    <mergeCell ref="L319:M319"/>
    <mergeCell ref="A320:B320"/>
    <mergeCell ref="L320:M320"/>
    <mergeCell ref="A321:B321"/>
    <mergeCell ref="L321:M321"/>
    <mergeCell ref="A312:B312"/>
    <mergeCell ref="L312:M312"/>
    <mergeCell ref="A313:B313"/>
    <mergeCell ref="L313:M313"/>
    <mergeCell ref="A314:B314"/>
    <mergeCell ref="L314:M314"/>
    <mergeCell ref="A315:B315"/>
    <mergeCell ref="L315:M315"/>
    <mergeCell ref="A316:B316"/>
    <mergeCell ref="L316:M316"/>
    <mergeCell ref="A317:H317"/>
    <mergeCell ref="A318:B318"/>
    <mergeCell ref="A307:B307"/>
    <mergeCell ref="L307:M307"/>
    <mergeCell ref="A308:B308"/>
    <mergeCell ref="L308:M308"/>
    <mergeCell ref="A309:B309"/>
    <mergeCell ref="L309:M309"/>
    <mergeCell ref="A310:B310"/>
    <mergeCell ref="L310:M310"/>
    <mergeCell ref="A311:B311"/>
    <mergeCell ref="L311:M311"/>
    <mergeCell ref="A302:B302"/>
    <mergeCell ref="L302:M302"/>
    <mergeCell ref="A303:B303"/>
    <mergeCell ref="L303:M303"/>
    <mergeCell ref="A304:B304"/>
    <mergeCell ref="L304:M304"/>
    <mergeCell ref="A305:B305"/>
    <mergeCell ref="L305:M305"/>
    <mergeCell ref="A306:B306"/>
    <mergeCell ref="L306:M306"/>
    <mergeCell ref="A297:B297"/>
    <mergeCell ref="L297:M297"/>
    <mergeCell ref="A298:B298"/>
    <mergeCell ref="L298:M298"/>
    <mergeCell ref="A299:B299"/>
    <mergeCell ref="L299:M299"/>
    <mergeCell ref="A300:B300"/>
    <mergeCell ref="L300:M300"/>
    <mergeCell ref="A301:B301"/>
    <mergeCell ref="L301:M301"/>
    <mergeCell ref="A291:B291"/>
    <mergeCell ref="L291:M291"/>
    <mergeCell ref="A293:H293"/>
    <mergeCell ref="A294:B294"/>
    <mergeCell ref="L294:M294"/>
    <mergeCell ref="A295:B295"/>
    <mergeCell ref="L295:M295"/>
    <mergeCell ref="A296:B296"/>
    <mergeCell ref="L296:M296"/>
    <mergeCell ref="A292:H292"/>
    <mergeCell ref="A286:B286"/>
    <mergeCell ref="L286:M286"/>
    <mergeCell ref="A287:B287"/>
    <mergeCell ref="L287:M287"/>
    <mergeCell ref="A288:B288"/>
    <mergeCell ref="L288:M288"/>
    <mergeCell ref="A289:B289"/>
    <mergeCell ref="L289:M289"/>
    <mergeCell ref="A290:B290"/>
    <mergeCell ref="L290:M290"/>
    <mergeCell ref="A281:B281"/>
    <mergeCell ref="L281:M281"/>
    <mergeCell ref="A282:B282"/>
    <mergeCell ref="L282:M282"/>
    <mergeCell ref="A283:B283"/>
    <mergeCell ref="L283:M283"/>
    <mergeCell ref="A284:B284"/>
    <mergeCell ref="L284:M284"/>
    <mergeCell ref="A285:B285"/>
    <mergeCell ref="L285:M285"/>
    <mergeCell ref="A276:B276"/>
    <mergeCell ref="L276:M276"/>
    <mergeCell ref="A277:B277"/>
    <mergeCell ref="L277:M277"/>
    <mergeCell ref="A278:B278"/>
    <mergeCell ref="L278:M278"/>
    <mergeCell ref="A279:B279"/>
    <mergeCell ref="L279:M279"/>
    <mergeCell ref="A280:B280"/>
    <mergeCell ref="L280:M280"/>
    <mergeCell ref="A271:B271"/>
    <mergeCell ref="L271:M271"/>
    <mergeCell ref="A272:B272"/>
    <mergeCell ref="L272:M272"/>
    <mergeCell ref="A273:B273"/>
    <mergeCell ref="L273:M273"/>
    <mergeCell ref="A274:B274"/>
    <mergeCell ref="L274:M274"/>
    <mergeCell ref="A275:B275"/>
    <mergeCell ref="L275:M275"/>
    <mergeCell ref="A266:B266"/>
    <mergeCell ref="L266:M266"/>
    <mergeCell ref="A267:B267"/>
    <mergeCell ref="L267:M267"/>
    <mergeCell ref="A268:B268"/>
    <mergeCell ref="L268:M268"/>
    <mergeCell ref="A269:B269"/>
    <mergeCell ref="L269:M269"/>
    <mergeCell ref="A270:B270"/>
    <mergeCell ref="L270:M270"/>
    <mergeCell ref="A261:B261"/>
    <mergeCell ref="L261:M261"/>
    <mergeCell ref="A262:B262"/>
    <mergeCell ref="L262:M262"/>
    <mergeCell ref="A263:B263"/>
    <mergeCell ref="L263:M263"/>
    <mergeCell ref="A264:B264"/>
    <mergeCell ref="L264:M264"/>
    <mergeCell ref="A265:B265"/>
    <mergeCell ref="L265:M265"/>
    <mergeCell ref="A256:B256"/>
    <mergeCell ref="L256:M256"/>
    <mergeCell ref="A257:B257"/>
    <mergeCell ref="L257:M257"/>
    <mergeCell ref="A258:B258"/>
    <mergeCell ref="L258:M258"/>
    <mergeCell ref="A259:B259"/>
    <mergeCell ref="L259:M259"/>
    <mergeCell ref="A260:B260"/>
    <mergeCell ref="L260:M260"/>
    <mergeCell ref="A251:B251"/>
    <mergeCell ref="L251:M251"/>
    <mergeCell ref="A252:B252"/>
    <mergeCell ref="L252:M252"/>
    <mergeCell ref="A253:B253"/>
    <mergeCell ref="L253:M253"/>
    <mergeCell ref="A254:B254"/>
    <mergeCell ref="L254:M254"/>
    <mergeCell ref="A255:B255"/>
    <mergeCell ref="L255:M255"/>
    <mergeCell ref="A246:B246"/>
    <mergeCell ref="L246:M246"/>
    <mergeCell ref="A247:B247"/>
    <mergeCell ref="L247:M247"/>
    <mergeCell ref="A248:B248"/>
    <mergeCell ref="L248:M248"/>
    <mergeCell ref="A249:B249"/>
    <mergeCell ref="L249:M249"/>
    <mergeCell ref="A250:B250"/>
    <mergeCell ref="L250:M250"/>
    <mergeCell ref="A241:B241"/>
    <mergeCell ref="L241:M241"/>
    <mergeCell ref="A242:B242"/>
    <mergeCell ref="L242:M242"/>
    <mergeCell ref="A243:B243"/>
    <mergeCell ref="L243:M243"/>
    <mergeCell ref="A244:H244"/>
    <mergeCell ref="A245:B245"/>
    <mergeCell ref="L245:M245"/>
    <mergeCell ref="A236:B236"/>
    <mergeCell ref="L236:M236"/>
    <mergeCell ref="A237:B237"/>
    <mergeCell ref="L237:M237"/>
    <mergeCell ref="A238:B238"/>
    <mergeCell ref="L238:M238"/>
    <mergeCell ref="A239:B239"/>
    <mergeCell ref="L239:M239"/>
    <mergeCell ref="A240:B240"/>
    <mergeCell ref="L240:M240"/>
    <mergeCell ref="A231:B231"/>
    <mergeCell ref="L231:M231"/>
    <mergeCell ref="A232:B232"/>
    <mergeCell ref="L232:M232"/>
    <mergeCell ref="A233:B233"/>
    <mergeCell ref="L233:M233"/>
    <mergeCell ref="A234:B234"/>
    <mergeCell ref="L234:M234"/>
    <mergeCell ref="A235:B235"/>
    <mergeCell ref="L235:M235"/>
    <mergeCell ref="A226:B226"/>
    <mergeCell ref="L226:M226"/>
    <mergeCell ref="A227:B227"/>
    <mergeCell ref="L227:M227"/>
    <mergeCell ref="A228:B228"/>
    <mergeCell ref="L228:M228"/>
    <mergeCell ref="A229:B229"/>
    <mergeCell ref="L229:M229"/>
    <mergeCell ref="A230:B230"/>
    <mergeCell ref="L230:M230"/>
    <mergeCell ref="A221:B221"/>
    <mergeCell ref="L221:M221"/>
    <mergeCell ref="A222:B222"/>
    <mergeCell ref="L222:M222"/>
    <mergeCell ref="A223:B223"/>
    <mergeCell ref="L223:M223"/>
    <mergeCell ref="A224:B224"/>
    <mergeCell ref="L224:M224"/>
    <mergeCell ref="A225:B225"/>
    <mergeCell ref="L225:M225"/>
    <mergeCell ref="A216:B216"/>
    <mergeCell ref="L216:M216"/>
    <mergeCell ref="A217:B217"/>
    <mergeCell ref="L217:M217"/>
    <mergeCell ref="A218:B218"/>
    <mergeCell ref="L218:M218"/>
    <mergeCell ref="A219:B219"/>
    <mergeCell ref="L219:M219"/>
    <mergeCell ref="A220:B220"/>
    <mergeCell ref="L220:M220"/>
    <mergeCell ref="A211:B211"/>
    <mergeCell ref="L211:M211"/>
    <mergeCell ref="A212:B212"/>
    <mergeCell ref="L212:M212"/>
    <mergeCell ref="A213:B213"/>
    <mergeCell ref="L213:M213"/>
    <mergeCell ref="A214:B214"/>
    <mergeCell ref="L214:M214"/>
    <mergeCell ref="A215:B215"/>
    <mergeCell ref="L215:M215"/>
    <mergeCell ref="A206:B206"/>
    <mergeCell ref="L206:M206"/>
    <mergeCell ref="A207:B207"/>
    <mergeCell ref="L207:M207"/>
    <mergeCell ref="A208:B208"/>
    <mergeCell ref="L208:M208"/>
    <mergeCell ref="A209:B209"/>
    <mergeCell ref="L209:M209"/>
    <mergeCell ref="A210:B210"/>
    <mergeCell ref="L210:M210"/>
    <mergeCell ref="A201:B201"/>
    <mergeCell ref="L201:M201"/>
    <mergeCell ref="A202:B202"/>
    <mergeCell ref="L202:M202"/>
    <mergeCell ref="A203:B203"/>
    <mergeCell ref="L203:M203"/>
    <mergeCell ref="A204:B204"/>
    <mergeCell ref="L204:M204"/>
    <mergeCell ref="A205:B205"/>
    <mergeCell ref="L205:M205"/>
    <mergeCell ref="A196:B196"/>
    <mergeCell ref="L196:M196"/>
    <mergeCell ref="A197:H197"/>
    <mergeCell ref="A198:B198"/>
    <mergeCell ref="L198:M198"/>
    <mergeCell ref="A199:B199"/>
    <mergeCell ref="L199:M199"/>
    <mergeCell ref="A200:B200"/>
    <mergeCell ref="L200:M200"/>
    <mergeCell ref="A191:B191"/>
    <mergeCell ref="L191:M191"/>
    <mergeCell ref="A192:B192"/>
    <mergeCell ref="L192:M192"/>
    <mergeCell ref="A193:B193"/>
    <mergeCell ref="L193:M193"/>
    <mergeCell ref="A194:B194"/>
    <mergeCell ref="L194:M194"/>
    <mergeCell ref="A195:B195"/>
    <mergeCell ref="L195:M195"/>
    <mergeCell ref="A186:B186"/>
    <mergeCell ref="L186:M186"/>
    <mergeCell ref="A187:B187"/>
    <mergeCell ref="L187:M187"/>
    <mergeCell ref="A188:B188"/>
    <mergeCell ref="L188:M188"/>
    <mergeCell ref="A189:B189"/>
    <mergeCell ref="L189:M189"/>
    <mergeCell ref="A190:B190"/>
    <mergeCell ref="L190:M190"/>
    <mergeCell ref="A181:B181"/>
    <mergeCell ref="L181:M181"/>
    <mergeCell ref="A182:B182"/>
    <mergeCell ref="L182:M182"/>
    <mergeCell ref="A183:B183"/>
    <mergeCell ref="L183:M183"/>
    <mergeCell ref="A184:B184"/>
    <mergeCell ref="L184:M184"/>
    <mergeCell ref="A185:B185"/>
    <mergeCell ref="L185:M185"/>
    <mergeCell ref="A176:B176"/>
    <mergeCell ref="L176:M176"/>
    <mergeCell ref="A177:B177"/>
    <mergeCell ref="L177:M177"/>
    <mergeCell ref="A178:B178"/>
    <mergeCell ref="L178:M178"/>
    <mergeCell ref="A179:B179"/>
    <mergeCell ref="L179:M179"/>
    <mergeCell ref="A180:B180"/>
    <mergeCell ref="L180:M180"/>
    <mergeCell ref="A171:B171"/>
    <mergeCell ref="L171:M171"/>
    <mergeCell ref="A172:B172"/>
    <mergeCell ref="L172:M172"/>
    <mergeCell ref="A173:B173"/>
    <mergeCell ref="L173:M173"/>
    <mergeCell ref="A174:B174"/>
    <mergeCell ref="L174:M174"/>
    <mergeCell ref="A175:B175"/>
    <mergeCell ref="L175:M175"/>
    <mergeCell ref="A166:B166"/>
    <mergeCell ref="L166:M166"/>
    <mergeCell ref="A167:B167"/>
    <mergeCell ref="L167:M167"/>
    <mergeCell ref="A168:B168"/>
    <mergeCell ref="L168:M168"/>
    <mergeCell ref="A169:B169"/>
    <mergeCell ref="L169:M169"/>
    <mergeCell ref="A170:B170"/>
    <mergeCell ref="L170:M170"/>
    <mergeCell ref="A161:B161"/>
    <mergeCell ref="L161:M161"/>
    <mergeCell ref="A162:B162"/>
    <mergeCell ref="L162:M162"/>
    <mergeCell ref="A163:B163"/>
    <mergeCell ref="L163:M163"/>
    <mergeCell ref="A164:B164"/>
    <mergeCell ref="L164:M164"/>
    <mergeCell ref="A165:B165"/>
    <mergeCell ref="L165:M165"/>
    <mergeCell ref="A156:B156"/>
    <mergeCell ref="L156:M156"/>
    <mergeCell ref="A157:B157"/>
    <mergeCell ref="L157:M157"/>
    <mergeCell ref="A158:B158"/>
    <mergeCell ref="L158:M158"/>
    <mergeCell ref="A159:B159"/>
    <mergeCell ref="L159:M159"/>
    <mergeCell ref="A160:B160"/>
    <mergeCell ref="L160:M160"/>
    <mergeCell ref="A152:B152"/>
    <mergeCell ref="L152:M152"/>
    <mergeCell ref="A153:B153"/>
    <mergeCell ref="L153:M153"/>
    <mergeCell ref="A154:B154"/>
    <mergeCell ref="L154:M154"/>
    <mergeCell ref="A155:B155"/>
    <mergeCell ref="L155:M155"/>
    <mergeCell ref="A150:B150"/>
    <mergeCell ref="A356:B356"/>
    <mergeCell ref="B389:H389"/>
    <mergeCell ref="A116:B116"/>
    <mergeCell ref="C144:C145"/>
    <mergeCell ref="B342:B343"/>
    <mergeCell ref="B376:H376"/>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2:B112"/>
    <mergeCell ref="A146:H146"/>
    <mergeCell ref="A115:B115"/>
    <mergeCell ref="A81:B81"/>
    <mergeCell ref="E79:F88"/>
    <mergeCell ref="G79:H88"/>
    <mergeCell ref="A123:E123"/>
    <mergeCell ref="A140:B140"/>
    <mergeCell ref="E140:F140"/>
    <mergeCell ref="A128:E128"/>
    <mergeCell ref="G140:H140"/>
    <mergeCell ref="C134:D134"/>
    <mergeCell ref="E134:F134"/>
    <mergeCell ref="G134:H134"/>
    <mergeCell ref="A135:B135"/>
    <mergeCell ref="C135:D135"/>
    <mergeCell ref="E135:F135"/>
    <mergeCell ref="G135:H135"/>
    <mergeCell ref="A139:B139"/>
    <mergeCell ref="C139:D139"/>
    <mergeCell ref="E139:F139"/>
    <mergeCell ref="A98:B98"/>
    <mergeCell ref="G92:H92"/>
    <mergeCell ref="A111:B111"/>
    <mergeCell ref="A114:B114"/>
    <mergeCell ref="A100:B100"/>
    <mergeCell ref="B382:H382"/>
    <mergeCell ref="B380:H380"/>
    <mergeCell ref="A148:B148"/>
    <mergeCell ref="L349:M349"/>
    <mergeCell ref="A354:B354"/>
    <mergeCell ref="A351:B351"/>
    <mergeCell ref="A352:B352"/>
    <mergeCell ref="A362:B362"/>
    <mergeCell ref="A41:B41"/>
    <mergeCell ref="C41:H41"/>
    <mergeCell ref="F144:F145"/>
    <mergeCell ref="C133:D133"/>
    <mergeCell ref="E133:F133"/>
    <mergeCell ref="B144:B145"/>
    <mergeCell ref="A144:A145"/>
    <mergeCell ref="C342:C343"/>
    <mergeCell ref="G342:G343"/>
    <mergeCell ref="L348:M348"/>
    <mergeCell ref="L345:M345"/>
    <mergeCell ref="A346:B346"/>
    <mergeCell ref="G141:H141"/>
    <mergeCell ref="L346:M346"/>
    <mergeCell ref="A347:B347"/>
    <mergeCell ref="L347:M347"/>
    <mergeCell ref="L151:M151"/>
    <mergeCell ref="L150:M150"/>
    <mergeCell ref="L149:M149"/>
    <mergeCell ref="L148:M148"/>
    <mergeCell ref="A86:B86"/>
    <mergeCell ref="C138:D138"/>
    <mergeCell ref="E138:F138"/>
    <mergeCell ref="G138:H138"/>
    <mergeCell ref="A118:E118"/>
    <mergeCell ref="A89:B89"/>
    <mergeCell ref="C89:H89"/>
    <mergeCell ref="A147:H147"/>
    <mergeCell ref="E144:E145"/>
    <mergeCell ref="A93:B93"/>
    <mergeCell ref="C91:H91"/>
    <mergeCell ref="A94:B94"/>
    <mergeCell ref="A95:B95"/>
    <mergeCell ref="G93:H102"/>
    <mergeCell ref="A96:B96"/>
    <mergeCell ref="F119:H119"/>
    <mergeCell ref="A119:E119"/>
    <mergeCell ref="E141:F141"/>
    <mergeCell ref="A91:B91"/>
    <mergeCell ref="A113:B113"/>
    <mergeCell ref="F38:H38"/>
    <mergeCell ref="C53:E53"/>
    <mergeCell ref="C52:E52"/>
    <mergeCell ref="G52:H52"/>
    <mergeCell ref="A53:B53"/>
    <mergeCell ref="G53:H53"/>
    <mergeCell ref="A40:B40"/>
    <mergeCell ref="C40:H40"/>
    <mergeCell ref="C57:H57"/>
    <mergeCell ref="A54:B55"/>
    <mergeCell ref="C56:E56"/>
    <mergeCell ref="C54:E54"/>
    <mergeCell ref="G56:H56"/>
    <mergeCell ref="E44:H44"/>
    <mergeCell ref="A42:H42"/>
    <mergeCell ref="A38:B38"/>
    <mergeCell ref="C38:E38"/>
    <mergeCell ref="A44:D44"/>
    <mergeCell ref="A39:H39"/>
    <mergeCell ref="A78:B78"/>
    <mergeCell ref="A48:D48"/>
    <mergeCell ref="A49:D49"/>
    <mergeCell ref="D69:H69"/>
    <mergeCell ref="A46:D46"/>
    <mergeCell ref="E46:H46"/>
    <mergeCell ref="E47:H47"/>
    <mergeCell ref="E48:H48"/>
    <mergeCell ref="E49:H49"/>
    <mergeCell ref="A50:H50"/>
    <mergeCell ref="D66:H66"/>
    <mergeCell ref="A66:C66"/>
    <mergeCell ref="A47:D47"/>
    <mergeCell ref="A51:B51"/>
    <mergeCell ref="C51:H51"/>
    <mergeCell ref="A67:C67"/>
    <mergeCell ref="D67:H67"/>
    <mergeCell ref="G54:H54"/>
    <mergeCell ref="A63:H63"/>
    <mergeCell ref="A77:B77"/>
    <mergeCell ref="A75:B75"/>
    <mergeCell ref="C75:H75"/>
    <mergeCell ref="A70:C70"/>
    <mergeCell ref="D70:H70"/>
    <mergeCell ref="C77:H77"/>
    <mergeCell ref="A71:C71"/>
    <mergeCell ref="D71:H71"/>
    <mergeCell ref="A74:C74"/>
    <mergeCell ref="D74:H74"/>
    <mergeCell ref="A73:C73"/>
    <mergeCell ref="A59:B61"/>
    <mergeCell ref="C61:H61"/>
    <mergeCell ref="E45:H45"/>
    <mergeCell ref="A45:D45"/>
    <mergeCell ref="A56:B57"/>
    <mergeCell ref="C55:H55"/>
    <mergeCell ref="A64:C64"/>
    <mergeCell ref="A68:C68"/>
    <mergeCell ref="A69:C69"/>
    <mergeCell ref="D68:H68"/>
    <mergeCell ref="A65:C65"/>
    <mergeCell ref="G58:H58"/>
    <mergeCell ref="A58:B58"/>
    <mergeCell ref="C58:E58"/>
    <mergeCell ref="C59:H60"/>
    <mergeCell ref="A37:B37"/>
    <mergeCell ref="C37:E37"/>
    <mergeCell ref="A32:D32"/>
    <mergeCell ref="E32:H32"/>
    <mergeCell ref="A33:D33"/>
    <mergeCell ref="E33:H33"/>
    <mergeCell ref="C34:E34"/>
    <mergeCell ref="F37:H37"/>
    <mergeCell ref="F34:H34"/>
    <mergeCell ref="A35:B35"/>
    <mergeCell ref="A34:B34"/>
    <mergeCell ref="C35:E35"/>
    <mergeCell ref="A36:B36"/>
    <mergeCell ref="C36:E36"/>
    <mergeCell ref="F35:H35"/>
    <mergeCell ref="F36:H36"/>
    <mergeCell ref="A43:D43"/>
    <mergeCell ref="E43:H43"/>
    <mergeCell ref="A26:D26"/>
    <mergeCell ref="E26:H26"/>
    <mergeCell ref="A31:D31"/>
    <mergeCell ref="E31:H31"/>
    <mergeCell ref="A28:D28"/>
    <mergeCell ref="E21:F21"/>
    <mergeCell ref="G21:H21"/>
    <mergeCell ref="A22:B22"/>
    <mergeCell ref="C22:D22"/>
    <mergeCell ref="E22:F22"/>
    <mergeCell ref="G22:H22"/>
    <mergeCell ref="A23:B23"/>
    <mergeCell ref="C23:D23"/>
    <mergeCell ref="E23:F23"/>
    <mergeCell ref="G23:H23"/>
    <mergeCell ref="E24:H25"/>
    <mergeCell ref="E28:H28"/>
    <mergeCell ref="A30:D30"/>
    <mergeCell ref="E30:H30"/>
    <mergeCell ref="A27:D27"/>
    <mergeCell ref="E27:H27"/>
    <mergeCell ref="A29:D29"/>
    <mergeCell ref="E29:H29"/>
    <mergeCell ref="A24:D25"/>
    <mergeCell ref="A21:B21"/>
    <mergeCell ref="C21:D21"/>
    <mergeCell ref="E15:H15"/>
    <mergeCell ref="A16:B16"/>
    <mergeCell ref="C16:H16"/>
    <mergeCell ref="C17:H17"/>
    <mergeCell ref="A19:B19"/>
    <mergeCell ref="C19:H19"/>
    <mergeCell ref="A20:B20"/>
    <mergeCell ref="C20:D20"/>
    <mergeCell ref="E20:F20"/>
    <mergeCell ref="G20:H20"/>
    <mergeCell ref="A13:D13"/>
    <mergeCell ref="E13:H13"/>
    <mergeCell ref="A18:B18"/>
    <mergeCell ref="C18:H18"/>
    <mergeCell ref="E11:H11"/>
    <mergeCell ref="A12:D12"/>
    <mergeCell ref="E12:H12"/>
    <mergeCell ref="A17:B17"/>
    <mergeCell ref="A14:D14"/>
    <mergeCell ref="A364:B364"/>
    <mergeCell ref="A353:B353"/>
    <mergeCell ref="C141:D14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F124:H124"/>
    <mergeCell ref="A126:E126"/>
    <mergeCell ref="A398:H401"/>
    <mergeCell ref="A397:B397"/>
    <mergeCell ref="E397:F397"/>
    <mergeCell ref="C397:D397"/>
    <mergeCell ref="G397:H397"/>
    <mergeCell ref="A131:H131"/>
    <mergeCell ref="A129:E129"/>
    <mergeCell ref="F129:H129"/>
    <mergeCell ref="A130:E130"/>
    <mergeCell ref="F130:H130"/>
    <mergeCell ref="A349:H349"/>
    <mergeCell ref="A138:B138"/>
    <mergeCell ref="A358:B358"/>
    <mergeCell ref="A133:B133"/>
    <mergeCell ref="A393:H393"/>
    <mergeCell ref="A136:H136"/>
    <mergeCell ref="A396:H396"/>
    <mergeCell ref="A394:H394"/>
    <mergeCell ref="A390:H390"/>
    <mergeCell ref="G137:H137"/>
    <mergeCell ref="B379:H379"/>
    <mergeCell ref="A341:H341"/>
    <mergeCell ref="F121:H121"/>
    <mergeCell ref="A125:E125"/>
    <mergeCell ref="D144:D145"/>
    <mergeCell ref="G139:H139"/>
    <mergeCell ref="B383:H383"/>
    <mergeCell ref="A141:B141"/>
    <mergeCell ref="A101:B101"/>
    <mergeCell ref="A121:E121"/>
    <mergeCell ref="A117:E117"/>
    <mergeCell ref="F122:H122"/>
    <mergeCell ref="A360:B360"/>
    <mergeCell ref="A122:E122"/>
    <mergeCell ref="A348:B348"/>
    <mergeCell ref="B381:H381"/>
    <mergeCell ref="G144:G145"/>
    <mergeCell ref="A363:B363"/>
    <mergeCell ref="A371:B371"/>
    <mergeCell ref="B374:H374"/>
    <mergeCell ref="B375:H375"/>
    <mergeCell ref="B377:H377"/>
    <mergeCell ref="F117:H117"/>
    <mergeCell ref="F123:H123"/>
    <mergeCell ref="A345:B345"/>
    <mergeCell ref="A151:B151"/>
    <mergeCell ref="A395:H395"/>
    <mergeCell ref="A392:H392"/>
    <mergeCell ref="A350:B350"/>
    <mergeCell ref="A137:B137"/>
    <mergeCell ref="D342:D343"/>
    <mergeCell ref="E342:E343"/>
    <mergeCell ref="A97:B97"/>
    <mergeCell ref="A99:B99"/>
    <mergeCell ref="F118:H118"/>
    <mergeCell ref="G133:H133"/>
    <mergeCell ref="A102:B102"/>
    <mergeCell ref="F125:H125"/>
    <mergeCell ref="C132:D132"/>
    <mergeCell ref="C140:D140"/>
    <mergeCell ref="A344:H344"/>
    <mergeCell ref="A359:B359"/>
    <mergeCell ref="B378:H378"/>
    <mergeCell ref="A368:B368"/>
    <mergeCell ref="A369:B369"/>
    <mergeCell ref="A372:B372"/>
    <mergeCell ref="B388:H388"/>
    <mergeCell ref="B384:H384"/>
    <mergeCell ref="A342:A343"/>
    <mergeCell ref="F342:F343"/>
    <mergeCell ref="A391:H391"/>
    <mergeCell ref="A124:E124"/>
    <mergeCell ref="A85:B85"/>
    <mergeCell ref="I15:P15"/>
    <mergeCell ref="F128:H128"/>
    <mergeCell ref="F126:H126"/>
    <mergeCell ref="A357:B357"/>
    <mergeCell ref="A143:H143"/>
    <mergeCell ref="G132:H132"/>
    <mergeCell ref="A127:E127"/>
    <mergeCell ref="A149:B149"/>
    <mergeCell ref="A62:B62"/>
    <mergeCell ref="C62:E62"/>
    <mergeCell ref="D64:H64"/>
    <mergeCell ref="F127:H127"/>
    <mergeCell ref="E132:F132"/>
    <mergeCell ref="A132:B132"/>
    <mergeCell ref="A134:B134"/>
    <mergeCell ref="C137:D137"/>
    <mergeCell ref="D72:H72"/>
    <mergeCell ref="D65:H65"/>
    <mergeCell ref="G62:H62"/>
    <mergeCell ref="B387:H387"/>
    <mergeCell ref="B385:H385"/>
    <mergeCell ref="B386:H386"/>
    <mergeCell ref="A84:B84"/>
    <mergeCell ref="A52:B52"/>
    <mergeCell ref="A373:H373"/>
    <mergeCell ref="A365:B365"/>
    <mergeCell ref="A366:B366"/>
    <mergeCell ref="A361:H361"/>
    <mergeCell ref="A355:H355"/>
    <mergeCell ref="A370:B370"/>
    <mergeCell ref="A367:H367"/>
    <mergeCell ref="A72:C72"/>
    <mergeCell ref="D73:H73"/>
    <mergeCell ref="A79:B79"/>
    <mergeCell ref="G78:H78"/>
    <mergeCell ref="A87:B87"/>
    <mergeCell ref="A88:B88"/>
    <mergeCell ref="A83:B83"/>
    <mergeCell ref="A82:B82"/>
    <mergeCell ref="E78:F78"/>
    <mergeCell ref="A80:B80"/>
    <mergeCell ref="E137:F137"/>
    <mergeCell ref="A142:H142"/>
    <mergeCell ref="A120:E120"/>
    <mergeCell ref="F120:H120"/>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1:H21" xr:uid="{00000000-0002-0000-0000-000002000000}">
      <formula1>$S$13:$W$13</formula1>
    </dataValidation>
    <dataValidation type="list" allowBlank="1" showInputMessage="1" showErrorMessage="1" sqref="E144:E145" xr:uid="{00000000-0002-0000-0000-000003000000}">
      <formula1>"Attached Loft area,Attached Otla area,Attached Mezzanine area"</formula1>
    </dataValidation>
    <dataValidation type="list" allowBlank="1" showInputMessage="1" showErrorMessage="1" sqref="G397:H397" xr:uid="{00000000-0002-0000-0000-000004000000}">
      <formula1>"Kunal Kadam,Pranita Mhatre,Diptee Gotawade,Shruti Fule,Pooja Kawale,Gaurav Panchal,Shruti Tathare, Dipti Gothawade,Saurav Panse, Sachin Sawant"</formula1>
    </dataValidation>
    <dataValidation type="list" allowBlank="1" showInputMessage="1" showErrorMessage="1" sqref="F117:H117" xr:uid="{00000000-0002-0000-0000-000005000000}">
      <formula1>"On Saleable Area,On Builtup Area,On Carpet Area,On Plot Area"</formula1>
    </dataValidation>
    <dataValidation type="list" allowBlank="1" showInputMessage="1" showErrorMessage="1" sqref="F129:H129" xr:uid="{00000000-0002-0000-0000-000006000000}">
      <formula1>OFFSET($S$117,1,MATCH($G21,$S$117:$W$117,0)-1,15,1)</formula1>
    </dataValidation>
    <dataValidation type="list" allowBlank="1" showInputMessage="1" showErrorMessage="1" sqref="B144:B145" xr:uid="{00000000-0002-0000-0000-000007000000}">
      <formula1>"Shop No. (Sale Plan),Sale / Rehab,Sale / Mhada"</formula1>
    </dataValidation>
    <dataValidation type="list" allowBlank="1" showInputMessage="1" showErrorMessage="1" sqref="B342:B343" xr:uid="{00000000-0002-0000-0000-000008000000}">
      <formula1>"Flat No. (Sale Plan),Sale / Rehab,Sale / Mhada"</formula1>
    </dataValidation>
    <dataValidation type="list" allowBlank="1" showInputMessage="1" showErrorMessage="1" sqref="C22:D22" xr:uid="{00000000-0002-0000-0000-000009000000}">
      <formula1>OFFSET($S$13,1,MATCH($G21,$S$13:$W$13,0)-1,15,1)</formula1>
    </dataValidation>
    <dataValidation type="list" allowBlank="1" showInputMessage="1" showErrorMessage="1" sqref="Y13" xr:uid="{00000000-0002-0000-0000-00000A000000}">
      <formula1>$D$5:$H$5</formula1>
    </dataValidation>
    <dataValidation type="list" allowBlank="1" showInputMessage="1" showErrorMessage="1" sqref="E342:E343" xr:uid="{00000000-0002-0000-0000-00000B000000}">
      <formula1>"Fungible area,Balcony Area,Chajja Area,Cornice Area,AP Area,WS Area"</formula1>
    </dataValidation>
    <dataValidation type="list" allowBlank="1" showInputMessage="1" showErrorMessage="1" sqref="H343 H145"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1:H51" xr:uid="{00000000-0002-0000-0000-00000E000000}">
      <formula1>OFFSET($S$51,1,MATCH($G21,$S$51:$W$51,0)-1,15,1)</formula1>
    </dataValidation>
    <dataValidation type="list" allowBlank="1" showInputMessage="1" showErrorMessage="1" sqref="H144 H342" xr:uid="{00000000-0002-0000-0000-00000F000000}">
      <formula1>"Saleable area Loading :,Builder Saleable Area"</formula1>
    </dataValidation>
    <dataValidation type="list" allowBlank="1" showInputMessage="1" showErrorMessage="1" sqref="D144:D145" xr:uid="{00000000-0002-0000-0000-000010000000}">
      <formula1>"Carpet area,RERA Carpet area"</formula1>
    </dataValidation>
    <dataValidation type="list" allowBlank="1" showInputMessage="1" showErrorMessage="1" sqref="D342:D343" xr:uid="{00000000-0002-0000-0000-000011000000}">
      <formula1>"Carpet Area,Carpet + Encl Balcony Area,RERA Carpet area"</formula1>
    </dataValidation>
  </dataValidations>
  <hyperlinks>
    <hyperlink ref="C41" r:id="rId1" xr:uid="{00000000-0004-0000-0000-000000000000}"/>
    <hyperlink ref="I71" r:id="rId2"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5" manualBreakCount="5">
    <brk id="57" max="7" man="1"/>
    <brk id="389" max="16383" man="1"/>
    <brk id="401" max="16383" man="1"/>
    <brk id="445" max="16383" man="1"/>
    <brk id="489"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92" t="s">
        <v>104</v>
      </c>
      <c r="C3" s="292"/>
      <c r="D3" s="292"/>
      <c r="E3" s="292"/>
      <c r="F3" s="292"/>
      <c r="G3" s="292"/>
      <c r="H3" s="292"/>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180</v>
      </c>
      <c r="E4" s="53" t="s">
        <v>190</v>
      </c>
      <c r="F4" s="53" t="s">
        <v>173</v>
      </c>
      <c r="G4" s="53" t="s">
        <v>195</v>
      </c>
      <c r="H4" s="53" t="s">
        <v>213</v>
      </c>
      <c r="J4" t="s">
        <v>195</v>
      </c>
      <c r="K4" t="s">
        <v>211</v>
      </c>
    </row>
    <row r="5" spans="2:11" x14ac:dyDescent="0.25">
      <c r="B5" s="52"/>
      <c r="C5" s="52"/>
      <c r="D5" s="53" t="s">
        <v>181</v>
      </c>
      <c r="E5" s="53" t="s">
        <v>188</v>
      </c>
      <c r="F5" s="53" t="s">
        <v>210</v>
      </c>
      <c r="G5" s="53" t="s">
        <v>196</v>
      </c>
      <c r="H5" s="53" t="s">
        <v>214</v>
      </c>
    </row>
    <row r="6" spans="2:11" x14ac:dyDescent="0.25">
      <c r="B6" s="52"/>
      <c r="C6" s="52"/>
      <c r="D6" s="53" t="s">
        <v>182</v>
      </c>
      <c r="E6" s="53" t="s">
        <v>189</v>
      </c>
      <c r="F6" s="53" t="s">
        <v>211</v>
      </c>
      <c r="G6" s="53" t="s">
        <v>197</v>
      </c>
      <c r="H6" s="53" t="s">
        <v>227</v>
      </c>
    </row>
    <row r="7" spans="2:11" x14ac:dyDescent="0.25">
      <c r="B7" s="52"/>
      <c r="C7" s="52"/>
      <c r="D7" s="53" t="s">
        <v>183</v>
      </c>
      <c r="E7" s="53" t="s">
        <v>191</v>
      </c>
      <c r="F7" s="53" t="s">
        <v>212</v>
      </c>
      <c r="G7" s="53" t="s">
        <v>198</v>
      </c>
      <c r="H7" s="53" t="s">
        <v>215</v>
      </c>
    </row>
    <row r="8" spans="2:11" x14ac:dyDescent="0.25">
      <c r="B8" s="52"/>
      <c r="C8" s="52"/>
      <c r="D8" s="53" t="s">
        <v>184</v>
      </c>
      <c r="E8" s="53" t="s">
        <v>192</v>
      </c>
      <c r="F8" s="53"/>
      <c r="G8" s="53" t="s">
        <v>199</v>
      </c>
      <c r="H8" s="53" t="s">
        <v>216</v>
      </c>
    </row>
    <row r="9" spans="2:11" x14ac:dyDescent="0.25">
      <c r="B9" s="52"/>
      <c r="C9" s="52"/>
      <c r="D9" s="53" t="s">
        <v>185</v>
      </c>
      <c r="E9" s="53" t="s">
        <v>190</v>
      </c>
      <c r="F9" s="53"/>
      <c r="G9" s="53" t="s">
        <v>200</v>
      </c>
      <c r="H9" s="53" t="s">
        <v>217</v>
      </c>
    </row>
    <row r="10" spans="2:11" x14ac:dyDescent="0.25">
      <c r="B10" s="52"/>
      <c r="C10" s="52"/>
      <c r="D10" s="53" t="s">
        <v>186</v>
      </c>
      <c r="E10" s="53" t="s">
        <v>193</v>
      </c>
      <c r="F10" s="53"/>
      <c r="G10" s="53" t="s">
        <v>201</v>
      </c>
      <c r="H10" s="53" t="s">
        <v>218</v>
      </c>
    </row>
    <row r="11" spans="2:11" x14ac:dyDescent="0.25">
      <c r="B11" s="52"/>
      <c r="C11" s="52"/>
      <c r="D11" s="53" t="s">
        <v>187</v>
      </c>
      <c r="E11" s="53" t="s">
        <v>194</v>
      </c>
      <c r="F11" s="53"/>
      <c r="G11" s="53" t="s">
        <v>202</v>
      </c>
      <c r="H11" s="53" t="s">
        <v>219</v>
      </c>
    </row>
    <row r="12" spans="2:11" x14ac:dyDescent="0.25">
      <c r="B12" s="52"/>
      <c r="C12" s="52"/>
      <c r="D12" s="53"/>
      <c r="E12" s="53"/>
      <c r="F12" s="53"/>
      <c r="G12" s="53" t="s">
        <v>203</v>
      </c>
      <c r="H12" s="53" t="s">
        <v>220</v>
      </c>
    </row>
    <row r="13" spans="2:11" x14ac:dyDescent="0.25">
      <c r="B13" s="52"/>
      <c r="C13" s="52"/>
      <c r="D13" s="53"/>
      <c r="E13" s="53"/>
      <c r="F13" s="53"/>
      <c r="G13" s="53" t="s">
        <v>204</v>
      </c>
      <c r="H13" s="53" t="s">
        <v>221</v>
      </c>
    </row>
    <row r="14" spans="2:11" x14ac:dyDescent="0.25">
      <c r="B14" s="52"/>
      <c r="C14" s="52"/>
      <c r="D14" s="53"/>
      <c r="E14" s="53"/>
      <c r="F14" s="53"/>
      <c r="G14" s="53" t="s">
        <v>205</v>
      </c>
      <c r="H14" s="53" t="s">
        <v>222</v>
      </c>
    </row>
    <row r="15" spans="2:11" x14ac:dyDescent="0.25">
      <c r="B15" s="52"/>
      <c r="C15" s="52"/>
      <c r="D15" s="53"/>
      <c r="E15" s="53"/>
      <c r="F15" s="53"/>
      <c r="G15" s="53" t="s">
        <v>206</v>
      </c>
      <c r="H15" s="53" t="s">
        <v>223</v>
      </c>
    </row>
    <row r="16" spans="2:11" x14ac:dyDescent="0.25">
      <c r="B16" s="52"/>
      <c r="C16" s="52"/>
      <c r="D16" s="53"/>
      <c r="E16" s="53"/>
      <c r="F16" s="53"/>
      <c r="G16" s="53" t="s">
        <v>207</v>
      </c>
      <c r="H16" s="53" t="s">
        <v>224</v>
      </c>
    </row>
    <row r="17" spans="2:8" x14ac:dyDescent="0.25">
      <c r="B17" s="52"/>
      <c r="C17" s="52"/>
      <c r="D17" s="53"/>
      <c r="E17" s="53"/>
      <c r="F17" s="53"/>
      <c r="G17" s="53" t="s">
        <v>208</v>
      </c>
      <c r="H17" s="53" t="s">
        <v>225</v>
      </c>
    </row>
    <row r="18" spans="2:8" x14ac:dyDescent="0.25">
      <c r="B18" s="52"/>
      <c r="C18" s="52"/>
      <c r="D18" s="53"/>
      <c r="E18" s="53"/>
      <c r="F18" s="53"/>
      <c r="G18" s="53" t="s">
        <v>209</v>
      </c>
      <c r="H18" s="53" t="s">
        <v>226</v>
      </c>
    </row>
    <row r="24" spans="2:8" x14ac:dyDescent="0.25">
      <c r="C24" t="s">
        <v>170</v>
      </c>
    </row>
    <row r="25" spans="2:8" x14ac:dyDescent="0.25">
      <c r="C25" t="s">
        <v>228</v>
      </c>
    </row>
    <row r="26" spans="2:8" x14ac:dyDescent="0.25">
      <c r="C26" t="s">
        <v>229</v>
      </c>
    </row>
    <row r="27" spans="2:8" x14ac:dyDescent="0.25">
      <c r="C27" t="s">
        <v>230</v>
      </c>
    </row>
    <row r="28" spans="2:8" x14ac:dyDescent="0.25">
      <c r="C28" t="s">
        <v>231</v>
      </c>
    </row>
    <row r="29" spans="2:8" x14ac:dyDescent="0.25">
      <c r="C29" t="s">
        <v>232</v>
      </c>
    </row>
    <row r="30" spans="2:8" x14ac:dyDescent="0.25">
      <c r="C30" t="s">
        <v>170</v>
      </c>
    </row>
    <row r="33" spans="3:11" x14ac:dyDescent="0.25">
      <c r="J33">
        <v>1</v>
      </c>
      <c r="K33">
        <v>2</v>
      </c>
    </row>
    <row r="34" spans="3:11" x14ac:dyDescent="0.25">
      <c r="C34" s="56" t="s">
        <v>237</v>
      </c>
      <c r="D34" s="53" t="s">
        <v>235</v>
      </c>
      <c r="E34" s="53" t="s">
        <v>240</v>
      </c>
      <c r="F34" s="53" t="s">
        <v>238</v>
      </c>
      <c r="G34" s="53" t="s">
        <v>239</v>
      </c>
      <c r="H34" s="53" t="s">
        <v>241</v>
      </c>
      <c r="J34" t="s">
        <v>195</v>
      </c>
      <c r="K34" t="s">
        <v>211</v>
      </c>
    </row>
    <row r="35" spans="3:11" x14ac:dyDescent="0.25">
      <c r="C35" s="52" t="s">
        <v>236</v>
      </c>
      <c r="D35" s="53" t="s">
        <v>171</v>
      </c>
      <c r="E35" s="53" t="s">
        <v>245</v>
      </c>
      <c r="F35" s="53" t="s">
        <v>247</v>
      </c>
      <c r="G35" s="53" t="s">
        <v>249</v>
      </c>
      <c r="H35" s="53"/>
    </row>
    <row r="36" spans="3:11" x14ac:dyDescent="0.25">
      <c r="C36" s="52"/>
      <c r="D36" s="53" t="s">
        <v>242</v>
      </c>
      <c r="E36" s="53" t="s">
        <v>246</v>
      </c>
      <c r="F36" s="53" t="s">
        <v>248</v>
      </c>
      <c r="G36" s="53" t="s">
        <v>250</v>
      </c>
      <c r="H36" s="53"/>
    </row>
    <row r="37" spans="3:11" x14ac:dyDescent="0.25">
      <c r="C37" s="52"/>
      <c r="D37" s="53" t="s">
        <v>243</v>
      </c>
      <c r="E37" s="53"/>
      <c r="F37" s="53"/>
      <c r="G37" s="53" t="s">
        <v>251</v>
      </c>
      <c r="H37" s="53"/>
    </row>
    <row r="38" spans="3:11" x14ac:dyDescent="0.25">
      <c r="C38" s="52"/>
      <c r="D38" s="53" t="s">
        <v>244</v>
      </c>
      <c r="E38" s="53"/>
      <c r="F38" s="53"/>
      <c r="G38" s="53" t="s">
        <v>251</v>
      </c>
      <c r="H38" s="53"/>
    </row>
    <row r="39" spans="3:11" x14ac:dyDescent="0.25">
      <c r="C39" s="52"/>
      <c r="D39" s="53"/>
      <c r="E39" s="53"/>
      <c r="F39" s="53"/>
      <c r="G39" s="53" t="s">
        <v>252</v>
      </c>
      <c r="H39" s="53"/>
    </row>
    <row r="40" spans="3:11" x14ac:dyDescent="0.25">
      <c r="C40" s="52"/>
      <c r="D40" s="53"/>
      <c r="E40" s="53"/>
      <c r="F40" s="53"/>
      <c r="G40" s="53" t="s">
        <v>253</v>
      </c>
      <c r="H40" s="53"/>
    </row>
    <row r="41" spans="3:11" x14ac:dyDescent="0.25">
      <c r="C41" s="52"/>
      <c r="D41" s="53"/>
      <c r="E41" s="53"/>
      <c r="F41" s="53"/>
      <c r="G41" s="53"/>
      <c r="H41" s="53"/>
    </row>
    <row r="43" spans="3:11" x14ac:dyDescent="0.25">
      <c r="C43" t="s">
        <v>254</v>
      </c>
    </row>
    <row r="44" spans="3:11" x14ac:dyDescent="0.25">
      <c r="C44" t="s">
        <v>173</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180</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195</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190</v>
      </c>
      <c r="D67" t="s">
        <v>276</v>
      </c>
    </row>
    <row r="68" spans="3:4" x14ac:dyDescent="0.25">
      <c r="D68" t="s">
        <v>277</v>
      </c>
    </row>
    <row r="69" spans="3:4" x14ac:dyDescent="0.25">
      <c r="D69" t="s">
        <v>278</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51"/>
  <sheetViews>
    <sheetView topLeftCell="A44" zoomScale="85" zoomScaleNormal="85" workbookViewId="0">
      <selection activeCell="C55" sqref="C55"/>
    </sheetView>
  </sheetViews>
  <sheetFormatPr defaultRowHeight="15" x14ac:dyDescent="0.25"/>
  <cols>
    <col min="2" max="2" width="3" bestFit="1" customWidth="1"/>
    <col min="3" max="3" width="155.28515625" customWidth="1"/>
  </cols>
  <sheetData>
    <row r="2" spans="2:3" ht="15" customHeight="1" x14ac:dyDescent="0.25">
      <c r="B2" s="57">
        <v>1</v>
      </c>
      <c r="C2" s="60" t="s">
        <v>282</v>
      </c>
    </row>
    <row r="3" spans="2:3" x14ac:dyDescent="0.25">
      <c r="B3" s="57">
        <v>2</v>
      </c>
      <c r="C3" s="58" t="s">
        <v>283</v>
      </c>
    </row>
    <row r="4" spans="2:3" x14ac:dyDescent="0.25">
      <c r="B4" s="57">
        <v>3</v>
      </c>
      <c r="C4" s="59" t="s">
        <v>284</v>
      </c>
    </row>
    <row r="5" spans="2:3" x14ac:dyDescent="0.25">
      <c r="B5" s="57">
        <v>4</v>
      </c>
      <c r="C5" s="58" t="s">
        <v>285</v>
      </c>
    </row>
    <row r="6" spans="2:3" x14ac:dyDescent="0.25">
      <c r="B6" s="57">
        <v>5</v>
      </c>
      <c r="C6" s="59" t="s">
        <v>286</v>
      </c>
    </row>
    <row r="7" spans="2:3" ht="30" x14ac:dyDescent="0.25">
      <c r="B7" s="57">
        <v>6</v>
      </c>
      <c r="C7" s="58" t="s">
        <v>287</v>
      </c>
    </row>
    <row r="8" spans="2:3" ht="75" x14ac:dyDescent="0.25">
      <c r="B8" s="57">
        <v>7</v>
      </c>
      <c r="C8" s="58" t="s">
        <v>288</v>
      </c>
    </row>
    <row r="9" spans="2:3" x14ac:dyDescent="0.25">
      <c r="B9" s="57">
        <v>8</v>
      </c>
      <c r="C9" s="59" t="s">
        <v>289</v>
      </c>
    </row>
    <row r="10" spans="2:3" x14ac:dyDescent="0.25">
      <c r="B10" s="57">
        <v>9</v>
      </c>
      <c r="C10" s="59" t="s">
        <v>290</v>
      </c>
    </row>
    <row r="11" spans="2:3" x14ac:dyDescent="0.25">
      <c r="B11" s="57">
        <v>10</v>
      </c>
      <c r="C11" s="59" t="s">
        <v>291</v>
      </c>
    </row>
    <row r="12" spans="2:3" x14ac:dyDescent="0.25">
      <c r="B12" s="57">
        <v>11</v>
      </c>
      <c r="C12" s="59" t="s">
        <v>292</v>
      </c>
    </row>
    <row r="13" spans="2:3" x14ac:dyDescent="0.25">
      <c r="B13" s="57">
        <v>12</v>
      </c>
      <c r="C13" s="59" t="s">
        <v>293</v>
      </c>
    </row>
    <row r="14" spans="2:3" x14ac:dyDescent="0.25">
      <c r="B14" s="57">
        <v>13</v>
      </c>
      <c r="C14" s="59" t="s">
        <v>294</v>
      </c>
    </row>
    <row r="15" spans="2:3" x14ac:dyDescent="0.25">
      <c r="B15" s="57">
        <v>14</v>
      </c>
      <c r="C15" s="59" t="s">
        <v>284</v>
      </c>
    </row>
    <row r="16" spans="2:3" x14ac:dyDescent="0.25">
      <c r="B16" s="57">
        <v>15</v>
      </c>
      <c r="C16" s="59" t="s">
        <v>296</v>
      </c>
    </row>
    <row r="17" spans="2:3" x14ac:dyDescent="0.25">
      <c r="B17" s="84">
        <v>16</v>
      </c>
      <c r="C17" s="66" t="s">
        <v>297</v>
      </c>
    </row>
    <row r="18" spans="2:3" x14ac:dyDescent="0.25">
      <c r="B18" s="65">
        <v>17</v>
      </c>
      <c r="C18" s="66" t="s">
        <v>298</v>
      </c>
    </row>
    <row r="19" spans="2:3" x14ac:dyDescent="0.25">
      <c r="B19" s="64">
        <v>18</v>
      </c>
      <c r="C19" s="57" t="s">
        <v>299</v>
      </c>
    </row>
    <row r="20" spans="2:3" x14ac:dyDescent="0.25">
      <c r="B20" s="65">
        <v>19</v>
      </c>
      <c r="C20" s="57" t="s">
        <v>335</v>
      </c>
    </row>
    <row r="21" spans="2:3" x14ac:dyDescent="0.25">
      <c r="B21" s="67">
        <v>20</v>
      </c>
      <c r="C21" s="57" t="s">
        <v>300</v>
      </c>
    </row>
    <row r="22" spans="2:3" x14ac:dyDescent="0.25">
      <c r="B22" s="65">
        <v>21</v>
      </c>
      <c r="C22" s="57" t="s">
        <v>299</v>
      </c>
    </row>
    <row r="23" spans="2:3" s="76" customFormat="1" ht="29.25" customHeight="1" x14ac:dyDescent="0.25">
      <c r="B23" s="75">
        <v>22</v>
      </c>
      <c r="C23" s="60" t="s">
        <v>327</v>
      </c>
    </row>
    <row r="24" spans="2:3" s="76" customFormat="1" ht="30.75" customHeight="1" x14ac:dyDescent="0.25">
      <c r="B24" s="77">
        <v>23</v>
      </c>
      <c r="C24" s="60" t="s">
        <v>328</v>
      </c>
    </row>
    <row r="25" spans="2:3" x14ac:dyDescent="0.25">
      <c r="B25" s="67">
        <v>24</v>
      </c>
      <c r="C25" s="57" t="s">
        <v>331</v>
      </c>
    </row>
    <row r="26" spans="2:3" x14ac:dyDescent="0.25">
      <c r="B26" s="65">
        <v>25</v>
      </c>
      <c r="C26" s="57" t="s">
        <v>329</v>
      </c>
    </row>
    <row r="27" spans="2:3" x14ac:dyDescent="0.25">
      <c r="B27" s="77">
        <v>26</v>
      </c>
      <c r="C27" s="67" t="s">
        <v>330</v>
      </c>
    </row>
    <row r="28" spans="2:3" x14ac:dyDescent="0.25">
      <c r="B28" s="78">
        <v>27</v>
      </c>
      <c r="C28" s="57" t="s">
        <v>332</v>
      </c>
    </row>
    <row r="29" spans="2:3" ht="60" x14ac:dyDescent="0.25">
      <c r="B29" s="83">
        <v>28</v>
      </c>
      <c r="C29" s="58" t="s">
        <v>333</v>
      </c>
    </row>
    <row r="30" spans="2:3" x14ac:dyDescent="0.25">
      <c r="B30" s="77">
        <v>29</v>
      </c>
      <c r="C30" s="57" t="s">
        <v>334</v>
      </c>
    </row>
    <row r="31" spans="2:3" ht="30" x14ac:dyDescent="0.25">
      <c r="B31" s="85">
        <v>30</v>
      </c>
      <c r="C31" s="58" t="s">
        <v>336</v>
      </c>
    </row>
    <row r="32" spans="2:3" x14ac:dyDescent="0.25">
      <c r="B32" s="77">
        <v>31</v>
      </c>
      <c r="C32" s="57" t="s">
        <v>337</v>
      </c>
    </row>
    <row r="33" spans="2:4" x14ac:dyDescent="0.25">
      <c r="B33" s="77">
        <v>32</v>
      </c>
      <c r="C33" s="57" t="s">
        <v>338</v>
      </c>
    </row>
    <row r="34" spans="2:4" ht="36.75" customHeight="1" x14ac:dyDescent="0.25">
      <c r="B34" s="85">
        <v>33</v>
      </c>
      <c r="C34" s="66" t="s">
        <v>339</v>
      </c>
    </row>
    <row r="35" spans="2:4" x14ac:dyDescent="0.25">
      <c r="B35" s="90">
        <v>34</v>
      </c>
      <c r="C35" s="57" t="s">
        <v>347</v>
      </c>
    </row>
    <row r="36" spans="2:4" ht="60" x14ac:dyDescent="0.25">
      <c r="B36" s="75">
        <v>35</v>
      </c>
      <c r="C36" s="58" t="s">
        <v>349</v>
      </c>
    </row>
    <row r="37" spans="2:4" x14ac:dyDescent="0.25">
      <c r="B37" s="57">
        <v>36</v>
      </c>
      <c r="C37" s="58" t="s">
        <v>358</v>
      </c>
    </row>
    <row r="38" spans="2:4" x14ac:dyDescent="0.25">
      <c r="B38" s="57">
        <f t="shared" ref="B38:B44" si="0">B37+1</f>
        <v>37</v>
      </c>
      <c r="C38" s="57" t="s">
        <v>354</v>
      </c>
    </row>
    <row r="39" spans="2:4" x14ac:dyDescent="0.25">
      <c r="B39" s="57">
        <f t="shared" si="0"/>
        <v>38</v>
      </c>
      <c r="C39" s="57" t="s">
        <v>355</v>
      </c>
    </row>
    <row r="40" spans="2:4" x14ac:dyDescent="0.25">
      <c r="B40" s="57">
        <f t="shared" si="0"/>
        <v>39</v>
      </c>
      <c r="C40" s="57" t="s">
        <v>356</v>
      </c>
    </row>
    <row r="41" spans="2:4" x14ac:dyDescent="0.25">
      <c r="B41" s="57">
        <f t="shared" si="0"/>
        <v>40</v>
      </c>
      <c r="C41" s="57" t="s">
        <v>357</v>
      </c>
    </row>
    <row r="42" spans="2:4" ht="30.75" thickBot="1" x14ac:dyDescent="0.3">
      <c r="B42" s="91">
        <f t="shared" si="0"/>
        <v>41</v>
      </c>
      <c r="C42" s="92" t="s">
        <v>359</v>
      </c>
    </row>
    <row r="43" spans="2:4" ht="30" x14ac:dyDescent="0.25">
      <c r="B43" s="95">
        <f t="shared" si="0"/>
        <v>42</v>
      </c>
      <c r="C43" s="100" t="s">
        <v>364</v>
      </c>
      <c r="D43" t="s">
        <v>365</v>
      </c>
    </row>
    <row r="44" spans="2:4" ht="15.75" thickBot="1" x14ac:dyDescent="0.3">
      <c r="B44" s="97">
        <f t="shared" si="0"/>
        <v>43</v>
      </c>
      <c r="C44" s="99" t="s">
        <v>360</v>
      </c>
    </row>
    <row r="45" spans="2:4" ht="15.75" thickBot="1" x14ac:dyDescent="0.3">
      <c r="B45" s="93">
        <f t="shared" ref="B45:B51" si="1">B44+1</f>
        <v>44</v>
      </c>
      <c r="C45" s="94" t="s">
        <v>361</v>
      </c>
    </row>
    <row r="46" spans="2:4" ht="30" x14ac:dyDescent="0.25">
      <c r="B46" s="95">
        <f t="shared" si="1"/>
        <v>45</v>
      </c>
      <c r="C46" s="96" t="s">
        <v>362</v>
      </c>
    </row>
    <row r="47" spans="2:4" ht="15.75" thickBot="1" x14ac:dyDescent="0.3">
      <c r="B47" s="97">
        <f t="shared" si="1"/>
        <v>46</v>
      </c>
      <c r="C47" s="98" t="s">
        <v>363</v>
      </c>
    </row>
    <row r="48" spans="2:4" x14ac:dyDescent="0.25">
      <c r="B48" s="101">
        <f t="shared" si="1"/>
        <v>47</v>
      </c>
      <c r="C48" s="102" t="s">
        <v>366</v>
      </c>
    </row>
    <row r="49" spans="2:4" x14ac:dyDescent="0.25">
      <c r="B49" s="101">
        <f t="shared" si="1"/>
        <v>48</v>
      </c>
      <c r="C49" s="102" t="s">
        <v>367</v>
      </c>
    </row>
    <row r="50" spans="2:4" x14ac:dyDescent="0.25">
      <c r="B50" s="101">
        <f t="shared" si="1"/>
        <v>49</v>
      </c>
      <c r="C50" s="102" t="s">
        <v>369</v>
      </c>
      <c r="D50" t="s">
        <v>368</v>
      </c>
    </row>
    <row r="51" spans="2:4" ht="30" x14ac:dyDescent="0.25">
      <c r="B51" s="103">
        <f t="shared" si="1"/>
        <v>50</v>
      </c>
      <c r="C51" s="104" t="s">
        <v>370</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RowHeight="15" x14ac:dyDescent="0.25"/>
  <cols>
    <col min="1" max="1" width="9.140625" style="52"/>
    <col min="2" max="2" width="12.28515625" style="52" customWidth="1"/>
    <col min="3" max="16384" width="9.140625" style="52"/>
  </cols>
  <sheetData>
    <row r="2" spans="1:12" x14ac:dyDescent="0.25">
      <c r="B2" s="69" t="s">
        <v>301</v>
      </c>
      <c r="C2" s="293"/>
      <c r="D2" s="293"/>
    </row>
    <row r="3" spans="1:12" x14ac:dyDescent="0.25">
      <c r="D3" s="70"/>
      <c r="E3" s="70"/>
      <c r="F3" s="70"/>
      <c r="G3" s="70"/>
      <c r="H3" s="70"/>
      <c r="I3" s="70"/>
    </row>
    <row r="4" spans="1:12" x14ac:dyDescent="0.25">
      <c r="A4" s="69" t="s">
        <v>65</v>
      </c>
      <c r="B4" s="71" t="s">
        <v>302</v>
      </c>
      <c r="C4" s="294" t="s">
        <v>303</v>
      </c>
      <c r="D4" s="294"/>
      <c r="E4" s="294"/>
      <c r="F4" s="71"/>
      <c r="G4" s="295" t="s">
        <v>304</v>
      </c>
      <c r="H4" s="295"/>
      <c r="I4" s="295"/>
      <c r="J4" s="296" t="s">
        <v>305</v>
      </c>
      <c r="K4" s="296"/>
      <c r="L4" s="296"/>
    </row>
    <row r="5" spans="1:12" x14ac:dyDescent="0.25">
      <c r="A5" s="69"/>
      <c r="B5" s="71"/>
      <c r="C5" s="71" t="s">
        <v>306</v>
      </c>
      <c r="D5" s="71" t="s">
        <v>307</v>
      </c>
      <c r="E5" s="71" t="s">
        <v>308</v>
      </c>
      <c r="F5" s="71"/>
      <c r="G5" s="71" t="s">
        <v>306</v>
      </c>
      <c r="H5" s="71" t="s">
        <v>307</v>
      </c>
      <c r="I5" s="71" t="s">
        <v>308</v>
      </c>
      <c r="J5" s="71" t="s">
        <v>306</v>
      </c>
      <c r="K5" s="71" t="s">
        <v>307</v>
      </c>
      <c r="L5" s="71" t="s">
        <v>308</v>
      </c>
    </row>
    <row r="6" spans="1:12" x14ac:dyDescent="0.25">
      <c r="B6" s="53" t="s">
        <v>309</v>
      </c>
      <c r="C6" s="53"/>
      <c r="D6" s="53"/>
      <c r="E6" s="53">
        <f>C6*D6</f>
        <v>0</v>
      </c>
      <c r="F6" s="53" t="s">
        <v>326</v>
      </c>
      <c r="G6" s="53"/>
      <c r="H6" s="53"/>
      <c r="I6" s="53">
        <f>G6*H6</f>
        <v>0</v>
      </c>
      <c r="J6" s="53"/>
      <c r="K6" s="53"/>
      <c r="L6" s="53">
        <f>J6*K6</f>
        <v>0</v>
      </c>
    </row>
    <row r="7" spans="1:12" x14ac:dyDescent="0.25">
      <c r="B7" s="53"/>
      <c r="C7" s="53"/>
      <c r="D7" s="53"/>
      <c r="E7" s="53">
        <f t="shared" ref="E7:E41" si="0">C7*D7</f>
        <v>0</v>
      </c>
      <c r="F7" s="53" t="s">
        <v>326</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310</v>
      </c>
      <c r="G9" s="53"/>
      <c r="H9" s="53"/>
      <c r="I9" s="53">
        <f t="shared" si="1"/>
        <v>0</v>
      </c>
      <c r="J9" s="53"/>
      <c r="K9" s="53"/>
      <c r="L9" s="53">
        <f t="shared" si="2"/>
        <v>0</v>
      </c>
    </row>
    <row r="10" spans="1:12" x14ac:dyDescent="0.25">
      <c r="B10" s="53" t="s">
        <v>311</v>
      </c>
      <c r="C10" s="53"/>
      <c r="D10" s="53"/>
      <c r="E10" s="53">
        <f t="shared" si="0"/>
        <v>0</v>
      </c>
      <c r="F10" s="53" t="s">
        <v>310</v>
      </c>
      <c r="G10" s="53"/>
      <c r="H10" s="53"/>
      <c r="I10" s="53">
        <f t="shared" si="1"/>
        <v>0</v>
      </c>
      <c r="J10" s="53"/>
      <c r="K10" s="53"/>
      <c r="L10" s="53">
        <f t="shared" si="2"/>
        <v>0</v>
      </c>
    </row>
    <row r="11" spans="1:12" x14ac:dyDescent="0.25">
      <c r="B11" s="53"/>
      <c r="C11" s="53"/>
      <c r="D11" s="53"/>
      <c r="E11" s="53">
        <f t="shared" si="0"/>
        <v>0</v>
      </c>
      <c r="F11" s="53" t="s">
        <v>312</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313</v>
      </c>
      <c r="C14" s="53"/>
      <c r="D14" s="53"/>
      <c r="E14" s="53">
        <f t="shared" si="0"/>
        <v>0</v>
      </c>
      <c r="F14" s="53" t="s">
        <v>310</v>
      </c>
      <c r="G14" s="53"/>
      <c r="H14" s="53"/>
      <c r="I14" s="53">
        <f t="shared" si="1"/>
        <v>0</v>
      </c>
      <c r="J14" s="53"/>
      <c r="K14" s="53"/>
      <c r="L14" s="53">
        <f t="shared" si="2"/>
        <v>0</v>
      </c>
    </row>
    <row r="15" spans="1:12" x14ac:dyDescent="0.25">
      <c r="B15" s="53"/>
      <c r="C15" s="53"/>
      <c r="D15" s="53"/>
      <c r="E15" s="53">
        <f t="shared" si="0"/>
        <v>0</v>
      </c>
      <c r="F15" s="53" t="s">
        <v>312</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314</v>
      </c>
      <c r="C18" s="53"/>
      <c r="D18" s="53"/>
      <c r="E18" s="53">
        <f t="shared" si="0"/>
        <v>0</v>
      </c>
      <c r="F18" s="53" t="s">
        <v>310</v>
      </c>
      <c r="G18" s="53"/>
      <c r="H18" s="53"/>
      <c r="I18" s="53">
        <f t="shared" si="1"/>
        <v>0</v>
      </c>
      <c r="J18" s="53"/>
      <c r="K18" s="53"/>
      <c r="L18" s="53">
        <f t="shared" si="2"/>
        <v>0</v>
      </c>
    </row>
    <row r="19" spans="2:12" x14ac:dyDescent="0.25">
      <c r="B19" s="53"/>
      <c r="C19" s="53"/>
      <c r="D19" s="53"/>
      <c r="E19" s="53">
        <f t="shared" si="0"/>
        <v>0</v>
      </c>
      <c r="F19" s="53" t="s">
        <v>312</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315</v>
      </c>
      <c r="C21" s="53"/>
      <c r="D21" s="53"/>
      <c r="E21" s="53">
        <f t="shared" si="0"/>
        <v>0</v>
      </c>
      <c r="F21" s="53" t="s">
        <v>310</v>
      </c>
      <c r="G21" s="53"/>
      <c r="H21" s="53"/>
      <c r="I21" s="53">
        <f t="shared" si="1"/>
        <v>0</v>
      </c>
      <c r="J21" s="53"/>
      <c r="K21" s="53"/>
      <c r="L21" s="53">
        <f t="shared" si="2"/>
        <v>0</v>
      </c>
    </row>
    <row r="22" spans="2:12" x14ac:dyDescent="0.25">
      <c r="B22" s="53"/>
      <c r="C22" s="53"/>
      <c r="D22" s="53"/>
      <c r="E22" s="53">
        <f t="shared" si="0"/>
        <v>0</v>
      </c>
      <c r="F22" s="53" t="s">
        <v>312</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316</v>
      </c>
      <c r="C24" s="53"/>
      <c r="D24" s="53"/>
      <c r="E24" s="53">
        <f t="shared" si="0"/>
        <v>0</v>
      </c>
      <c r="F24" s="53" t="s">
        <v>317</v>
      </c>
      <c r="G24" s="53"/>
      <c r="H24" s="53"/>
      <c r="I24" s="53">
        <f t="shared" si="1"/>
        <v>0</v>
      </c>
      <c r="J24" s="53"/>
      <c r="K24" s="53"/>
      <c r="L24" s="53">
        <f t="shared" si="2"/>
        <v>0</v>
      </c>
    </row>
    <row r="25" spans="2:12" x14ac:dyDescent="0.25">
      <c r="B25" s="53"/>
      <c r="C25" s="53"/>
      <c r="D25" s="53"/>
      <c r="E25" s="53">
        <f>C25*D25</f>
        <v>0</v>
      </c>
      <c r="F25" s="53" t="s">
        <v>317</v>
      </c>
      <c r="G25" s="53"/>
      <c r="H25" s="53"/>
      <c r="I25" s="53">
        <f>G25*H25</f>
        <v>0</v>
      </c>
      <c r="J25" s="53"/>
      <c r="K25" s="53"/>
      <c r="L25" s="53">
        <f>J25*K25</f>
        <v>0</v>
      </c>
    </row>
    <row r="26" spans="2:12" x14ac:dyDescent="0.25">
      <c r="B26" s="53"/>
      <c r="C26" s="53"/>
      <c r="D26" s="53"/>
      <c r="E26" s="53">
        <f>C26*D26</f>
        <v>0</v>
      </c>
      <c r="F26" s="53" t="s">
        <v>317</v>
      </c>
      <c r="G26" s="53"/>
      <c r="H26" s="53"/>
      <c r="I26" s="53">
        <f>G26*H26</f>
        <v>0</v>
      </c>
      <c r="J26" s="53"/>
      <c r="K26" s="53"/>
      <c r="L26" s="53">
        <f>J26*K26</f>
        <v>0</v>
      </c>
    </row>
    <row r="27" spans="2:12" x14ac:dyDescent="0.25">
      <c r="B27" s="53"/>
      <c r="C27" s="53"/>
      <c r="D27" s="53"/>
      <c r="E27" s="53">
        <f>C27*D27</f>
        <v>0</v>
      </c>
      <c r="F27" s="53" t="s">
        <v>317</v>
      </c>
      <c r="G27" s="53"/>
      <c r="H27" s="53"/>
      <c r="I27" s="53">
        <f>G27*H27</f>
        <v>0</v>
      </c>
      <c r="J27" s="53"/>
      <c r="K27" s="53"/>
      <c r="L27" s="53">
        <f>J27*K27</f>
        <v>0</v>
      </c>
    </row>
    <row r="28" spans="2:12" x14ac:dyDescent="0.25">
      <c r="B28" s="53" t="s">
        <v>318</v>
      </c>
      <c r="C28" s="53"/>
      <c r="D28" s="53"/>
      <c r="E28" s="53">
        <f t="shared" si="0"/>
        <v>0</v>
      </c>
      <c r="F28" s="53" t="s">
        <v>317</v>
      </c>
      <c r="G28" s="53"/>
      <c r="H28" s="53"/>
      <c r="I28" s="53">
        <f t="shared" si="1"/>
        <v>0</v>
      </c>
      <c r="J28" s="53"/>
      <c r="K28" s="53"/>
      <c r="L28" s="53">
        <f t="shared" si="2"/>
        <v>0</v>
      </c>
    </row>
    <row r="29" spans="2:12" x14ac:dyDescent="0.25">
      <c r="B29" s="53" t="s">
        <v>319</v>
      </c>
      <c r="C29" s="53"/>
      <c r="D29" s="53"/>
      <c r="E29" s="53">
        <f t="shared" si="0"/>
        <v>0</v>
      </c>
      <c r="F29" s="53" t="s">
        <v>317</v>
      </c>
      <c r="G29" s="53"/>
      <c r="H29" s="53"/>
      <c r="I29" s="53">
        <f t="shared" si="1"/>
        <v>0</v>
      </c>
      <c r="J29" s="53"/>
      <c r="K29" s="53"/>
      <c r="L29" s="53">
        <f t="shared" si="2"/>
        <v>0</v>
      </c>
    </row>
    <row r="30" spans="2:12" x14ac:dyDescent="0.25">
      <c r="B30" s="53" t="s">
        <v>323</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320</v>
      </c>
      <c r="C33" s="53"/>
      <c r="D33" s="53"/>
      <c r="E33" s="53">
        <f t="shared" si="0"/>
        <v>0</v>
      </c>
      <c r="F33" s="53"/>
      <c r="G33" s="53"/>
      <c r="H33" s="53"/>
      <c r="I33" s="53">
        <f t="shared" si="1"/>
        <v>0</v>
      </c>
      <c r="J33" s="53"/>
      <c r="K33" s="53"/>
      <c r="L33" s="53">
        <f t="shared" si="2"/>
        <v>0</v>
      </c>
    </row>
    <row r="34" spans="2:12" x14ac:dyDescent="0.25">
      <c r="B34" s="53" t="s">
        <v>324</v>
      </c>
      <c r="C34" s="53"/>
      <c r="D34" s="53"/>
      <c r="E34" s="53">
        <f t="shared" si="0"/>
        <v>0</v>
      </c>
      <c r="F34" s="53"/>
      <c r="G34" s="53"/>
      <c r="H34" s="53"/>
      <c r="I34" s="53">
        <f t="shared" si="1"/>
        <v>0</v>
      </c>
      <c r="J34" s="53"/>
      <c r="K34" s="53"/>
      <c r="L34" s="53">
        <f t="shared" si="2"/>
        <v>0</v>
      </c>
    </row>
    <row r="35" spans="2:12" x14ac:dyDescent="0.25">
      <c r="B35" s="53" t="s">
        <v>321</v>
      </c>
      <c r="C35" s="53"/>
      <c r="D35" s="53"/>
      <c r="E35" s="53">
        <f t="shared" si="0"/>
        <v>0</v>
      </c>
      <c r="F35" s="53"/>
      <c r="G35" s="53"/>
      <c r="H35" s="53"/>
      <c r="I35" s="53">
        <f t="shared" si="1"/>
        <v>0</v>
      </c>
      <c r="J35" s="53"/>
      <c r="K35" s="53"/>
      <c r="L35" s="53">
        <f t="shared" si="2"/>
        <v>0</v>
      </c>
    </row>
    <row r="36" spans="2:12" x14ac:dyDescent="0.25">
      <c r="B36" s="53" t="s">
        <v>322</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325</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151</v>
      </c>
      <c r="C42" s="53"/>
      <c r="D42" s="53">
        <f>E42*10.764</f>
        <v>0</v>
      </c>
      <c r="E42" s="74">
        <f>SUM(E6:E41)</f>
        <v>0</v>
      </c>
      <c r="F42" s="53"/>
      <c r="G42" s="53"/>
      <c r="H42" s="53">
        <f>I42*10.764</f>
        <v>0</v>
      </c>
      <c r="I42" s="73">
        <f>SUM(I6:I41)</f>
        <v>0</v>
      </c>
      <c r="J42" s="53"/>
      <c r="K42" s="53">
        <f>L42*10.764</f>
        <v>0</v>
      </c>
      <c r="L42" s="72">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2025-07-14T06:39:17Z</cp:lastPrinted>
  <dcterms:created xsi:type="dcterms:W3CDTF">2019-07-16T09:29:46Z</dcterms:created>
  <dcterms:modified xsi:type="dcterms:W3CDTF">2025-07-14T06:39:28Z</dcterms:modified>
</cp:coreProperties>
</file>