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July 25\Dump\"/>
    </mc:Choice>
  </mc:AlternateContent>
  <xr:revisionPtr revIDLastSave="0" documentId="13_ncr:1_{8973D5AE-9E32-45F8-AA2F-3FB8429E514E}"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4" i="1" l="1"/>
  <c r="E180" i="1"/>
  <c r="D180" i="1"/>
  <c r="D211" i="1" l="1"/>
  <c r="D200" i="1"/>
  <c r="D202" i="1"/>
  <c r="D181" i="1" l="1"/>
  <c r="D174" i="1"/>
  <c r="D185" i="1"/>
  <c r="D169" i="1"/>
  <c r="D62" i="1" l="1"/>
  <c r="D214" i="1" l="1"/>
  <c r="D213" i="1"/>
  <c r="D212" i="1"/>
  <c r="D210" i="1"/>
  <c r="D204" i="1"/>
  <c r="D203" i="1"/>
  <c r="D201" i="1"/>
  <c r="D194" i="1"/>
  <c r="D193" i="1"/>
  <c r="D191" i="1"/>
  <c r="D190" i="1"/>
  <c r="D170" i="1"/>
  <c r="D159" i="1"/>
  <c r="D158" i="1"/>
  <c r="I209" i="1" l="1"/>
  <c r="I199" i="1"/>
  <c r="I189" i="1"/>
  <c r="I176" i="1"/>
  <c r="I165" i="1"/>
  <c r="I154" i="1"/>
  <c r="D218" i="1"/>
  <c r="D217" i="1"/>
  <c r="D215" i="1"/>
  <c r="D208" i="1"/>
  <c r="D207" i="1"/>
  <c r="D205" i="1"/>
  <c r="D198" i="1"/>
  <c r="D197" i="1"/>
  <c r="D196" i="1"/>
  <c r="D195" i="1"/>
  <c r="D192" i="1"/>
  <c r="D186" i="1"/>
  <c r="D184" i="1"/>
  <c r="D183" i="1"/>
  <c r="D182" i="1"/>
  <c r="D179" i="1"/>
  <c r="D177" i="1"/>
  <c r="D175" i="1"/>
  <c r="D173" i="1"/>
  <c r="D172" i="1"/>
  <c r="D171" i="1"/>
  <c r="D168" i="1"/>
  <c r="D166" i="1"/>
  <c r="D164" i="1"/>
  <c r="D163" i="1"/>
  <c r="D162" i="1"/>
  <c r="D161" i="1"/>
  <c r="D160" i="1"/>
  <c r="D157" i="1"/>
  <c r="D156" i="1"/>
  <c r="D155" i="1"/>
  <c r="I153" i="1"/>
  <c r="E218" i="1"/>
  <c r="F218" i="1" s="1"/>
  <c r="H218" i="1" s="1"/>
  <c r="A218" i="1"/>
  <c r="E217" i="1"/>
  <c r="E215" i="1"/>
  <c r="F214" i="1"/>
  <c r="H214" i="1" s="1"/>
  <c r="E213" i="1"/>
  <c r="F213" i="1" s="1"/>
  <c r="H213" i="1" s="1"/>
  <c r="E212" i="1"/>
  <c r="F212" i="1" s="1"/>
  <c r="H212" i="1" s="1"/>
  <c r="E211" i="1"/>
  <c r="F211" i="1" s="1"/>
  <c r="H211" i="1" s="1"/>
  <c r="A211" i="1"/>
  <c r="A212" i="1" s="1"/>
  <c r="A213" i="1" s="1"/>
  <c r="A214" i="1" s="1"/>
  <c r="E210" i="1"/>
  <c r="F210" i="1" s="1"/>
  <c r="H210" i="1" s="1"/>
  <c r="E208" i="1"/>
  <c r="E207" i="1"/>
  <c r="E205" i="1"/>
  <c r="E204" i="1"/>
  <c r="E203" i="1"/>
  <c r="E202" i="1"/>
  <c r="E201" i="1"/>
  <c r="E200" i="1"/>
  <c r="E198" i="1"/>
  <c r="E197" i="1"/>
  <c r="E196" i="1"/>
  <c r="E195" i="1"/>
  <c r="E194" i="1"/>
  <c r="E193" i="1"/>
  <c r="E192" i="1"/>
  <c r="E191" i="1"/>
  <c r="E190" i="1"/>
  <c r="E186" i="1"/>
  <c r="E185" i="1"/>
  <c r="E184" i="1"/>
  <c r="E183" i="1"/>
  <c r="E182" i="1"/>
  <c r="E181" i="1"/>
  <c r="A180" i="1"/>
  <c r="A181" i="1" s="1"/>
  <c r="A182" i="1" s="1"/>
  <c r="A183" i="1" s="1"/>
  <c r="A184" i="1" s="1"/>
  <c r="A185" i="1" s="1"/>
  <c r="A186" i="1" s="1"/>
  <c r="E179" i="1"/>
  <c r="E177" i="1"/>
  <c r="E175" i="1"/>
  <c r="E174" i="1"/>
  <c r="E173" i="1"/>
  <c r="E172" i="1"/>
  <c r="E171" i="1"/>
  <c r="E170" i="1"/>
  <c r="E169" i="1"/>
  <c r="E168" i="1"/>
  <c r="E166" i="1"/>
  <c r="E164" i="1"/>
  <c r="E163" i="1"/>
  <c r="E162" i="1"/>
  <c r="E161" i="1"/>
  <c r="E160" i="1"/>
  <c r="E159" i="1"/>
  <c r="E158" i="1"/>
  <c r="E157" i="1"/>
  <c r="E156" i="1"/>
  <c r="E155" i="1"/>
  <c r="F205" i="1" l="1"/>
  <c r="H205" i="1" s="1"/>
  <c r="F183" i="1"/>
  <c r="H183" i="1" s="1"/>
  <c r="F215" i="1"/>
  <c r="H215" i="1" s="1"/>
  <c r="F185" i="1"/>
  <c r="H185" i="1" s="1"/>
  <c r="C137" i="1"/>
  <c r="F179" i="1"/>
  <c r="H179" i="1" s="1"/>
  <c r="C136" i="1"/>
  <c r="F177" i="1"/>
  <c r="H177" i="1" s="1"/>
  <c r="F184" i="1"/>
  <c r="H184" i="1" s="1"/>
  <c r="F186" i="1"/>
  <c r="H186" i="1" s="1"/>
  <c r="F217" i="1"/>
  <c r="H217" i="1" s="1"/>
  <c r="F180" i="1"/>
  <c r="H180" i="1" s="1"/>
  <c r="F181" i="1"/>
  <c r="H181" i="1" s="1"/>
  <c r="F182" i="1"/>
  <c r="H182" i="1" s="1"/>
  <c r="J171" i="1"/>
  <c r="F174" i="1"/>
  <c r="H174" i="1" s="1"/>
  <c r="F173" i="1"/>
  <c r="H173" i="1" s="1"/>
  <c r="F172" i="1"/>
  <c r="H172" i="1" s="1"/>
  <c r="F171" i="1"/>
  <c r="H171" i="1" s="1"/>
  <c r="F170" i="1"/>
  <c r="H170" i="1" s="1"/>
  <c r="F168" i="1"/>
  <c r="H168" i="1" s="1"/>
  <c r="A169" i="1"/>
  <c r="A170" i="1" s="1"/>
  <c r="A171" i="1" s="1"/>
  <c r="A172" i="1" s="1"/>
  <c r="A173" i="1" s="1"/>
  <c r="A174" i="1" s="1"/>
  <c r="A175" i="1" s="1"/>
  <c r="F166" i="1"/>
  <c r="H166" i="1" s="1"/>
  <c r="F175" i="1" l="1"/>
  <c r="H175" i="1" s="1"/>
  <c r="F169" i="1"/>
  <c r="H169" i="1" s="1"/>
  <c r="F203" i="1" l="1"/>
  <c r="H203" i="1" s="1"/>
  <c r="A201" i="1"/>
  <c r="A202" i="1" s="1"/>
  <c r="A203" i="1" s="1"/>
  <c r="A204" i="1" s="1"/>
  <c r="A208" i="1" s="1"/>
  <c r="A191" i="1"/>
  <c r="A192" i="1" s="1"/>
  <c r="A193" i="1" s="1"/>
  <c r="A194" i="1" s="1"/>
  <c r="A195" i="1" s="1"/>
  <c r="A196" i="1" s="1"/>
  <c r="A197" i="1" s="1"/>
  <c r="A198" i="1" s="1"/>
  <c r="F159" i="1"/>
  <c r="E43" i="1"/>
  <c r="K159" i="1" l="1"/>
  <c r="H159" i="1"/>
  <c r="F202" i="1"/>
  <c r="H202" i="1" s="1"/>
  <c r="F191" i="1"/>
  <c r="F195" i="1"/>
  <c r="F208" i="1"/>
  <c r="H208" i="1" s="1"/>
  <c r="F197" i="1"/>
  <c r="F201" i="1"/>
  <c r="H201" i="1" s="1"/>
  <c r="F204" i="1"/>
  <c r="H204" i="1" s="1"/>
  <c r="F207" i="1"/>
  <c r="H207" i="1" s="1"/>
  <c r="F161" i="1"/>
  <c r="F200" i="1"/>
  <c r="H200" i="1" s="1"/>
  <c r="F196" i="1"/>
  <c r="F194" i="1"/>
  <c r="F192" i="1"/>
  <c r="F160" i="1"/>
  <c r="F193" i="1"/>
  <c r="F198" i="1"/>
  <c r="F190" i="1"/>
  <c r="H190" i="1" s="1"/>
  <c r="F164" i="1"/>
  <c r="F163" i="1"/>
  <c r="F162" i="1"/>
  <c r="B221" i="1"/>
  <c r="K198" i="1" l="1"/>
  <c r="H198" i="1"/>
  <c r="K194" i="1"/>
  <c r="H194" i="1"/>
  <c r="K197" i="1"/>
  <c r="H197" i="1"/>
  <c r="K161" i="1"/>
  <c r="H161" i="1"/>
  <c r="K191" i="1"/>
  <c r="H191" i="1"/>
  <c r="G137" i="1" s="1"/>
  <c r="K162" i="1"/>
  <c r="H162" i="1"/>
  <c r="K163" i="1"/>
  <c r="H163" i="1"/>
  <c r="K193" i="1"/>
  <c r="H193" i="1"/>
  <c r="K196" i="1"/>
  <c r="H196" i="1"/>
  <c r="K192" i="1"/>
  <c r="H192" i="1"/>
  <c r="K164" i="1"/>
  <c r="H164" i="1"/>
  <c r="K160" i="1"/>
  <c r="H160" i="1"/>
  <c r="K195" i="1"/>
  <c r="H195" i="1"/>
  <c r="E137" i="1"/>
  <c r="K190" i="1"/>
  <c r="G58" i="1"/>
  <c r="C58" i="1"/>
  <c r="G56" i="1"/>
  <c r="C56" i="1"/>
  <c r="N164" i="1" l="1"/>
  <c r="O164" i="1"/>
  <c r="S33" i="1"/>
  <c r="F11" i="5" l="1"/>
  <c r="G11" i="5" s="1"/>
  <c r="F10" i="5"/>
  <c r="G10" i="5" s="1"/>
  <c r="F9" i="5"/>
  <c r="G9" i="5" s="1"/>
  <c r="F8" i="5"/>
  <c r="G8" i="5" s="1"/>
  <c r="F7" i="5"/>
  <c r="G7" i="5" s="1"/>
  <c r="F6" i="5"/>
  <c r="G6" i="5" s="1"/>
  <c r="F5" i="5"/>
  <c r="G5" i="5" s="1"/>
  <c r="G12" i="5" s="1"/>
  <c r="D247" i="1"/>
  <c r="B222" i="1"/>
  <c r="F158" i="1"/>
  <c r="H158" i="1" s="1"/>
  <c r="F157" i="1"/>
  <c r="F156" i="1"/>
  <c r="A156" i="1"/>
  <c r="A157" i="1" s="1"/>
  <c r="A158" i="1" s="1"/>
  <c r="A159" i="1" s="1"/>
  <c r="A160" i="1" s="1"/>
  <c r="A161" i="1" s="1"/>
  <c r="A162" i="1" s="1"/>
  <c r="A163" i="1" s="1"/>
  <c r="A164" i="1" s="1"/>
  <c r="F155" i="1"/>
  <c r="H155" i="1" s="1"/>
  <c r="H148" i="1"/>
  <c r="F148" i="1"/>
  <c r="H147" i="1"/>
  <c r="F147" i="1"/>
  <c r="H146" i="1"/>
  <c r="F146" i="1"/>
  <c r="A146" i="1"/>
  <c r="A147" i="1" s="1"/>
  <c r="A148" i="1" s="1"/>
  <c r="H145" i="1"/>
  <c r="F145" i="1"/>
  <c r="F128" i="1"/>
  <c r="C102" i="1"/>
  <c r="C88" i="1"/>
  <c r="C74" i="1"/>
  <c r="D68" i="1"/>
  <c r="G51" i="1"/>
  <c r="G52" i="1" s="1"/>
  <c r="C51" i="1"/>
  <c r="C52" i="1" s="1"/>
  <c r="E44" i="1"/>
  <c r="E45" i="1" s="1"/>
  <c r="E31" i="1"/>
  <c r="E28" i="1"/>
  <c r="E26" i="1"/>
  <c r="C16" i="1"/>
  <c r="I15" i="1"/>
  <c r="Z13" i="1"/>
  <c r="E8" i="1"/>
  <c r="E3" i="1"/>
  <c r="H75" i="1"/>
  <c r="H103" i="1"/>
  <c r="H89" i="1"/>
  <c r="K157" i="1" l="1"/>
  <c r="H157" i="1"/>
  <c r="K156" i="1"/>
  <c r="H156" i="1"/>
  <c r="G136" i="1" s="1"/>
  <c r="K158" i="1"/>
  <c r="E136" i="1"/>
  <c r="E139" i="1" s="1"/>
  <c r="K155" i="1"/>
  <c r="C139" i="1"/>
  <c r="J74" i="1"/>
  <c r="J76" i="1" s="1"/>
  <c r="J77" i="1"/>
  <c r="J78" i="1"/>
  <c r="J79" i="1"/>
  <c r="C78" i="1" s="1"/>
  <c r="J93" i="1"/>
  <c r="D97" i="1"/>
  <c r="D99" i="1"/>
  <c r="J92" i="1"/>
  <c r="D98" i="1"/>
  <c r="J88" i="1"/>
  <c r="J90" i="1" s="1"/>
  <c r="D96" i="1"/>
  <c r="J91" i="1"/>
  <c r="D95" i="1"/>
  <c r="D101" i="1"/>
  <c r="D100" i="1"/>
  <c r="D94" i="1"/>
  <c r="D82" i="1"/>
  <c r="D84" i="1"/>
  <c r="D83" i="1"/>
  <c r="D87" i="1"/>
  <c r="D81" i="1"/>
  <c r="D86" i="1"/>
  <c r="D80" i="1"/>
  <c r="D85" i="1"/>
  <c r="C108" i="1"/>
  <c r="J102" i="1" s="1"/>
  <c r="J104" i="1" s="1"/>
  <c r="D111" i="1"/>
  <c r="D113" i="1"/>
  <c r="J107" i="1"/>
  <c r="C106" i="1" s="1"/>
  <c r="D106" i="1" s="1"/>
  <c r="D112" i="1"/>
  <c r="J106" i="1"/>
  <c r="D110" i="1"/>
  <c r="J105" i="1"/>
  <c r="D109" i="1"/>
  <c r="D115" i="1"/>
  <c r="D114" i="1"/>
  <c r="B103" i="1"/>
  <c r="B89" i="1"/>
  <c r="B75" i="1"/>
  <c r="J80" i="1" s="1"/>
  <c r="G139" i="1" l="1"/>
  <c r="J182" i="1"/>
  <c r="C92" i="1"/>
  <c r="D92" i="1" s="1"/>
  <c r="D78" i="1"/>
  <c r="D108" i="1"/>
  <c r="J113" i="1"/>
  <c r="J110" i="1"/>
  <c r="J112" i="1"/>
  <c r="J111" i="1"/>
  <c r="J108" i="1"/>
  <c r="J109" i="1" s="1"/>
  <c r="J114" i="1" s="1"/>
  <c r="J115" i="1" s="1"/>
  <c r="C107" i="1" s="1"/>
  <c r="J99" i="1"/>
  <c r="J96" i="1"/>
  <c r="J98" i="1"/>
  <c r="J97" i="1"/>
  <c r="J94" i="1"/>
  <c r="J95" i="1" s="1"/>
  <c r="J84" i="1"/>
  <c r="J82" i="1"/>
  <c r="J83" i="1"/>
  <c r="J81" i="1"/>
  <c r="J86" i="1" s="1"/>
  <c r="J87" i="1" s="1"/>
  <c r="C79" i="1" s="1"/>
  <c r="J85" i="1"/>
  <c r="J75" i="1" l="1"/>
  <c r="J100" i="1"/>
  <c r="J101" i="1" s="1"/>
  <c r="E106" i="1"/>
  <c r="D107" i="1"/>
  <c r="I103" i="1" s="1"/>
  <c r="J103" i="1"/>
  <c r="G106" i="1"/>
  <c r="E78" i="1"/>
  <c r="D79" i="1"/>
  <c r="I75" i="1" s="1"/>
  <c r="G78" i="1"/>
  <c r="C93" i="1" l="1"/>
  <c r="J89" i="1" s="1"/>
  <c r="I104" i="1"/>
  <c r="I102" i="1" s="1"/>
  <c r="C104" i="1" s="1"/>
  <c r="I76" i="1"/>
  <c r="I74" i="1" s="1"/>
  <c r="C76" i="1" s="1"/>
  <c r="D93" i="1" l="1"/>
  <c r="I89" i="1" s="1"/>
  <c r="I90" i="1" s="1"/>
  <c r="E92" i="1"/>
  <c r="G92" i="1"/>
  <c r="D72" i="1" s="1"/>
  <c r="I88" i="1" l="1"/>
  <c r="C90" i="1" s="1"/>
  <c r="F73" i="1"/>
  <c r="D7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1"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1"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<sst xmlns="http://schemas.openxmlformats.org/spreadsheetml/2006/main" count="673" uniqueCount="359">
  <si>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</si>
  <si>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</si>
  <si>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</si>
  <si>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</si>
  <si>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</si>
  <si>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</si>
  <si>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</si>
  <si>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</si>
  <si>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</si>
  <si>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</si>
  <si>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</si>
  <si>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</si>
  <si>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</si>
  <si>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</si>
  <si>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</si>
  <si>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</si>
  <si>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</si>
  <si>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</si>
  <si>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</si>
  <si>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</si>
  <si>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</si>
  <si>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</si>
  <si>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</si>
  <si>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</si>
  <si>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</si>
  <si>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</si>
  <si>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</si>
  <si>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</si>
  <si>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</si>
  <si>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</si>
  <si>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</si>
  <si>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</si>
  <si>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</si>
  <si>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</si>
  <si>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</si>
  <si>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</si>
  <si>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</si>
  <si>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</si>
  <si>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</si>
  <si>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</si>
  <si>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</si>
  <si>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</si>
  <si>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</si>
  <si>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</si>
  <si>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</si>
  <si>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</si>
  <si>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</si>
  <si>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</si>
  <si>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</si>
  <si>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</si>
  <si>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</si>
  <si>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</si>
  <si>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</si>
  <si>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</si>
  <si>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</si>
  <si>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</si>
  <si>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</si>
  <si>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</si>
  <si>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</si>
  <si>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</si>
  <si>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</si>
  <si>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</si>
  <si>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</si>
  <si>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</si>
  <si>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</si>
  <si>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</si>
  <si>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</si>
  <si>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</si>
  <si>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</si>
  <si>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</si>
  <si>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</si>
  <si>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</si>
  <si>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</si>
  <si>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</si>
  <si>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</si>
  <si>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</si>
  <si>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</si>
  <si>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</si>
  <si>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</si>
  <si>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</si>
  <si>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</si>
  <si>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</si>
  <si>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</si>
  <si>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</si>
  <si>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</si>
  <si>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</si>
  <si>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</si>
  <si>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</si>
  <si>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</si>
  <si>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</si>
  <si>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</si>
  <si>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</si>
  <si>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</si>
  <si>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</si>
  <si>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</si>
  <si>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</si>
  <si>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</si>
  <si>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</si>
  <si>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</si>
  <si>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</si>
  <si>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</si>
  <si>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</si>
  <si>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</si>
  <si>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</si>
  <si>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</si>
  <si>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</si>
  <si>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</si>
  <si>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</si>
  <si>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</si>
  <si>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</si>
  <si>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</si>
  <si>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</si>
  <si>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</si>
  <si>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</si>
  <si>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</si>
  <si>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</si>
  <si>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</si>
  <si>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</si>
  <si>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</si>
  <si>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</si>
  <si>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</si>
  <si>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</si>
  <si>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</si>
  <si>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</si>
  <si>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</si>
  <si>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</si>
  <si>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</si>
  <si>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</si>
  <si>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</si>
  <si>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</si>
  <si>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</si>
  <si>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</si>
  <si>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</si>
  <si>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</si>
  <si>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</si>
  <si>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</si>
  <si>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</si>
  <si>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</si>
  <si>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</si>
  <si>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</si>
  <si>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</si>
  <si>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</si>
  <si>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</si>
  <si>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</si>
  <si>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</si>
  <si>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</si>
  <si>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</si>
  <si>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</si>
  <si>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</si>
  <si>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</si>
  <si>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</si>
  <si>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</si>
  <si>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</si>
  <si>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</si>
  <si>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</si>
  <si>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</si>
  <si>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</si>
  <si>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</si>
  <si>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</si>
  <si>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</si>
  <si>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</si>
  <si>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</si>
  <si>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</si>
  <si>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</si>
  <si>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</si>
  <si>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</si>
  <si>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</si>
  <si>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</si>
  <si>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</si>
  <si>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</si>
  <si>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</si>
  <si>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</si>
  <si>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</si>
  <si>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</si>
  <si>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</si>
  <si>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</si>
  <si>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</si>
  <si>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</si>
  <si>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</si>
  <si>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</si>
  <si>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</si>
  <si>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</si>
  <si>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</si>
  <si>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</si>
  <si>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</si>
  <si>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</si>
  <si>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</si>
  <si>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</si>
  <si>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</si>
  <si>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</si>
  <si>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</si>
  <si>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</si>
  <si>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</si>
  <si>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</si>
  <si>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</si>
  <si>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</si>
  <si>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</si>
  <si>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</si>
  <si>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</si>
  <si>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</si>
  <si>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</si>
  <si>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</si>
  <si>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</si>
  <si>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</si>
  <si>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</si>
  <si>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</si>
  <si>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</si>
  <si>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</si>
  <si>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</si>
  <si>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</si>
  <si>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</si>
  <si>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</si>
  <si>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</si>
  <si>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</si>
  <si>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</si>
  <si>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</si>
  <si>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</si>
  <si>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</si>
  <si>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</si>
  <si>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</si>
  <si>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</si>
  <si>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</si>
  <si>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</si>
  <si>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</si>
  <si>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</si>
  <si>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</si>
  <si>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</si>
  <si>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</si>
  <si>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</si>
  <si>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</si>
  <si>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</si>
  <si>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</si>
  <si>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</si>
  <si>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</si>
  <si>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</si>
  <si>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</si>
  <si>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</si>
  <si>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</si>
  <si>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</si>
  <si>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</si>
  <si>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</si>
  <si>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</si>
  <si>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</si>
  <si>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</si>
  <si>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</si>
  <si>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</si>
  <si>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</si>
  <si>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</si>
  <si>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</si>
  <si>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</si>
  <si>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</si>
  <si>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</si>
  <si>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</si>
  <si>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</si>
  <si>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</si>
  <si>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</si>
  <si>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</si>
  <si>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</si>
  <si>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</si>
  <si>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</si>
  <si>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</si>
  <si>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</si>
  <si>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</si>
  <si>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</si>
  <si>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</si>
  <si>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</si>
  <si>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</si>
  <si>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</si>
  <si>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</si>
  <si>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</si>
  <si>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</si>
  <si>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</si>
  <si>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</si>
  <si>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</si>
  <si>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</si>
  <si>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</si>
  <si>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</si>
  <si>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</si>
  <si>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</si>
  <si>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</si>
  <si>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</si>
  <si>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</si>
  <si>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</si>
  <si>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</si>
  <si>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</si>
  <si>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</si>
  <si>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</si>
  <si>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</si>
  <si>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</si>
  <si>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</si>
  <si>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</si>
  <si>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There are inadequate transportation options to get to the project and the area is not 
developed.</t>
  </si>
  <si>
    <t>We did not consider the terrace area attached to the 1st floor flats because it was not shown in the approved plans. However, it was shown in the sales plan.</t>
  </si>
  <si>
    <t>River located on west side of the project.</t>
  </si>
  <si>
    <t>P P Corporation</t>
  </si>
  <si>
    <t>Rugi Colonia</t>
  </si>
  <si>
    <t>Ms Rakhi Jain 9022945561</t>
  </si>
  <si>
    <t>Approved Plans, Sale Plans, Builder Saleable Area, Cost Sheet &amp; Fire Noc.</t>
  </si>
  <si>
    <t>P51700051526</t>
  </si>
  <si>
    <t>Survey No</t>
  </si>
  <si>
    <t>111, H. No. 1</t>
  </si>
  <si>
    <t>Chikhloli</t>
  </si>
  <si>
    <t>19.187555,73.217685</t>
  </si>
  <si>
    <t>https://maps.app.goo.gl/mHvn1Uc8pdR66GPr8</t>
  </si>
  <si>
    <t>Katrap</t>
  </si>
  <si>
    <t>Kalyan Badlapur Road</t>
  </si>
  <si>
    <t>Neelkanth Royale Palms</t>
  </si>
  <si>
    <t>3.40KM from Badlapur Railway Station</t>
  </si>
  <si>
    <t>Badlpaur West</t>
  </si>
  <si>
    <t>S. No. 113</t>
  </si>
  <si>
    <t>S. No. 111 H. No. 2</t>
  </si>
  <si>
    <t>S. No. 112/1 (pt)</t>
  </si>
  <si>
    <t>30.00 M. Wide D.P. Road</t>
  </si>
  <si>
    <t>Open Plot</t>
  </si>
  <si>
    <t>02 Wings</t>
  </si>
  <si>
    <t>AMC/FIRE/2021-22/E.20</t>
  </si>
  <si>
    <t>As per RERA - 31/12/2026</t>
  </si>
  <si>
    <r>
      <t xml:space="preserve">Proposed Amenities :                                                                                                                                                                                                                         </t>
    </r>
    <r>
      <rPr>
        <b/>
        <sz val="12"/>
        <rFont val="Times New Roman"/>
        <family val="1"/>
      </rPr>
      <t xml:space="preserve">                                               </t>
    </r>
  </si>
  <si>
    <t>Childrens Play Area, Gym, Landscape &amp; Garden, Sitting Area, Yoga And Meditation Area, etc.</t>
  </si>
  <si>
    <t xml:space="preserve">https://www.squareyards.com/thane-residential-property/rugi-colonia/226061/project#Amenities </t>
  </si>
  <si>
    <t xml:space="preserve">https://www.thelaunch.in/rugicoloniaambernath_6910#amenities </t>
  </si>
  <si>
    <t>Wing R1</t>
  </si>
  <si>
    <t>Ground Floor For Entrance Lobby &amp; Parking</t>
  </si>
  <si>
    <t>2BHK</t>
  </si>
  <si>
    <t>1BHK</t>
  </si>
  <si>
    <t>Wing R2</t>
  </si>
  <si>
    <t xml:space="preserve">Details of Residential in Building   </t>
  </si>
  <si>
    <t xml:space="preserve">We considered Gross carpet area = Net carpet + AP Area. </t>
  </si>
  <si>
    <t>AP Area</t>
  </si>
  <si>
    <t>Wing R1 &amp; R2</t>
  </si>
  <si>
    <t>Sudhir Bhosale</t>
  </si>
  <si>
    <t>We have done APF for Wing R1 &amp; R2 as they are registered on Rera site.</t>
  </si>
  <si>
    <t>Wing R1 = Stilt + 11th Floors (Height 34.20 mtr)
Wing R2 = Stilt/Gr(Pt) + 11th Floors (Height 34.20 mtr)</t>
  </si>
  <si>
    <t>As per Fire Noc</t>
  </si>
  <si>
    <t>Wing R1  = Gr + 1st to 14th Floor</t>
  </si>
  <si>
    <t>Wing R2 = Gr + 1st to 14th Floor</t>
  </si>
  <si>
    <t>Power &amp; Water Connection Charges</t>
  </si>
  <si>
    <t>Club Development Charges</t>
  </si>
  <si>
    <t>Grill Charges</t>
  </si>
  <si>
    <t>Infra Charges</t>
  </si>
  <si>
    <t>4500 to 4750</t>
  </si>
  <si>
    <t>Flat No. 607 Sale area changed by Bhargav 845 to 866 and rate 21/11/2024</t>
  </si>
  <si>
    <t xml:space="preserve">Recommended Rates / Other charges of the Property have been revised on 21/11/2024.
</t>
  </si>
  <si>
    <t>1st to 7th, 9th to 13th Floor For Residential</t>
  </si>
  <si>
    <t>Refuge Area</t>
  </si>
  <si>
    <t>8th Floor For Residential (Part Refuge Area)</t>
  </si>
  <si>
    <t>14th Floor For Residential (Part Refuge Area)</t>
  </si>
  <si>
    <t>Flats - 262</t>
  </si>
  <si>
    <t>Wing R1  = Gr + 1st to 14th Floor
Wing R2 = Gr + 1st to 14th Floor</t>
  </si>
  <si>
    <t>As per Latest CC</t>
  </si>
  <si>
    <t>ABNMCB/0054/[P/C]/2024/AutoDCR</t>
  </si>
  <si>
    <t>Building Details Floor Wise</t>
  </si>
  <si>
    <t>Rugi Colonia (Wing R1) = Gr + 1st to 14th Floor
Rugi Colonia (Wing R2) = Gr + 1st to 14th Floor</t>
  </si>
  <si>
    <t>Approved Builtup area of Wing R1 &amp; R2 (Sq.Mt)</t>
  </si>
  <si>
    <t>Ground Floor For Entrance Lobby, Society Office, Driver Room &amp; Parking</t>
  </si>
  <si>
    <t>We have updated Revised approved plan &amp; CC on 30/01/2025.</t>
  </si>
  <si>
    <t>As per the provided Revised approved plan survey number of project is not mentioned.</t>
  </si>
  <si>
    <t>Construction work is in process at the time of Visit.</t>
  </si>
  <si>
    <t>Gaurav Panchal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</si>
</sst>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5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1" xfId="0" applyFill="1" applyBorder="1" applyAlignment="1"/>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27" fillId="0" borderId="0" xfId="10"/>
    <xf numFmtId="0" fontId="27" fillId="0" borderId="0" xfId="10" applyProtection="1">
      <protection hidden="1"/>
    </xf>
    <xf numFmtId="2" fontId="7" fillId="0" borderId="0" xfId="1" applyNumberFormat="1" applyFont="1" applyAlignment="1">
      <alignment horizontal="center" vertical="center"/>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6" fillId="0" borderId="0" xfId="1" applyNumberFormat="1" applyFont="1" applyBorder="1" applyAlignment="1" applyProtection="1">
      <alignment horizontal="center" vertical="center" wrapText="1"/>
      <protection locked="0"/>
    </xf>
    <xf numFmtId="2" fontId="7" fillId="0" borderId="0" xfId="1" applyNumberFormat="1" applyFont="1" applyBorder="1" applyAlignment="1">
      <alignment horizontal="center" vertical="center"/>
    </xf>
    <xf numFmtId="1" fontId="7" fillId="0" borderId="0" xfId="1" applyNumberFormat="1" applyFont="1" applyBorder="1" applyAlignment="1">
      <alignment horizontal="center" vertical="center"/>
    </xf>
    <xf numFmtId="0" fontId="7" fillId="2" borderId="0" xfId="1" applyFont="1" applyFill="1"/>
    <xf numFmtId="0" fontId="7" fillId="0" borderId="0" xfId="1" applyFont="1" applyAlignment="1">
      <alignment horizontal="center" vertical="center"/>
    </xf>
    <xf numFmtId="1" fontId="7" fillId="0" borderId="0" xfId="1" applyNumberFormat="1" applyFont="1" applyAlignment="1">
      <alignment horizontal="center" vertical="center"/>
    </xf>
    <xf numFmtId="1" fontId="7" fillId="0" borderId="1" xfId="1" applyNumberFormat="1" applyFont="1" applyBorder="1" applyAlignment="1">
      <alignment horizontal="center" vertical="center"/>
    </xf>
    <xf numFmtId="1" fontId="6" fillId="3" borderId="1" xfId="0" applyNumberFormat="1" applyFont="1" applyFill="1" applyBorder="1" applyAlignment="1" applyProtection="1">
      <alignment horizontal="center" vertical="center" wrapText="1"/>
      <protection locked="0"/>
    </xf>
    <xf numFmtId="0" fontId="7" fillId="3" borderId="0" xfId="0" applyFont="1" applyFill="1" applyAlignment="1">
      <alignment horizontal="center" vertical="center"/>
    </xf>
    <xf numFmtId="0" fontId="7" fillId="0" borderId="0" xfId="1" applyFont="1" applyAlignment="1">
      <alignment horizontal="center" vertical="center"/>
    </xf>
    <xf numFmtId="1" fontId="7" fillId="0" borderId="0" xfId="1" applyNumberFormat="1" applyFont="1" applyAlignment="1">
      <alignment horizontal="center" vertical="center"/>
    </xf>
    <xf numFmtId="1" fontId="7" fillId="0" borderId="1" xfId="1" applyNumberFormat="1" applyFont="1" applyFill="1" applyBorder="1" applyAlignment="1">
      <alignment horizontal="center" vertical="center"/>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1" fontId="12" fillId="0" borderId="1" xfId="1" applyNumberFormat="1" applyFont="1" applyFill="1" applyBorder="1" applyAlignment="1" applyProtection="1">
      <alignment horizontal="center" vertical="center" wrapText="1"/>
      <protection locked="0"/>
    </xf>
    <xf numFmtId="1" fontId="12" fillId="0" borderId="1" xfId="1" applyNumberFormat="1" applyFont="1" applyFill="1" applyBorder="1" applyAlignment="1">
      <alignment horizontal="center" vertical="center"/>
    </xf>
    <xf numFmtId="1" fontId="8" fillId="0" borderId="1" xfId="1" applyNumberFormat="1" applyFont="1" applyBorder="1" applyAlignment="1" applyProtection="1">
      <alignment horizontal="center" vertical="top" wrapText="1"/>
      <protection locked="0"/>
    </xf>
    <xf numFmtId="1" fontId="31" fillId="0" borderId="1" xfId="1" applyNumberFormat="1" applyFont="1" applyBorder="1" applyAlignment="1" applyProtection="1">
      <alignment horizontal="center" vertical="top" wrapText="1"/>
      <protection locked="0"/>
    </xf>
    <xf numFmtId="1" fontId="13" fillId="3" borderId="8" xfId="0" applyNumberFormat="1" applyFont="1" applyFill="1" applyBorder="1" applyAlignment="1" applyProtection="1">
      <alignment vertical="top" wrapText="1"/>
      <protection locked="0"/>
    </xf>
    <xf numFmtId="1" fontId="13" fillId="3" borderId="21" xfId="0" applyNumberFormat="1" applyFont="1" applyFill="1" applyBorder="1" applyAlignment="1" applyProtection="1">
      <alignment vertical="top" wrapText="1"/>
      <protection locked="0"/>
    </xf>
    <xf numFmtId="1" fontId="13" fillId="3" borderId="9" xfId="0" applyNumberFormat="1" applyFont="1" applyFill="1" applyBorder="1" applyAlignment="1" applyProtection="1">
      <alignment vertical="top" wrapText="1"/>
      <protection locked="0"/>
    </xf>
    <xf numFmtId="1" fontId="8" fillId="3" borderId="8" xfId="0" applyNumberFormat="1" applyFont="1" applyFill="1" applyBorder="1" applyAlignment="1" applyProtection="1">
      <alignment vertical="top" wrapText="1"/>
      <protection locked="0"/>
    </xf>
    <xf numFmtId="1" fontId="8" fillId="3" borderId="21" xfId="0" applyNumberFormat="1" applyFont="1" applyFill="1" applyBorder="1" applyAlignment="1" applyProtection="1">
      <alignment vertical="top" wrapText="1"/>
      <protection locked="0"/>
    </xf>
    <xf numFmtId="1" fontId="8" fillId="3" borderId="9" xfId="0" applyNumberFormat="1" applyFont="1" applyFill="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7" fillId="0" borderId="0" xfId="1" applyFont="1" applyAlignment="1">
      <alignment horizontal="center" vertical="center"/>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7" fillId="0" borderId="0" xfId="1" applyFont="1" applyBorder="1" applyAlignment="1">
      <alignment horizontal="center" vertical="center"/>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7" fillId="0" borderId="25" xfId="1" applyNumberFormat="1" applyFont="1" applyBorder="1" applyAlignment="1">
      <alignment horizontal="center" vertical="center"/>
    </xf>
    <xf numFmtId="1" fontId="7" fillId="0" borderId="0" xfId="1" applyNumberFormat="1" applyFont="1" applyAlignment="1">
      <alignment horizontal="center" vertical="center"/>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0" fillId="0" borderId="3" xfId="0" applyFont="1" applyBorder="1" applyAlignment="1" applyProtection="1">
      <alignment horizontal="center" vertical="center"/>
      <protection locked="0"/>
    </xf>
    <xf numFmtId="0" fontId="8" fillId="0" borderId="16" xfId="1" applyFont="1" applyBorder="1" applyAlignment="1" applyProtection="1">
      <alignment horizontal="center" vertical="top"/>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center"/>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8" fillId="0" borderId="8" xfId="1" applyNumberFormat="1" applyFont="1" applyFill="1" applyBorder="1" applyAlignment="1" applyProtection="1">
      <alignment horizontal="center" vertical="center" wrapText="1"/>
      <protection locked="0"/>
    </xf>
    <xf numFmtId="1" fontId="8" fillId="0" borderId="21" xfId="1" applyNumberFormat="1" applyFont="1" applyFill="1" applyBorder="1" applyAlignment="1" applyProtection="1">
      <alignment horizontal="center" vertical="center" wrapText="1"/>
      <protection locked="0"/>
    </xf>
    <xf numFmtId="1" fontId="8" fillId="0" borderId="20" xfId="1" applyNumberFormat="1"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12"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27" fillId="0" borderId="8" xfId="10" applyFill="1" applyBorder="1" applyAlignment="1" applyProtection="1">
      <alignment horizontal="left" vertical="top" wrapText="1"/>
      <protection locked="0"/>
    </xf>
    <xf numFmtId="0" fontId="27" fillId="0" borderId="21" xfId="10" applyFill="1" applyBorder="1" applyAlignment="1" applyProtection="1">
      <alignment horizontal="left" vertical="top" wrapText="1"/>
      <protection locked="0"/>
    </xf>
    <xf numFmtId="0" fontId="27" fillId="0" borderId="9" xfId="10" applyFill="1" applyBorder="1" applyAlignment="1" applyProtection="1">
      <alignment horizontal="left" vertical="top" wrapText="1"/>
      <protection locked="0"/>
    </xf>
    <xf numFmtId="0" fontId="7" fillId="0" borderId="1" xfId="0"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8" fillId="0" borderId="16"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7" fillId="0" borderId="8" xfId="0" applyNumberFormat="1" applyFont="1" applyBorder="1" applyAlignment="1" applyProtection="1">
      <alignment horizontal="center" vertical="center"/>
      <protection locked="0"/>
    </xf>
    <xf numFmtId="1" fontId="7" fillId="0" borderId="9" xfId="0" applyNumberFormat="1" applyFont="1" applyBorder="1" applyAlignment="1" applyProtection="1">
      <alignment horizontal="center" vertical="center"/>
      <protection locked="0"/>
    </xf>
    <xf numFmtId="1" fontId="8" fillId="0" borderId="9" xfId="1" applyNumberFormat="1" applyFont="1" applyFill="1" applyBorder="1" applyAlignment="1" applyProtection="1">
      <alignment horizontal="center" vertical="center" wrapText="1"/>
      <protection locked="0"/>
    </xf>
    <xf numFmtId="0" fontId="7" fillId="0" borderId="25" xfId="1" applyFont="1" applyBorder="1" applyAlignment="1">
      <alignment horizontal="left" vertical="center"/>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png"/><Relationship Id="rId34" Type="http://schemas.openxmlformats.org/officeDocument/2006/relationships/image" Target="../media/image34.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8" Type="http://schemas.openxmlformats.org/officeDocument/2006/relationships/image" Target="../media/image8.jpeg"/><Relationship Id="rId3"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4.png"/><Relationship Id="rId1" Type="http://schemas.openxmlformats.org/officeDocument/2006/relationships/image" Target="../media/image4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2.png"/><Relationship Id="rId1" Type="http://schemas.openxmlformats.org/officeDocument/2006/relationships/image" Target="../media/image41.png"/></Relationships>
</file>

<file path=xl/drawings/drawing1.xml><?xml version="1.0" encoding="utf-8"?>
<xdr:wsDr xmlns:xdr="http://schemas.openxmlformats.org/drawingml/2006/spreadsheetDrawing" xmlns:a="http://schemas.openxmlformats.org/drawingml/2006/main">
  <xdr:twoCellAnchor editAs="oneCell">
    <xdr:from>
      <xdr:col>8</xdr:col>
      <xdr:colOff>923925</xdr:colOff>
      <xdr:row>15</xdr:row>
      <xdr:rowOff>0</xdr:rowOff>
    </xdr:from>
    <xdr:to>
      <xdr:col>15</xdr:col>
      <xdr:colOff>332700</xdr:colOff>
      <xdr:row>22</xdr:row>
      <xdr:rowOff>57310</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239000" y="3390900"/>
          <a:ext cx="5400000" cy="1876585"/>
        </a:xfrm>
        <a:prstGeom prst="rect">
          <a:avLst/>
        </a:prstGeom>
        <a:ln>
          <a:solidFill>
            <a:schemeClr val="tx1"/>
          </a:solidFill>
        </a:ln>
      </xdr:spPr>
    </xdr:pic>
    <xdr:clientData/>
  </xdr:twoCellAnchor>
  <xdr:twoCellAnchor editAs="oneCell">
    <xdr:from>
      <xdr:col>9</xdr:col>
      <xdr:colOff>0</xdr:colOff>
      <xdr:row>247</xdr:row>
      <xdr:rowOff>0</xdr:rowOff>
    </xdr:from>
    <xdr:to>
      <xdr:col>9</xdr:col>
      <xdr:colOff>640496</xdr:colOff>
      <xdr:row>248</xdr:row>
      <xdr:rowOff>97024</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7842250" y="41529000"/>
          <a:ext cx="640496" cy="293874"/>
        </a:xfrm>
        <a:prstGeom prst="rect">
          <a:avLst/>
        </a:prstGeom>
      </xdr:spPr>
    </xdr:pic>
    <xdr:clientData/>
  </xdr:twoCellAnchor>
  <xdr:twoCellAnchor>
    <xdr:from>
      <xdr:col>8</xdr:col>
      <xdr:colOff>549275</xdr:colOff>
      <xdr:row>247</xdr:row>
      <xdr:rowOff>50800</xdr:rowOff>
    </xdr:from>
    <xdr:to>
      <xdr:col>15</xdr:col>
      <xdr:colOff>684473</xdr:colOff>
      <xdr:row>288</xdr:row>
      <xdr:rowOff>123941</xdr:rowOff>
    </xdr:to>
    <xdr:grpSp>
      <xdr:nvGrpSpPr>
        <xdr:cNvPr id="10" name="Group 9">
          <a:extLst>
            <a:ext uri="{FF2B5EF4-FFF2-40B4-BE49-F238E27FC236}">
              <a16:creationId xmlns:a16="http://schemas.microsoft.com/office/drawing/2014/main" id="{00000000-0008-0000-0000-00000A000000}"/>
            </a:ext>
          </a:extLst>
        </xdr:cNvPr>
        <xdr:cNvGrpSpPr/>
      </xdr:nvGrpSpPr>
      <xdr:grpSpPr>
        <a:xfrm>
          <a:off x="6864350" y="45142150"/>
          <a:ext cx="6126423" cy="8264641"/>
          <a:chOff x="120650" y="41598850"/>
          <a:chExt cx="6399473" cy="8137641"/>
        </a:xfrm>
      </xdr:grpSpPr>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090449" y="47936491"/>
            <a:ext cx="2396667" cy="1800000"/>
          </a:xfrm>
          <a:prstGeom prst="rect">
            <a:avLst/>
          </a:prstGeom>
          <a:ln>
            <a:solidFill>
              <a:schemeClr val="tx1"/>
            </a:solidFill>
          </a:ln>
        </xdr:spPr>
      </xdr:pic>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144541" y="41598850"/>
            <a:ext cx="1617750" cy="2160000"/>
          </a:xfrm>
          <a:prstGeom prst="rect">
            <a:avLst/>
          </a:prstGeom>
          <a:ln>
            <a:solidFill>
              <a:schemeClr val="tx1"/>
            </a:solidFill>
          </a:ln>
        </xdr:spPr>
      </xdr:pic>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351413" y="43871584"/>
            <a:ext cx="1509900" cy="2016000"/>
          </a:xfrm>
          <a:prstGeom prst="rect">
            <a:avLst/>
          </a:prstGeom>
          <a:ln>
            <a:solidFill>
              <a:schemeClr val="tx1"/>
            </a:solidFill>
          </a:ln>
        </xdr:spPr>
      </xdr:pic>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730181" y="43871584"/>
            <a:ext cx="1509900" cy="2016000"/>
          </a:xfrm>
          <a:prstGeom prst="rect">
            <a:avLst/>
          </a:prstGeom>
          <a:ln>
            <a:solidFill>
              <a:schemeClr val="tx1"/>
            </a:solidFill>
          </a:ln>
        </xdr:spPr>
      </xdr:pic>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4902373" y="41598850"/>
            <a:ext cx="1617750" cy="2160000"/>
          </a:xfrm>
          <a:prstGeom prst="rect">
            <a:avLst/>
          </a:prstGeom>
          <a:ln>
            <a:solidFill>
              <a:schemeClr val="tx1"/>
            </a:solidFill>
          </a:ln>
        </xdr:spPr>
      </xdr:pic>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28459" y="41598850"/>
            <a:ext cx="2876000" cy="2160000"/>
          </a:xfrm>
          <a:prstGeom prst="rect">
            <a:avLst/>
          </a:prstGeom>
          <a:ln>
            <a:solidFill>
              <a:schemeClr val="tx1"/>
            </a:solidFill>
          </a:ln>
        </xdr:spPr>
      </xdr:pic>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20650" y="43871584"/>
            <a:ext cx="1509900" cy="2016000"/>
          </a:xfrm>
          <a:prstGeom prst="rect">
            <a:avLst/>
          </a:prstGeom>
          <a:ln>
            <a:solidFill>
              <a:schemeClr val="tx1"/>
            </a:solidFill>
          </a:ln>
        </xdr:spPr>
      </xdr:pic>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351413" y="46000318"/>
            <a:ext cx="2396667" cy="1800000"/>
          </a:xfrm>
          <a:prstGeom prst="rect">
            <a:avLst/>
          </a:prstGeom>
          <a:ln>
            <a:solidFill>
              <a:schemeClr val="tx1"/>
            </a:solidFill>
          </a:ln>
        </xdr:spPr>
      </xdr:pic>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843414" y="46000318"/>
            <a:ext cx="2396667" cy="1800000"/>
          </a:xfrm>
          <a:prstGeom prst="rect">
            <a:avLst/>
          </a:prstGeom>
          <a:ln>
            <a:solidFill>
              <a:schemeClr val="tx1"/>
            </a:solidFill>
          </a:ln>
        </xdr:spPr>
      </xdr:pic>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4972645" y="43871584"/>
            <a:ext cx="1509900" cy="2016000"/>
          </a:xfrm>
          <a:prstGeom prst="rect">
            <a:avLst/>
          </a:prstGeom>
          <a:ln>
            <a:solidFill>
              <a:schemeClr val="tx1"/>
            </a:solidFill>
          </a:ln>
        </xdr:spPr>
      </xdr:pic>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727200" y="41725850"/>
            <a:ext cx="6725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cap="none" spc="0">
                <a:ln w="0"/>
                <a:solidFill>
                  <a:sysClr val="windowText" lastClr="000000"/>
                </a:solidFill>
                <a:effectLst>
                  <a:outerShdw blurRad="38100" dist="25400" dir="5400000" algn="ctr" rotWithShape="0">
                    <a:srgbClr val="6E747A">
                      <a:alpha val="43000"/>
                    </a:srgbClr>
                  </a:outerShdw>
                </a:effectLst>
              </a:rPr>
              <a:t>Wing R1</a:t>
            </a:r>
          </a:p>
        </xdr:txBody>
      </xdr:sp>
      <xdr:cxnSp macro="">
        <xdr:nvCxnSpPr>
          <xdr:cNvPr id="4" name="Straight Arrow Connector 3">
            <a:extLst>
              <a:ext uri="{FF2B5EF4-FFF2-40B4-BE49-F238E27FC236}">
                <a16:creationId xmlns:a16="http://schemas.microsoft.com/office/drawing/2014/main" id="{00000000-0008-0000-0000-000004000000}"/>
              </a:ext>
            </a:extLst>
          </xdr:cNvPr>
          <xdr:cNvCxnSpPr>
            <a:stCxn id="2" idx="2"/>
          </xdr:cNvCxnSpPr>
        </xdr:nvCxnSpPr>
        <xdr:spPr>
          <a:xfrm flipH="1">
            <a:off x="1905000" y="41990410"/>
            <a:ext cx="158478" cy="3958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3144540" y="41598850"/>
            <a:ext cx="86571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b="1" cap="none" spc="0">
                <a:ln w="0"/>
                <a:solidFill>
                  <a:sysClr val="windowText" lastClr="000000"/>
                </a:solidFill>
                <a:effectLst>
                  <a:outerShdw blurRad="38100" dist="25400" dir="5400000" algn="ctr" rotWithShape="0">
                    <a:srgbClr val="6E747A">
                      <a:alpha val="43000"/>
                    </a:srgbClr>
                  </a:outerShdw>
                </a:effectLst>
              </a:rPr>
              <a:t>Wing R2</a:t>
            </a:r>
          </a:p>
        </xdr:txBody>
      </xdr:sp>
      <xdr:cxnSp macro="">
        <xdr:nvCxnSpPr>
          <xdr:cNvPr id="36" name="Straight Arrow Connector 35">
            <a:extLst>
              <a:ext uri="{FF2B5EF4-FFF2-40B4-BE49-F238E27FC236}">
                <a16:creationId xmlns:a16="http://schemas.microsoft.com/office/drawing/2014/main" id="{00000000-0008-0000-0000-000024000000}"/>
              </a:ext>
            </a:extLst>
          </xdr:cNvPr>
          <xdr:cNvCxnSpPr>
            <a:stCxn id="35" idx="2"/>
          </xdr:cNvCxnSpPr>
        </xdr:nvCxnSpPr>
        <xdr:spPr>
          <a:xfrm flipH="1">
            <a:off x="3549651" y="41863410"/>
            <a:ext cx="27749" cy="2624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4902372" y="41598850"/>
            <a:ext cx="82888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b="1" cap="none" spc="0">
                <a:ln w="0"/>
                <a:solidFill>
                  <a:sysClr val="windowText" lastClr="000000"/>
                </a:solidFill>
                <a:effectLst>
                  <a:outerShdw blurRad="38100" dist="25400" dir="5400000" algn="ctr" rotWithShape="0">
                    <a:srgbClr val="6E747A">
                      <a:alpha val="43000"/>
                    </a:srgbClr>
                  </a:outerShdw>
                </a:effectLst>
              </a:rPr>
              <a:t>Wing R2</a:t>
            </a:r>
          </a:p>
        </xdr:txBody>
      </xdr:sp>
      <xdr:sp macro="" textlink="">
        <xdr:nvSpPr>
          <xdr:cNvPr id="51" name="TextBox 50">
            <a:extLst>
              <a:ext uri="{FF2B5EF4-FFF2-40B4-BE49-F238E27FC236}">
                <a16:creationId xmlns:a16="http://schemas.microsoft.com/office/drawing/2014/main" id="{00000000-0008-0000-0000-000033000000}"/>
              </a:ext>
            </a:extLst>
          </xdr:cNvPr>
          <xdr:cNvSpPr txBox="1"/>
        </xdr:nvSpPr>
        <xdr:spPr>
          <a:xfrm>
            <a:off x="551853" y="45010919"/>
            <a:ext cx="10115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b="1" cap="none" spc="0">
                <a:ln w="0"/>
                <a:solidFill>
                  <a:srgbClr val="FFFF00"/>
                </a:solidFill>
                <a:effectLst>
                  <a:outerShdw blurRad="38100" dist="25400" dir="5400000" algn="ctr" rotWithShape="0">
                    <a:srgbClr val="6E747A">
                      <a:alpha val="43000"/>
                    </a:srgbClr>
                  </a:outerShdw>
                </a:effectLst>
              </a:rPr>
              <a:t>Wing R2</a:t>
            </a:r>
          </a:p>
        </xdr:txBody>
      </xdr:sp>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2136581" y="44944734"/>
            <a:ext cx="90195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b="1" cap="none" spc="0">
                <a:ln w="0"/>
                <a:solidFill>
                  <a:srgbClr val="FFFF00"/>
                </a:solidFill>
                <a:effectLst>
                  <a:outerShdw blurRad="38100" dist="25400" dir="5400000" algn="ctr" rotWithShape="0">
                    <a:srgbClr val="6E747A">
                      <a:alpha val="43000"/>
                    </a:srgbClr>
                  </a:outerShdw>
                </a:effectLst>
              </a:rPr>
              <a:t>Wing R2</a:t>
            </a:r>
          </a:p>
        </xdr:txBody>
      </xdr:sp>
    </xdr:grpSp>
    <xdr:clientData/>
  </xdr:twoCellAnchor>
  <xdr:twoCellAnchor editAs="oneCell">
    <xdr:from>
      <xdr:col>9</xdr:col>
      <xdr:colOff>666750</xdr:colOff>
      <xdr:row>42</xdr:row>
      <xdr:rowOff>78104</xdr:rowOff>
    </xdr:from>
    <xdr:to>
      <xdr:col>14</xdr:col>
      <xdr:colOff>723043</xdr:colOff>
      <xdr:row>48</xdr:row>
      <xdr:rowOff>304499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8143875" y="9288779"/>
          <a:ext cx="4075843" cy="1426545"/>
        </a:xfrm>
        <a:prstGeom prst="rect">
          <a:avLst/>
        </a:prstGeom>
      </xdr:spPr>
    </xdr:pic>
    <xdr:clientData/>
  </xdr:twoCellAnchor>
  <xdr:twoCellAnchor editAs="oneCell">
    <xdr:from>
      <xdr:col>8</xdr:col>
      <xdr:colOff>381000</xdr:colOff>
      <xdr:row>48</xdr:row>
      <xdr:rowOff>314980</xdr:rowOff>
    </xdr:from>
    <xdr:to>
      <xdr:col>12</xdr:col>
      <xdr:colOff>503925</xdr:colOff>
      <xdr:row>61</xdr:row>
      <xdr:rowOff>112503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6696075" y="10725805"/>
          <a:ext cx="3675750" cy="2264498"/>
        </a:xfrm>
        <a:prstGeom prst="rect">
          <a:avLst/>
        </a:prstGeom>
      </xdr:spPr>
    </xdr:pic>
    <xdr:clientData/>
  </xdr:twoCellAnchor>
  <xdr:twoCellAnchor>
    <xdr:from>
      <xdr:col>0</xdr:col>
      <xdr:colOff>173935</xdr:colOff>
      <xdr:row>290</xdr:row>
      <xdr:rowOff>82824</xdr:rowOff>
    </xdr:from>
    <xdr:to>
      <xdr:col>7</xdr:col>
      <xdr:colOff>530088</xdr:colOff>
      <xdr:row>327</xdr:row>
      <xdr:rowOff>76056</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173935" y="53765724"/>
          <a:ext cx="5937803" cy="7394157"/>
          <a:chOff x="0" y="53354629"/>
          <a:chExt cx="6513435" cy="7703336"/>
        </a:xfrm>
      </xdr:grpSpPr>
      <xdr:grpSp>
        <xdr:nvGrpSpPr>
          <xdr:cNvPr id="7" name="Group 6">
            <a:extLst>
              <a:ext uri="{FF2B5EF4-FFF2-40B4-BE49-F238E27FC236}">
                <a16:creationId xmlns:a16="http://schemas.microsoft.com/office/drawing/2014/main" id="{00000000-0008-0000-0000-000007000000}"/>
              </a:ext>
            </a:extLst>
          </xdr:cNvPr>
          <xdr:cNvGrpSpPr/>
        </xdr:nvGrpSpPr>
        <xdr:grpSpPr>
          <a:xfrm>
            <a:off x="0" y="53365881"/>
            <a:ext cx="3536580" cy="7692084"/>
            <a:chOff x="0" y="53365881"/>
            <a:chExt cx="3536580" cy="7692084"/>
          </a:xfrm>
        </xdr:grpSpPr>
        <xdr:grpSp>
          <xdr:nvGrpSpPr>
            <xdr:cNvPr id="53" name="Group 52">
              <a:extLst>
                <a:ext uri="{FF2B5EF4-FFF2-40B4-BE49-F238E27FC236}">
                  <a16:creationId xmlns:a16="http://schemas.microsoft.com/office/drawing/2014/main" id="{00000000-0008-0000-0000-000035000000}"/>
                </a:ext>
              </a:extLst>
            </xdr:cNvPr>
            <xdr:cNvGrpSpPr/>
          </xdr:nvGrpSpPr>
          <xdr:grpSpPr>
            <a:xfrm>
              <a:off x="0" y="53365881"/>
              <a:ext cx="3536580" cy="7692084"/>
              <a:chOff x="0" y="764341"/>
              <a:chExt cx="3536580" cy="7692084"/>
            </a:xfrm>
          </xdr:grpSpPr>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5"/>
              <a:stretch>
                <a:fillRect/>
              </a:stretch>
            </xdr:blipFill>
            <xdr:spPr>
              <a:xfrm rot="16200000">
                <a:off x="-2077752" y="2842093"/>
                <a:ext cx="7692084" cy="3536580"/>
              </a:xfrm>
              <a:prstGeom prst="rect">
                <a:avLst/>
              </a:prstGeom>
              <a:ln>
                <a:solidFill>
                  <a:schemeClr val="tx1"/>
                </a:solidFill>
              </a:ln>
            </xdr:spPr>
          </xdr:pic>
          <xdr:sp macro="" textlink="">
            <xdr:nvSpPr>
              <xdr:cNvPr id="55" name="Rectangle 54">
                <a:extLst>
                  <a:ext uri="{FF2B5EF4-FFF2-40B4-BE49-F238E27FC236}">
                    <a16:creationId xmlns:a16="http://schemas.microsoft.com/office/drawing/2014/main" id="{00000000-0008-0000-0000-000037000000}"/>
                  </a:ext>
                </a:extLst>
              </xdr:cNvPr>
              <xdr:cNvSpPr/>
            </xdr:nvSpPr>
            <xdr:spPr>
              <a:xfrm>
                <a:off x="749300" y="5600700"/>
                <a:ext cx="1346200" cy="1130300"/>
              </a:xfrm>
              <a:prstGeom prst="rect">
                <a:avLst/>
              </a:prstGeom>
              <a:no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6" name="Rectangle 55">
                <a:extLst>
                  <a:ext uri="{FF2B5EF4-FFF2-40B4-BE49-F238E27FC236}">
                    <a16:creationId xmlns:a16="http://schemas.microsoft.com/office/drawing/2014/main" id="{00000000-0008-0000-0000-000038000000}"/>
                  </a:ext>
                </a:extLst>
              </xdr:cNvPr>
              <xdr:cNvSpPr/>
            </xdr:nvSpPr>
            <xdr:spPr>
              <a:xfrm>
                <a:off x="622300" y="1581150"/>
                <a:ext cx="2216150" cy="1943100"/>
              </a:xfrm>
              <a:prstGeom prst="rect">
                <a:avLst/>
              </a:prstGeom>
              <a:no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7" name="Rectangle 56">
                <a:extLst>
                  <a:ext uri="{FF2B5EF4-FFF2-40B4-BE49-F238E27FC236}">
                    <a16:creationId xmlns:a16="http://schemas.microsoft.com/office/drawing/2014/main" id="{00000000-0008-0000-0000-000039000000}"/>
                  </a:ext>
                </a:extLst>
              </xdr:cNvPr>
              <xdr:cNvSpPr/>
            </xdr:nvSpPr>
            <xdr:spPr>
              <a:xfrm>
                <a:off x="622300" y="3524250"/>
                <a:ext cx="2216150" cy="1866900"/>
              </a:xfrm>
              <a:prstGeom prst="rect">
                <a:avLst/>
              </a:prstGeom>
              <a:no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8" name="TextBox 8">
                <a:extLst>
                  <a:ext uri="{FF2B5EF4-FFF2-40B4-BE49-F238E27FC236}">
                    <a16:creationId xmlns:a16="http://schemas.microsoft.com/office/drawing/2014/main" id="{00000000-0008-0000-0000-00003A000000}"/>
                  </a:ext>
                </a:extLst>
              </xdr:cNvPr>
              <xdr:cNvSpPr txBox="1"/>
            </xdr:nvSpPr>
            <xdr:spPr>
              <a:xfrm rot="16200000">
                <a:off x="146365" y="5889685"/>
                <a:ext cx="951870" cy="37390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600" b="1">
                    <a:solidFill>
                      <a:srgbClr val="002060"/>
                    </a:solidFill>
                  </a:rPr>
                  <a:t>Wing R3</a:t>
                </a:r>
              </a:p>
            </xdr:txBody>
          </xdr:sp>
          <xdr:sp macro="" textlink="">
            <xdr:nvSpPr>
              <xdr:cNvPr id="59" name="TextBox 8">
                <a:extLst>
                  <a:ext uri="{FF2B5EF4-FFF2-40B4-BE49-F238E27FC236}">
                    <a16:creationId xmlns:a16="http://schemas.microsoft.com/office/drawing/2014/main" id="{00000000-0008-0000-0000-00003B000000}"/>
                  </a:ext>
                </a:extLst>
              </xdr:cNvPr>
              <xdr:cNvSpPr txBox="1"/>
            </xdr:nvSpPr>
            <xdr:spPr>
              <a:xfrm rot="16200000">
                <a:off x="-40585" y="3961944"/>
                <a:ext cx="951870" cy="37390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600" b="1">
                    <a:solidFill>
                      <a:srgbClr val="002060"/>
                    </a:solidFill>
                  </a:rPr>
                  <a:t>Wing R2</a:t>
                </a:r>
              </a:p>
            </xdr:txBody>
          </xdr:sp>
          <xdr:sp macro="" textlink="">
            <xdr:nvSpPr>
              <xdr:cNvPr id="60" name="TextBox 8">
                <a:extLst>
                  <a:ext uri="{FF2B5EF4-FFF2-40B4-BE49-F238E27FC236}">
                    <a16:creationId xmlns:a16="http://schemas.microsoft.com/office/drawing/2014/main" id="{00000000-0008-0000-0000-00003C000000}"/>
                  </a:ext>
                </a:extLst>
              </xdr:cNvPr>
              <xdr:cNvSpPr txBox="1"/>
            </xdr:nvSpPr>
            <xdr:spPr>
              <a:xfrm rot="16200000">
                <a:off x="-164785" y="1780719"/>
                <a:ext cx="951870" cy="37390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600" b="1">
                    <a:solidFill>
                      <a:srgbClr val="002060"/>
                    </a:solidFill>
                  </a:rPr>
                  <a:t>Wing R1</a:t>
                </a:r>
              </a:p>
            </xdr:txBody>
          </xdr:sp>
        </xdr:grpSp>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rot="16200000">
              <a:off x="1774759" y="60130764"/>
              <a:ext cx="661148" cy="661148"/>
            </a:xfrm>
            <a:prstGeom prst="rect">
              <a:avLst/>
            </a:prstGeom>
          </xdr:spPr>
        </xdr:pic>
      </xdr:grpSp>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671019" y="53354629"/>
            <a:ext cx="2842416" cy="2095586"/>
          </a:xfrm>
          <a:prstGeom prst="rect">
            <a:avLst/>
          </a:prstGeom>
          <a:ln>
            <a:solidFill>
              <a:sysClr val="windowText" lastClr="000000"/>
            </a:solidFill>
          </a:ln>
        </xdr:spPr>
      </xdr:pic>
    </xdr:grpSp>
    <xdr:clientData/>
  </xdr:twoCellAnchor>
  <xdr:twoCellAnchor editAs="oneCell">
    <xdr:from>
      <xdr:col>8</xdr:col>
      <xdr:colOff>179294</xdr:colOff>
      <xdr:row>53</xdr:row>
      <xdr:rowOff>34739</xdr:rowOff>
    </xdr:from>
    <xdr:to>
      <xdr:col>15</xdr:col>
      <xdr:colOff>330926</xdr:colOff>
      <xdr:row>63</xdr:row>
      <xdr:rowOff>304519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8"/>
        <a:stretch>
          <a:fillRect/>
        </a:stretch>
      </xdr:blipFill>
      <xdr:spPr>
        <a:xfrm>
          <a:off x="6488206" y="11980210"/>
          <a:ext cx="6146779" cy="1875631"/>
        </a:xfrm>
        <a:prstGeom prst="rect">
          <a:avLst/>
        </a:prstGeom>
      </xdr:spPr>
    </xdr:pic>
    <xdr:clientData/>
  </xdr:twoCellAnchor>
  <xdr:twoCellAnchor>
    <xdr:from>
      <xdr:col>0</xdr:col>
      <xdr:colOff>457200</xdr:colOff>
      <xdr:row>351</xdr:row>
      <xdr:rowOff>81644</xdr:rowOff>
    </xdr:from>
    <xdr:to>
      <xdr:col>7</xdr:col>
      <xdr:colOff>353785</xdr:colOff>
      <xdr:row>371</xdr:row>
      <xdr:rowOff>95250</xdr:rowOff>
    </xdr:to>
    <xdr:grpSp>
      <xdr:nvGrpSpPr>
        <xdr:cNvPr id="69" name="Group 68">
          <a:extLst>
            <a:ext uri="{FF2B5EF4-FFF2-40B4-BE49-F238E27FC236}">
              <a16:creationId xmlns:a16="http://schemas.microsoft.com/office/drawing/2014/main" id="{00000000-0008-0000-0000-000045000000}"/>
            </a:ext>
          </a:extLst>
        </xdr:cNvPr>
        <xdr:cNvGrpSpPr/>
      </xdr:nvGrpSpPr>
      <xdr:grpSpPr>
        <a:xfrm>
          <a:off x="457200" y="65966069"/>
          <a:ext cx="5478235" cy="4014106"/>
          <a:chOff x="0" y="4181475"/>
          <a:chExt cx="6715125" cy="4962525"/>
        </a:xfrm>
      </xdr:grpSpPr>
      <xdr:pic>
        <xdr:nvPicPr>
          <xdr:cNvPr id="71" name="Pictur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19"/>
          <a:stretch>
            <a:fillRect/>
          </a:stretch>
        </xdr:blipFill>
        <xdr:spPr>
          <a:xfrm>
            <a:off x="0" y="4181475"/>
            <a:ext cx="6715125" cy="4962525"/>
          </a:xfrm>
          <a:prstGeom prst="rect">
            <a:avLst/>
          </a:prstGeom>
          <a:ln>
            <a:solidFill>
              <a:schemeClr val="tx1"/>
            </a:solidFill>
          </a:ln>
        </xdr:spPr>
      </xdr:pic>
      <xdr:sp macro="" textlink="">
        <xdr:nvSpPr>
          <xdr:cNvPr id="72" name="Rectangle 2">
            <a:extLst>
              <a:ext uri="{FF2B5EF4-FFF2-40B4-BE49-F238E27FC236}">
                <a16:creationId xmlns:a16="http://schemas.microsoft.com/office/drawing/2014/main" id="{00000000-0008-0000-0000-000048000000}"/>
              </a:ext>
            </a:extLst>
          </xdr:cNvPr>
          <xdr:cNvSpPr/>
        </xdr:nvSpPr>
        <xdr:spPr>
          <a:xfrm rot="19802859">
            <a:off x="1990879" y="5307292"/>
            <a:ext cx="4369190" cy="1616563"/>
          </a:xfrm>
          <a:custGeom>
            <a:avLst/>
            <a:gdLst>
              <a:gd name="connsiteX0" fmla="*/ 0 w 5428343"/>
              <a:gd name="connsiteY0" fmla="*/ 0 h 1378857"/>
              <a:gd name="connsiteX1" fmla="*/ 5428343 w 5428343"/>
              <a:gd name="connsiteY1" fmla="*/ 0 h 1378857"/>
              <a:gd name="connsiteX2" fmla="*/ 5428343 w 5428343"/>
              <a:gd name="connsiteY2" fmla="*/ 1378857 h 1378857"/>
              <a:gd name="connsiteX3" fmla="*/ 0 w 5428343"/>
              <a:gd name="connsiteY3" fmla="*/ 1378857 h 1378857"/>
              <a:gd name="connsiteX4" fmla="*/ 0 w 5428343"/>
              <a:gd name="connsiteY4" fmla="*/ 0 h 1378857"/>
              <a:gd name="connsiteX0" fmla="*/ 0 w 5428343"/>
              <a:gd name="connsiteY0" fmla="*/ 0 h 1729596"/>
              <a:gd name="connsiteX1" fmla="*/ 5428343 w 5428343"/>
              <a:gd name="connsiteY1" fmla="*/ 0 h 1729596"/>
              <a:gd name="connsiteX2" fmla="*/ 3625615 w 5428343"/>
              <a:gd name="connsiteY2" fmla="*/ 1729596 h 1729596"/>
              <a:gd name="connsiteX3" fmla="*/ 0 w 5428343"/>
              <a:gd name="connsiteY3" fmla="*/ 1378857 h 1729596"/>
              <a:gd name="connsiteX4" fmla="*/ 0 w 5428343"/>
              <a:gd name="connsiteY4" fmla="*/ 0 h 1729596"/>
              <a:gd name="connsiteX0" fmla="*/ 0 w 4410936"/>
              <a:gd name="connsiteY0" fmla="*/ 0 h 1729596"/>
              <a:gd name="connsiteX1" fmla="*/ 4410936 w 4410936"/>
              <a:gd name="connsiteY1" fmla="*/ 117295 h 1729596"/>
              <a:gd name="connsiteX2" fmla="*/ 3625615 w 4410936"/>
              <a:gd name="connsiteY2" fmla="*/ 1729596 h 1729596"/>
              <a:gd name="connsiteX3" fmla="*/ 0 w 4410936"/>
              <a:gd name="connsiteY3" fmla="*/ 1378857 h 1729596"/>
              <a:gd name="connsiteX4" fmla="*/ 0 w 4410936"/>
              <a:gd name="connsiteY4" fmla="*/ 0 h 1729596"/>
              <a:gd name="connsiteX0" fmla="*/ 0 w 4421226"/>
              <a:gd name="connsiteY0" fmla="*/ 114230 h 1612301"/>
              <a:gd name="connsiteX1" fmla="*/ 4421226 w 4421226"/>
              <a:gd name="connsiteY1" fmla="*/ 0 h 1612301"/>
              <a:gd name="connsiteX2" fmla="*/ 3635905 w 4421226"/>
              <a:gd name="connsiteY2" fmla="*/ 1612301 h 1612301"/>
              <a:gd name="connsiteX3" fmla="*/ 10290 w 4421226"/>
              <a:gd name="connsiteY3" fmla="*/ 1261562 h 1612301"/>
              <a:gd name="connsiteX4" fmla="*/ 0 w 4421226"/>
              <a:gd name="connsiteY4" fmla="*/ 114230 h 1612301"/>
              <a:gd name="connsiteX0" fmla="*/ 0 w 4421226"/>
              <a:gd name="connsiteY0" fmla="*/ 114230 h 1612301"/>
              <a:gd name="connsiteX1" fmla="*/ 4421226 w 4421226"/>
              <a:gd name="connsiteY1" fmla="*/ 0 h 1612301"/>
              <a:gd name="connsiteX2" fmla="*/ 3635905 w 4421226"/>
              <a:gd name="connsiteY2" fmla="*/ 1612301 h 1612301"/>
              <a:gd name="connsiteX3" fmla="*/ 10290 w 4421226"/>
              <a:gd name="connsiteY3" fmla="*/ 1261562 h 1612301"/>
              <a:gd name="connsiteX4" fmla="*/ 0 w 4421226"/>
              <a:gd name="connsiteY4" fmla="*/ 114230 h 1612301"/>
              <a:gd name="connsiteX0" fmla="*/ 0 w 4421226"/>
              <a:gd name="connsiteY0" fmla="*/ 118492 h 1616563"/>
              <a:gd name="connsiteX1" fmla="*/ 4421226 w 4421226"/>
              <a:gd name="connsiteY1" fmla="*/ 4262 h 1616563"/>
              <a:gd name="connsiteX2" fmla="*/ 3635905 w 4421226"/>
              <a:gd name="connsiteY2" fmla="*/ 1616563 h 1616563"/>
              <a:gd name="connsiteX3" fmla="*/ 10290 w 4421226"/>
              <a:gd name="connsiteY3" fmla="*/ 1265824 h 1616563"/>
              <a:gd name="connsiteX4" fmla="*/ 0 w 4421226"/>
              <a:gd name="connsiteY4" fmla="*/ 118492 h 1616563"/>
              <a:gd name="connsiteX0" fmla="*/ 0 w 4421226"/>
              <a:gd name="connsiteY0" fmla="*/ 118492 h 1616563"/>
              <a:gd name="connsiteX1" fmla="*/ 4421226 w 4421226"/>
              <a:gd name="connsiteY1" fmla="*/ 4262 h 1616563"/>
              <a:gd name="connsiteX2" fmla="*/ 3635905 w 4421226"/>
              <a:gd name="connsiteY2" fmla="*/ 1616563 h 1616563"/>
              <a:gd name="connsiteX3" fmla="*/ 1824234 w 4421226"/>
              <a:gd name="connsiteY3" fmla="*/ 1295591 h 1616563"/>
              <a:gd name="connsiteX4" fmla="*/ 10290 w 4421226"/>
              <a:gd name="connsiteY4" fmla="*/ 1265824 h 1616563"/>
              <a:gd name="connsiteX5" fmla="*/ 0 w 4421226"/>
              <a:gd name="connsiteY5" fmla="*/ 118492 h 1616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4421226" h="1616563">
                <a:moveTo>
                  <a:pt x="0" y="118492"/>
                </a:moveTo>
                <a:cubicBezTo>
                  <a:pt x="1480005" y="-83073"/>
                  <a:pt x="2947484" y="42339"/>
                  <a:pt x="4421226" y="4262"/>
                </a:cubicBezTo>
                <a:lnTo>
                  <a:pt x="3635905" y="1616563"/>
                </a:lnTo>
                <a:cubicBezTo>
                  <a:pt x="3020191" y="1555527"/>
                  <a:pt x="2439948" y="1356627"/>
                  <a:pt x="1824234" y="1295591"/>
                </a:cubicBezTo>
                <a:lnTo>
                  <a:pt x="10290" y="1265824"/>
                </a:lnTo>
                <a:lnTo>
                  <a:pt x="0" y="118492"/>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1</xdr:col>
      <xdr:colOff>62594</xdr:colOff>
      <xdr:row>331</xdr:row>
      <xdr:rowOff>88989</xdr:rowOff>
    </xdr:from>
    <xdr:to>
      <xdr:col>6</xdr:col>
      <xdr:colOff>476251</xdr:colOff>
      <xdr:row>350</xdr:row>
      <xdr:rowOff>136014</xdr:rowOff>
    </xdr:to>
    <xdr:pic>
      <xdr:nvPicPr>
        <xdr:cNvPr id="70" name="Pictur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20"/>
        <a:stretch>
          <a:fillRect/>
        </a:stretch>
      </xdr:blipFill>
      <xdr:spPr>
        <a:xfrm>
          <a:off x="824594" y="63035632"/>
          <a:ext cx="4495800" cy="3925061"/>
        </a:xfrm>
        <a:prstGeom prst="rect">
          <a:avLst/>
        </a:prstGeom>
        <a:ln>
          <a:solidFill>
            <a:schemeClr val="tx1"/>
          </a:solidFill>
        </a:ln>
      </xdr:spPr>
    </xdr:pic>
    <xdr:clientData/>
  </xdr:twoCellAnchor>
  <xdr:twoCellAnchor editAs="oneCell">
    <xdr:from>
      <xdr:col>8</xdr:col>
      <xdr:colOff>168088</xdr:colOff>
      <xdr:row>124</xdr:row>
      <xdr:rowOff>145677</xdr:rowOff>
    </xdr:from>
    <xdr:to>
      <xdr:col>18</xdr:col>
      <xdr:colOff>56568</xdr:colOff>
      <xdr:row>149</xdr:row>
      <xdr:rowOff>144842</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1"/>
        <a:stretch>
          <a:fillRect/>
        </a:stretch>
      </xdr:blipFill>
      <xdr:spPr>
        <a:xfrm>
          <a:off x="6477000" y="23308236"/>
          <a:ext cx="7878274" cy="2038635"/>
        </a:xfrm>
        <a:prstGeom prst="rect">
          <a:avLst/>
        </a:prstGeom>
      </xdr:spPr>
    </xdr:pic>
    <xdr:clientData/>
  </xdr:twoCellAnchor>
  <xdr:twoCellAnchor>
    <xdr:from>
      <xdr:col>8</xdr:col>
      <xdr:colOff>504825</xdr:colOff>
      <xdr:row>247</xdr:row>
      <xdr:rowOff>57150</xdr:rowOff>
    </xdr:from>
    <xdr:to>
      <xdr:col>15</xdr:col>
      <xdr:colOff>729169</xdr:colOff>
      <xdr:row>288</xdr:row>
      <xdr:rowOff>161336</xdr:rowOff>
    </xdr:to>
    <xdr:grpSp>
      <xdr:nvGrpSpPr>
        <xdr:cNvPr id="13" name="Group 12">
          <a:extLst>
            <a:ext uri="{FF2B5EF4-FFF2-40B4-BE49-F238E27FC236}">
              <a16:creationId xmlns:a16="http://schemas.microsoft.com/office/drawing/2014/main" id="{00000000-0008-0000-0000-00000D000000}"/>
            </a:ext>
          </a:extLst>
        </xdr:cNvPr>
        <xdr:cNvGrpSpPr/>
      </xdr:nvGrpSpPr>
      <xdr:grpSpPr>
        <a:xfrm>
          <a:off x="6819900" y="45148500"/>
          <a:ext cx="6215569" cy="8295686"/>
          <a:chOff x="85725" y="45129450"/>
          <a:chExt cx="6215569" cy="8295686"/>
        </a:xfrm>
      </xdr:grpSpPr>
      <xdr:grpSp>
        <xdr:nvGrpSpPr>
          <xdr:cNvPr id="12" name="Group 11">
            <a:extLst>
              <a:ext uri="{FF2B5EF4-FFF2-40B4-BE49-F238E27FC236}">
                <a16:creationId xmlns:a16="http://schemas.microsoft.com/office/drawing/2014/main" id="{00000000-0008-0000-0000-00000C000000}"/>
              </a:ext>
            </a:extLst>
          </xdr:cNvPr>
          <xdr:cNvGrpSpPr/>
        </xdr:nvGrpSpPr>
        <xdr:grpSpPr>
          <a:xfrm>
            <a:off x="85725" y="45129450"/>
            <a:ext cx="6215569" cy="8295686"/>
            <a:chOff x="85725" y="45129450"/>
            <a:chExt cx="6215569" cy="8295686"/>
          </a:xfrm>
        </xdr:grpSpPr>
        <xdr:pic>
          <xdr:nvPicPr>
            <xdr:cNvPr id="62" name="Picture 61" descr="https://vsjcllp.vsjadon.com/upload/insp-226107-1525.jpg">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22" cstate="screen">
              <a:extLst>
                <a:ext uri="{28A0092B-C50C-407E-A947-70E740481C1C}">
                  <a14:useLocalDpi xmlns:a14="http://schemas.microsoft.com/office/drawing/2010/main"/>
                </a:ext>
              </a:extLst>
            </a:blip>
            <a:srcRect/>
            <a:stretch>
              <a:fillRect/>
            </a:stretch>
          </xdr:blipFill>
          <xdr:spPr bwMode="auto">
            <a:xfrm>
              <a:off x="3371851" y="52054124"/>
              <a:ext cx="1808212" cy="13630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3" name="Picture 62" descr="https://vsjcllp.vsjadon.com/upload/insp-226107-843.jpg">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23" cstate="screen">
              <a:extLst>
                <a:ext uri="{28A0092B-C50C-407E-A947-70E740481C1C}">
                  <a14:useLocalDpi xmlns:a14="http://schemas.microsoft.com/office/drawing/2010/main"/>
                </a:ext>
              </a:extLst>
            </a:blip>
            <a:srcRect/>
            <a:stretch>
              <a:fillRect/>
            </a:stretch>
          </xdr:blipFill>
          <xdr:spPr bwMode="auto">
            <a:xfrm>
              <a:off x="1562101" y="50244375"/>
              <a:ext cx="2300998" cy="17345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4" name="Picture 63" descr="https://vsjcllp.vsjadon.com/upload/insp-226107-845.jpg">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24" cstate="screen">
              <a:extLst>
                <a:ext uri="{28A0092B-C50C-407E-A947-70E740481C1C}">
                  <a14:useLocalDpi xmlns:a14="http://schemas.microsoft.com/office/drawing/2010/main"/>
                </a:ext>
              </a:extLst>
            </a:blip>
            <a:srcRect/>
            <a:stretch>
              <a:fillRect/>
            </a:stretch>
          </xdr:blipFill>
          <xdr:spPr bwMode="auto">
            <a:xfrm>
              <a:off x="3933826" y="50244375"/>
              <a:ext cx="2300998" cy="17345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5" name="Picture 64" descr="https://vsjcllp.vsjadon.com/upload/insp-226107-844.jpg">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25" cstate="screen">
              <a:extLst>
                <a:ext uri="{28A0092B-C50C-407E-A947-70E740481C1C}">
                  <a14:useLocalDpi xmlns:a14="http://schemas.microsoft.com/office/drawing/2010/main"/>
                </a:ext>
              </a:extLst>
            </a:blip>
            <a:srcRect/>
            <a:stretch>
              <a:fillRect/>
            </a:stretch>
          </xdr:blipFill>
          <xdr:spPr bwMode="auto">
            <a:xfrm>
              <a:off x="85725" y="48006000"/>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6" name="Picture 65" descr="https://vsjcllp.vsjadon.com/upload/insp-226107-849.jpg">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26" cstate="screen">
              <a:extLst>
                <a:ext uri="{28A0092B-C50C-407E-A947-70E740481C1C}">
                  <a14:useLocalDpi xmlns:a14="http://schemas.microsoft.com/office/drawing/2010/main"/>
                </a:ext>
              </a:extLst>
            </a:blip>
            <a:srcRect/>
            <a:stretch>
              <a:fillRect/>
            </a:stretch>
          </xdr:blipFill>
          <xdr:spPr bwMode="auto">
            <a:xfrm>
              <a:off x="4029075" y="45129450"/>
              <a:ext cx="2106121" cy="2800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7" name="Picture 66" descr="https://vsjcllp.vsjadon.com/upload/insp-226107-851.jpg">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27" cstate="screen">
              <a:extLst>
                <a:ext uri="{28A0092B-C50C-407E-A947-70E740481C1C}">
                  <a14:useLocalDpi xmlns:a14="http://schemas.microsoft.com/office/drawing/2010/main"/>
                </a:ext>
              </a:extLst>
            </a:blip>
            <a:srcRect/>
            <a:stretch>
              <a:fillRect/>
            </a:stretch>
          </xdr:blipFill>
          <xdr:spPr bwMode="auto">
            <a:xfrm>
              <a:off x="228600" y="45132625"/>
              <a:ext cx="3714855" cy="2800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8" name="Picture 67" descr="https://vsjcllp.vsjadon.com/upload/insp-226107-861.jpg">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28" cstate="screen">
              <a:extLst>
                <a:ext uri="{28A0092B-C50C-407E-A947-70E740481C1C}">
                  <a14:useLocalDpi xmlns:a14="http://schemas.microsoft.com/office/drawing/2010/main"/>
                </a:ext>
              </a:extLst>
            </a:blip>
            <a:srcRect/>
            <a:stretch>
              <a:fillRect/>
            </a:stretch>
          </xdr:blipFill>
          <xdr:spPr bwMode="auto">
            <a:xfrm>
              <a:off x="1466851" y="52062061"/>
              <a:ext cx="1814908" cy="13630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3" name="Picture 72" descr="https://vsjcllp.vsjadon.com/upload/insp-226107-860.jpg">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29" cstate="screen">
              <a:extLst>
                <a:ext uri="{28A0092B-C50C-407E-A947-70E740481C1C}">
                  <a14:useLocalDpi xmlns:a14="http://schemas.microsoft.com/office/drawing/2010/main"/>
                </a:ext>
              </a:extLst>
            </a:blip>
            <a:srcRect/>
            <a:stretch>
              <a:fillRect/>
            </a:stretch>
          </xdr:blipFill>
          <xdr:spPr bwMode="auto">
            <a:xfrm>
              <a:off x="1800225" y="48009175"/>
              <a:ext cx="2809875"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4" name="Picture 73" descr="https://vsjcllp.vsjadon.com/upload/insp-226107-874.jpg">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30" cstate="screen">
              <a:extLst>
                <a:ext uri="{28A0092B-C50C-407E-A947-70E740481C1C}">
                  <a14:useLocalDpi xmlns:a14="http://schemas.microsoft.com/office/drawing/2010/main"/>
                </a:ext>
              </a:extLst>
            </a:blip>
            <a:srcRect/>
            <a:stretch>
              <a:fillRect/>
            </a:stretch>
          </xdr:blipFill>
          <xdr:spPr bwMode="auto">
            <a:xfrm>
              <a:off x="4676775" y="48006000"/>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5" name="Picture 74" descr="https://vsjcllp.vsjadon.com/upload/insp-226107-931.jpg">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31" cstate="screen">
              <a:extLst>
                <a:ext uri="{28A0092B-C50C-407E-A947-70E740481C1C}">
                  <a14:useLocalDpi xmlns:a14="http://schemas.microsoft.com/office/drawing/2010/main"/>
                </a:ext>
              </a:extLst>
            </a:blip>
            <a:srcRect/>
            <a:stretch>
              <a:fillRect/>
            </a:stretch>
          </xdr:blipFill>
          <xdr:spPr bwMode="auto">
            <a:xfrm>
              <a:off x="180975" y="50231675"/>
              <a:ext cx="1304541" cy="17345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76" name="TextBox 75">
            <a:extLst>
              <a:ext uri="{FF2B5EF4-FFF2-40B4-BE49-F238E27FC236}">
                <a16:creationId xmlns:a16="http://schemas.microsoft.com/office/drawing/2014/main" id="{00000000-0008-0000-0000-00004C000000}"/>
              </a:ext>
            </a:extLst>
          </xdr:cNvPr>
          <xdr:cNvSpPr txBox="1"/>
        </xdr:nvSpPr>
        <xdr:spPr>
          <a:xfrm>
            <a:off x="1971674" y="45215175"/>
            <a:ext cx="742951"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cap="none" spc="0">
                <a:ln w="0"/>
                <a:solidFill>
                  <a:sysClr val="windowText" lastClr="000000"/>
                </a:solidFill>
                <a:effectLst>
                  <a:outerShdw blurRad="38100" dist="25400" dir="5400000" algn="ctr" rotWithShape="0">
                    <a:srgbClr val="6E747A">
                      <a:alpha val="43000"/>
                    </a:srgbClr>
                  </a:outerShdw>
                </a:effectLst>
              </a:rPr>
              <a:t>Wing R1</a:t>
            </a:r>
          </a:p>
        </xdr:txBody>
      </xdr:sp>
      <xdr:sp macro="" textlink="">
        <xdr:nvSpPr>
          <xdr:cNvPr id="77" name="TextBox 76">
            <a:extLst>
              <a:ext uri="{FF2B5EF4-FFF2-40B4-BE49-F238E27FC236}">
                <a16:creationId xmlns:a16="http://schemas.microsoft.com/office/drawing/2014/main" id="{00000000-0008-0000-0000-00004D000000}"/>
              </a:ext>
            </a:extLst>
          </xdr:cNvPr>
          <xdr:cNvSpPr txBox="1"/>
        </xdr:nvSpPr>
        <xdr:spPr>
          <a:xfrm>
            <a:off x="4714875" y="45186600"/>
            <a:ext cx="790575"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cap="none" spc="0">
                <a:ln w="0"/>
                <a:solidFill>
                  <a:sysClr val="windowText" lastClr="000000"/>
                </a:solidFill>
                <a:effectLst>
                  <a:outerShdw blurRad="38100" dist="25400" dir="5400000" algn="ctr" rotWithShape="0">
                    <a:srgbClr val="6E747A">
                      <a:alpha val="43000"/>
                    </a:srgbClr>
                  </a:outerShdw>
                </a:effectLst>
              </a:rPr>
              <a:t>Wing R2</a:t>
            </a:r>
          </a:p>
        </xdr:txBody>
      </xdr:sp>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885825" y="48015525"/>
            <a:ext cx="790575"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cap="none" spc="0">
                <a:ln w="0"/>
                <a:solidFill>
                  <a:sysClr val="windowText" lastClr="000000"/>
                </a:solidFill>
                <a:effectLst>
                  <a:outerShdw blurRad="38100" dist="25400" dir="5400000" algn="ctr" rotWithShape="0">
                    <a:srgbClr val="6E747A">
                      <a:alpha val="43000"/>
                    </a:srgbClr>
                  </a:outerShdw>
                </a:effectLst>
              </a:rPr>
              <a:t>Wing R2</a:t>
            </a:r>
          </a:p>
        </xdr:txBody>
      </xdr:sp>
    </xdr:grpSp>
    <xdr:clientData/>
  </xdr:twoCellAnchor>
  <xdr:twoCellAnchor>
    <xdr:from>
      <xdr:col>0</xdr:col>
      <xdr:colOff>76200</xdr:colOff>
      <xdr:row>247</xdr:row>
      <xdr:rowOff>142874</xdr:rowOff>
    </xdr:from>
    <xdr:to>
      <xdr:col>7</xdr:col>
      <xdr:colOff>609600</xdr:colOff>
      <xdr:row>281</xdr:row>
      <xdr:rowOff>148202</xdr:rowOff>
    </xdr:to>
    <xdr:grpSp>
      <xdr:nvGrpSpPr>
        <xdr:cNvPr id="79" name="Group 78">
          <a:extLst>
            <a:ext uri="{FF2B5EF4-FFF2-40B4-BE49-F238E27FC236}">
              <a16:creationId xmlns:a16="http://schemas.microsoft.com/office/drawing/2014/main" id="{7F51FFFF-4034-41E8-9F80-4EF3050E3F33}"/>
            </a:ext>
          </a:extLst>
        </xdr:cNvPr>
        <xdr:cNvGrpSpPr/>
      </xdr:nvGrpSpPr>
      <xdr:grpSpPr>
        <a:xfrm>
          <a:off x="76200" y="45234224"/>
          <a:ext cx="6115050" cy="6796653"/>
          <a:chOff x="225873" y="614136"/>
          <a:chExt cx="6406254" cy="7034778"/>
        </a:xfrm>
      </xdr:grpSpPr>
      <xdr:grpSp>
        <xdr:nvGrpSpPr>
          <xdr:cNvPr id="80" name="Group 79">
            <a:extLst>
              <a:ext uri="{FF2B5EF4-FFF2-40B4-BE49-F238E27FC236}">
                <a16:creationId xmlns:a16="http://schemas.microsoft.com/office/drawing/2014/main" id="{2E06ED06-D684-4654-A330-315CD6D2F9A9}"/>
              </a:ext>
            </a:extLst>
          </xdr:cNvPr>
          <xdr:cNvGrpSpPr/>
        </xdr:nvGrpSpPr>
        <xdr:grpSpPr>
          <a:xfrm>
            <a:off x="225873" y="614136"/>
            <a:ext cx="6406254" cy="7034778"/>
            <a:chOff x="225873" y="614136"/>
            <a:chExt cx="6406254" cy="7034778"/>
          </a:xfrm>
        </xdr:grpSpPr>
        <xdr:pic>
          <xdr:nvPicPr>
            <xdr:cNvPr id="87" name="Picture 86">
              <a:extLst>
                <a:ext uri="{FF2B5EF4-FFF2-40B4-BE49-F238E27FC236}">
                  <a16:creationId xmlns:a16="http://schemas.microsoft.com/office/drawing/2014/main" id="{A577396A-2AE6-484D-8BCC-D5305D02845C}"/>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225873" y="614136"/>
              <a:ext cx="2030649" cy="2700000"/>
            </a:xfrm>
            <a:prstGeom prst="rect">
              <a:avLst/>
            </a:prstGeom>
            <a:ln>
              <a:solidFill>
                <a:schemeClr val="tx1"/>
              </a:solidFill>
            </a:ln>
          </xdr:spPr>
        </xdr:pic>
        <xdr:pic>
          <xdr:nvPicPr>
            <xdr:cNvPr id="88" name="Picture 87">
              <a:extLst>
                <a:ext uri="{FF2B5EF4-FFF2-40B4-BE49-F238E27FC236}">
                  <a16:creationId xmlns:a16="http://schemas.microsoft.com/office/drawing/2014/main" id="{65EAC390-BCF5-46CB-BAA0-618744D3C4C5}"/>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2413675" y="614136"/>
              <a:ext cx="2030649" cy="2700000"/>
            </a:xfrm>
            <a:prstGeom prst="rect">
              <a:avLst/>
            </a:prstGeom>
            <a:ln>
              <a:solidFill>
                <a:schemeClr val="tx1"/>
              </a:solidFill>
            </a:ln>
          </xdr:spPr>
        </xdr:pic>
        <xdr:pic>
          <xdr:nvPicPr>
            <xdr:cNvPr id="89" name="Picture 88">
              <a:extLst>
                <a:ext uri="{FF2B5EF4-FFF2-40B4-BE49-F238E27FC236}">
                  <a16:creationId xmlns:a16="http://schemas.microsoft.com/office/drawing/2014/main" id="{9D33B84E-4BBC-4292-B8E2-421DD3479E75}"/>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4601478" y="614136"/>
              <a:ext cx="2030649" cy="2700000"/>
            </a:xfrm>
            <a:prstGeom prst="rect">
              <a:avLst/>
            </a:prstGeom>
            <a:ln>
              <a:solidFill>
                <a:schemeClr val="tx1"/>
              </a:solidFill>
            </a:ln>
          </xdr:spPr>
        </xdr:pic>
        <xdr:pic>
          <xdr:nvPicPr>
            <xdr:cNvPr id="90" name="Picture 89">
              <a:extLst>
                <a:ext uri="{FF2B5EF4-FFF2-40B4-BE49-F238E27FC236}">
                  <a16:creationId xmlns:a16="http://schemas.microsoft.com/office/drawing/2014/main" id="{09A18D81-9DC2-4C84-BE63-537FC7CA9462}"/>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789154" y="3492000"/>
              <a:ext cx="1624519" cy="2160000"/>
            </a:xfrm>
            <a:prstGeom prst="rect">
              <a:avLst/>
            </a:prstGeom>
            <a:ln>
              <a:solidFill>
                <a:schemeClr val="tx1"/>
              </a:solidFill>
            </a:ln>
          </xdr:spPr>
        </xdr:pic>
        <xdr:pic>
          <xdr:nvPicPr>
            <xdr:cNvPr id="91" name="Picture 90">
              <a:extLst>
                <a:ext uri="{FF2B5EF4-FFF2-40B4-BE49-F238E27FC236}">
                  <a16:creationId xmlns:a16="http://schemas.microsoft.com/office/drawing/2014/main" id="{07A793BA-2311-4E7B-A3DB-63AF3E0D0E5F}"/>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2616739" y="3492000"/>
              <a:ext cx="1624519" cy="2160000"/>
            </a:xfrm>
            <a:prstGeom prst="rect">
              <a:avLst/>
            </a:prstGeom>
            <a:ln>
              <a:solidFill>
                <a:schemeClr val="tx1"/>
              </a:solidFill>
            </a:ln>
          </xdr:spPr>
        </xdr:pic>
        <xdr:pic>
          <xdr:nvPicPr>
            <xdr:cNvPr id="92" name="Picture 91">
              <a:extLst>
                <a:ext uri="{FF2B5EF4-FFF2-40B4-BE49-F238E27FC236}">
                  <a16:creationId xmlns:a16="http://schemas.microsoft.com/office/drawing/2014/main" id="{BE691646-C9CA-4EC7-9402-6CC7B7B43FB6}"/>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4444324" y="3492000"/>
              <a:ext cx="1624519" cy="2160000"/>
            </a:xfrm>
            <a:prstGeom prst="rect">
              <a:avLst/>
            </a:prstGeom>
            <a:ln>
              <a:solidFill>
                <a:schemeClr val="tx1"/>
              </a:solidFill>
            </a:ln>
          </xdr:spPr>
        </xdr:pic>
        <xdr:pic>
          <xdr:nvPicPr>
            <xdr:cNvPr id="93" name="Picture 92">
              <a:extLst>
                <a:ext uri="{FF2B5EF4-FFF2-40B4-BE49-F238E27FC236}">
                  <a16:creationId xmlns:a16="http://schemas.microsoft.com/office/drawing/2014/main" id="{540652BE-E5DF-40DA-B19F-26F3C7CC0E41}"/>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789154" y="5848914"/>
              <a:ext cx="2387823" cy="1800000"/>
            </a:xfrm>
            <a:prstGeom prst="rect">
              <a:avLst/>
            </a:prstGeom>
            <a:ln>
              <a:solidFill>
                <a:schemeClr val="tx1"/>
              </a:solidFill>
            </a:ln>
          </xdr:spPr>
        </xdr:pic>
        <xdr:pic>
          <xdr:nvPicPr>
            <xdr:cNvPr id="94" name="Picture 93">
              <a:extLst>
                <a:ext uri="{FF2B5EF4-FFF2-40B4-BE49-F238E27FC236}">
                  <a16:creationId xmlns:a16="http://schemas.microsoft.com/office/drawing/2014/main" id="{A75A4ACF-F5E2-4788-B2EF-E99AB6D76147}"/>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3274786" y="5848914"/>
              <a:ext cx="1348125" cy="1800000"/>
            </a:xfrm>
            <a:prstGeom prst="rect">
              <a:avLst/>
            </a:prstGeom>
            <a:ln>
              <a:solidFill>
                <a:schemeClr val="tx1"/>
              </a:solidFill>
            </a:ln>
          </xdr:spPr>
        </xdr:pic>
        <xdr:pic>
          <xdr:nvPicPr>
            <xdr:cNvPr id="95" name="Picture 94">
              <a:extLst>
                <a:ext uri="{FF2B5EF4-FFF2-40B4-BE49-F238E27FC236}">
                  <a16:creationId xmlns:a16="http://schemas.microsoft.com/office/drawing/2014/main" id="{3695BB1E-3D5C-4EC0-B4CF-422E0B206210}"/>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4709121" y="5848914"/>
              <a:ext cx="1353766" cy="1800000"/>
            </a:xfrm>
            <a:prstGeom prst="rect">
              <a:avLst/>
            </a:prstGeom>
            <a:ln>
              <a:solidFill>
                <a:schemeClr val="tx1"/>
              </a:solidFill>
            </a:ln>
          </xdr:spPr>
        </xdr:pic>
      </xdr:grpSp>
      <xdr:sp macro="" textlink="">
        <xdr:nvSpPr>
          <xdr:cNvPr id="81" name="TextBox 305">
            <a:extLst>
              <a:ext uri="{FF2B5EF4-FFF2-40B4-BE49-F238E27FC236}">
                <a16:creationId xmlns:a16="http://schemas.microsoft.com/office/drawing/2014/main" id="{DC2CA47D-E4A5-4E3D-9543-094552DFDBE3}"/>
              </a:ext>
            </a:extLst>
          </xdr:cNvPr>
          <xdr:cNvSpPr txBox="1"/>
        </xdr:nvSpPr>
        <xdr:spPr>
          <a:xfrm>
            <a:off x="994224" y="869721"/>
            <a:ext cx="607188" cy="38724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R1</a:t>
            </a:r>
            <a:endParaRPr lang="en-IN" b="1">
              <a:solidFill>
                <a:srgbClr val="FF0000"/>
              </a:solidFill>
            </a:endParaRPr>
          </a:p>
        </xdr:txBody>
      </xdr:sp>
      <xdr:sp macro="" textlink="">
        <xdr:nvSpPr>
          <xdr:cNvPr id="82" name="TextBox 306">
            <a:extLst>
              <a:ext uri="{FF2B5EF4-FFF2-40B4-BE49-F238E27FC236}">
                <a16:creationId xmlns:a16="http://schemas.microsoft.com/office/drawing/2014/main" id="{4AC70F0B-380D-41BF-80E1-25C28D7A1171}"/>
              </a:ext>
            </a:extLst>
          </xdr:cNvPr>
          <xdr:cNvSpPr txBox="1"/>
        </xdr:nvSpPr>
        <xdr:spPr>
          <a:xfrm>
            <a:off x="3219450" y="701781"/>
            <a:ext cx="526177" cy="38724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R2</a:t>
            </a:r>
            <a:endParaRPr lang="en-IN" b="1">
              <a:solidFill>
                <a:srgbClr val="FF0000"/>
              </a:solidFill>
            </a:endParaRPr>
          </a:p>
        </xdr:txBody>
      </xdr:sp>
      <xdr:sp macro="" textlink="">
        <xdr:nvSpPr>
          <xdr:cNvPr id="83" name="TextBox 307">
            <a:extLst>
              <a:ext uri="{FF2B5EF4-FFF2-40B4-BE49-F238E27FC236}">
                <a16:creationId xmlns:a16="http://schemas.microsoft.com/office/drawing/2014/main" id="{49C18F0B-FFF7-42D8-8A53-01F939587F9C}"/>
              </a:ext>
            </a:extLst>
          </xdr:cNvPr>
          <xdr:cNvSpPr txBox="1"/>
        </xdr:nvSpPr>
        <xdr:spPr>
          <a:xfrm>
            <a:off x="5783947" y="685055"/>
            <a:ext cx="494703" cy="38724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R2</a:t>
            </a:r>
            <a:endParaRPr lang="en-IN" b="1">
              <a:solidFill>
                <a:srgbClr val="FF0000"/>
              </a:solidFill>
            </a:endParaRPr>
          </a:p>
        </xdr:txBody>
      </xdr:sp>
      <xdr:sp macro="" textlink="">
        <xdr:nvSpPr>
          <xdr:cNvPr id="84" name="TextBox 308">
            <a:extLst>
              <a:ext uri="{FF2B5EF4-FFF2-40B4-BE49-F238E27FC236}">
                <a16:creationId xmlns:a16="http://schemas.microsoft.com/office/drawing/2014/main" id="{5BFEFA14-E1B2-455C-B071-38D6E2257DBB}"/>
              </a:ext>
            </a:extLst>
          </xdr:cNvPr>
          <xdr:cNvSpPr txBox="1"/>
        </xdr:nvSpPr>
        <xdr:spPr>
          <a:xfrm>
            <a:off x="1543047" y="4778481"/>
            <a:ext cx="451845" cy="38724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R2</a:t>
            </a:r>
            <a:endParaRPr lang="en-IN" b="1">
              <a:solidFill>
                <a:srgbClr val="FF0000"/>
              </a:solidFill>
            </a:endParaRPr>
          </a:p>
        </xdr:txBody>
      </xdr:sp>
      <xdr:sp macro="" textlink="">
        <xdr:nvSpPr>
          <xdr:cNvPr id="85" name="TextBox 309">
            <a:extLst>
              <a:ext uri="{FF2B5EF4-FFF2-40B4-BE49-F238E27FC236}">
                <a16:creationId xmlns:a16="http://schemas.microsoft.com/office/drawing/2014/main" id="{74AD8295-DF96-478A-865F-B057F4637FFA}"/>
              </a:ext>
            </a:extLst>
          </xdr:cNvPr>
          <xdr:cNvSpPr txBox="1"/>
        </xdr:nvSpPr>
        <xdr:spPr>
          <a:xfrm>
            <a:off x="3209471" y="4593815"/>
            <a:ext cx="496843" cy="38724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R2</a:t>
            </a:r>
            <a:endParaRPr lang="en-IN" b="1">
              <a:solidFill>
                <a:srgbClr val="FF0000"/>
              </a:solidFill>
            </a:endParaRPr>
          </a:p>
        </xdr:txBody>
      </xdr:sp>
      <xdr:sp macro="" textlink="">
        <xdr:nvSpPr>
          <xdr:cNvPr id="86" name="TextBox 310">
            <a:extLst>
              <a:ext uri="{FF2B5EF4-FFF2-40B4-BE49-F238E27FC236}">
                <a16:creationId xmlns:a16="http://schemas.microsoft.com/office/drawing/2014/main" id="{662FC4CC-B8E0-477E-AEBE-F0AE15C895E8}"/>
              </a:ext>
            </a:extLst>
          </xdr:cNvPr>
          <xdr:cNvSpPr txBox="1"/>
        </xdr:nvSpPr>
        <xdr:spPr>
          <a:xfrm>
            <a:off x="4905831" y="4780076"/>
            <a:ext cx="566516" cy="38724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R2</a:t>
            </a:r>
            <a:endParaRPr lang="en-IN"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15</xdr:col>
      <xdr:colOff>101974</xdr:colOff>
      <xdr:row>52</xdr:row>
      <xdr:rowOff>76200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2706" y="2678206"/>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thelaunch.in/rugicoloniaambernath_6910" TargetMode="External"/><Relationship Id="rId7" Type="http://schemas.openxmlformats.org/officeDocument/2006/relationships/vmlDrawing" Target="../drawings/vmlDrawing2.vml"/><Relationship Id="rId2" Type="http://schemas.openxmlformats.org/officeDocument/2006/relationships/hyperlink" Target="https://www.squareyards.com/thane-residential-property/rugi-colonia/226061/project" TargetMode="External"/><Relationship Id="rId1" Type="http://schemas.openxmlformats.org/officeDocument/2006/relationships/hyperlink" Target="https://maps.app.goo.gl/mHvn1Uc8pdR66GPr8"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331"/>
  <sheetViews>
    <sheetView tabSelected="1" view="pageBreakPreview" zoomScaleNormal="100" zoomScaleSheetLayoutView="100" zoomScalePageLayoutView="85" workbookViewId="0">
      <selection activeCell="I3" sqref="I3"/>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04" t="s">
        <v>157</v>
      </c>
      <c r="B1" s="204"/>
      <c r="C1" s="204"/>
      <c r="D1" s="204"/>
      <c r="E1" s="204"/>
      <c r="F1" s="204"/>
      <c r="G1" s="204"/>
      <c r="H1" s="204"/>
    </row>
    <row r="2" spans="1:26" ht="16.5" customHeight="1" x14ac:dyDescent="0.25">
      <c r="A2" s="205" t="s">
        <v>0</v>
      </c>
      <c r="B2" s="205"/>
      <c r="C2" s="205"/>
      <c r="D2" s="205"/>
      <c r="E2" s="205"/>
      <c r="F2" s="205"/>
      <c r="G2" s="205"/>
      <c r="H2" s="205"/>
    </row>
    <row r="3" spans="1:26" x14ac:dyDescent="0.25">
      <c r="A3" s="148" t="s">
        <v>1</v>
      </c>
      <c r="B3" s="148"/>
      <c r="C3" s="148"/>
      <c r="D3" s="148"/>
      <c r="E3" s="148" t="str">
        <f ca="1">TEXT(TODAY(),"DD/MM/YYYY")</f>
        <v>15/07/2025</v>
      </c>
      <c r="F3" s="148"/>
      <c r="G3" s="148"/>
      <c r="H3" s="148"/>
      <c r="K3" s="63" t="s">
        <v>229</v>
      </c>
      <c r="L3" s="58" t="s">
        <v>227</v>
      </c>
      <c r="M3" s="58" t="s">
        <v>232</v>
      </c>
      <c r="N3" s="58" t="s">
        <v>230</v>
      </c>
      <c r="O3" s="58" t="s">
        <v>231</v>
      </c>
      <c r="P3" s="58" t="s">
        <v>233</v>
      </c>
    </row>
    <row r="4" spans="1:26" ht="15" customHeight="1" x14ac:dyDescent="0.25">
      <c r="A4" s="148" t="s">
        <v>226</v>
      </c>
      <c r="B4" s="148"/>
      <c r="C4" s="148"/>
      <c r="D4" s="148"/>
      <c r="E4" s="148" t="s">
        <v>227</v>
      </c>
      <c r="F4" s="148"/>
      <c r="G4" s="148"/>
      <c r="H4" s="148"/>
      <c r="K4" s="57" t="s">
        <v>228</v>
      </c>
      <c r="L4" s="58" t="s">
        <v>163</v>
      </c>
      <c r="M4" s="58" t="s">
        <v>237</v>
      </c>
      <c r="N4" s="58" t="s">
        <v>239</v>
      </c>
      <c r="O4" s="58" t="s">
        <v>241</v>
      </c>
      <c r="P4" s="58"/>
    </row>
    <row r="5" spans="1:26" ht="15" customHeight="1" x14ac:dyDescent="0.25">
      <c r="A5" s="148" t="s">
        <v>2</v>
      </c>
      <c r="B5" s="148"/>
      <c r="C5" s="148"/>
      <c r="D5" s="148"/>
      <c r="E5" s="148" t="s">
        <v>234</v>
      </c>
      <c r="F5" s="148"/>
      <c r="G5" s="148"/>
      <c r="H5" s="148"/>
      <c r="K5" s="57"/>
      <c r="L5" s="58" t="s">
        <v>234</v>
      </c>
      <c r="M5" s="58" t="s">
        <v>238</v>
      </c>
      <c r="N5" s="58" t="s">
        <v>240</v>
      </c>
      <c r="O5" s="58" t="s">
        <v>242</v>
      </c>
      <c r="P5" s="58"/>
    </row>
    <row r="6" spans="1:26" x14ac:dyDescent="0.25">
      <c r="A6" s="148" t="s">
        <v>3</v>
      </c>
      <c r="B6" s="148"/>
      <c r="C6" s="148"/>
      <c r="D6" s="148"/>
      <c r="E6" s="207">
        <v>45848</v>
      </c>
      <c r="F6" s="208"/>
      <c r="G6" s="208"/>
      <c r="H6" s="208"/>
      <c r="K6" s="57"/>
      <c r="L6" s="58" t="s">
        <v>235</v>
      </c>
      <c r="M6" s="58"/>
      <c r="N6" s="58"/>
      <c r="O6" s="58" t="s">
        <v>243</v>
      </c>
      <c r="P6" s="58"/>
    </row>
    <row r="7" spans="1:26" ht="16.5" customHeight="1" x14ac:dyDescent="0.25">
      <c r="A7" s="148" t="s">
        <v>4</v>
      </c>
      <c r="B7" s="148"/>
      <c r="C7" s="148"/>
      <c r="D7" s="148"/>
      <c r="E7" s="148" t="s">
        <v>294</v>
      </c>
      <c r="F7" s="148"/>
      <c r="G7" s="148"/>
      <c r="H7" s="148"/>
      <c r="K7" s="57"/>
      <c r="L7" s="58" t="s">
        <v>236</v>
      </c>
      <c r="M7" s="58"/>
      <c r="N7" s="58"/>
      <c r="O7" s="58" t="s">
        <v>243</v>
      </c>
      <c r="P7" s="58"/>
    </row>
    <row r="8" spans="1:26" ht="15" customHeight="1" x14ac:dyDescent="0.25">
      <c r="A8" s="148" t="s">
        <v>5</v>
      </c>
      <c r="B8" s="148"/>
      <c r="C8" s="148"/>
      <c r="D8" s="148"/>
      <c r="E8" s="148" t="str">
        <f>E7</f>
        <v>P P Corporation</v>
      </c>
      <c r="F8" s="148"/>
      <c r="G8" s="148"/>
      <c r="H8" s="148"/>
      <c r="K8" s="57"/>
      <c r="L8" s="58"/>
      <c r="M8" s="58"/>
      <c r="N8" s="58"/>
      <c r="O8" s="58" t="s">
        <v>244</v>
      </c>
      <c r="P8" s="58"/>
    </row>
    <row r="9" spans="1:26" x14ac:dyDescent="0.25">
      <c r="A9" s="148" t="s">
        <v>6</v>
      </c>
      <c r="B9" s="148"/>
      <c r="C9" s="148"/>
      <c r="D9" s="148"/>
      <c r="E9" s="206" t="s">
        <v>295</v>
      </c>
      <c r="F9" s="206"/>
      <c r="G9" s="206"/>
      <c r="H9" s="206"/>
      <c r="K9" s="57"/>
      <c r="L9" s="58"/>
      <c r="M9" s="58"/>
      <c r="N9" s="58"/>
      <c r="O9" s="58" t="s">
        <v>245</v>
      </c>
      <c r="P9" s="58"/>
    </row>
    <row r="10" spans="1:26" x14ac:dyDescent="0.25">
      <c r="A10" s="148" t="s">
        <v>160</v>
      </c>
      <c r="B10" s="148"/>
      <c r="C10" s="148"/>
      <c r="D10" s="148"/>
      <c r="E10" s="148" t="s">
        <v>296</v>
      </c>
      <c r="F10" s="148"/>
      <c r="G10" s="148"/>
      <c r="H10" s="148"/>
      <c r="K10" s="57"/>
      <c r="L10" s="58"/>
      <c r="M10" s="58"/>
      <c r="N10" s="58"/>
      <c r="O10" s="58"/>
      <c r="P10" s="58"/>
    </row>
    <row r="11" spans="1:26" hidden="1" x14ac:dyDescent="0.25">
      <c r="A11" s="148" t="s">
        <v>161</v>
      </c>
      <c r="B11" s="148"/>
      <c r="C11" s="148"/>
      <c r="D11" s="148"/>
      <c r="E11" s="148">
        <v>7066992000</v>
      </c>
      <c r="F11" s="148"/>
      <c r="G11" s="148"/>
      <c r="H11" s="148"/>
    </row>
    <row r="12" spans="1:26" x14ac:dyDescent="0.25">
      <c r="A12" s="148" t="s">
        <v>7</v>
      </c>
      <c r="B12" s="148"/>
      <c r="C12" s="148"/>
      <c r="D12" s="148"/>
      <c r="E12" s="148" t="s">
        <v>329</v>
      </c>
      <c r="F12" s="148"/>
      <c r="G12" s="148"/>
      <c r="H12" s="148"/>
    </row>
    <row r="13" spans="1:26" x14ac:dyDescent="0.25">
      <c r="A13" s="148" t="s">
        <v>164</v>
      </c>
      <c r="B13" s="148"/>
      <c r="C13" s="148"/>
      <c r="D13" s="148"/>
      <c r="E13" s="148" t="s">
        <v>28</v>
      </c>
      <c r="F13" s="148"/>
      <c r="G13" s="148"/>
      <c r="H13" s="148"/>
      <c r="S13" s="58" t="s">
        <v>171</v>
      </c>
      <c r="T13" s="58" t="s">
        <v>181</v>
      </c>
      <c r="U13" s="58" t="s">
        <v>165</v>
      </c>
      <c r="V13" s="58" t="s">
        <v>186</v>
      </c>
      <c r="W13" s="58" t="s">
        <v>204</v>
      </c>
      <c r="X13"/>
      <c r="Y13" t="s">
        <v>186</v>
      </c>
      <c r="Z13" t="e">
        <f ca="1">OFFSET($S$13,1,MATCH($G20,$S$13:$W$13,0)-1,15,1)</f>
        <v>#VALUE!</v>
      </c>
    </row>
    <row r="14" spans="1:26" ht="32.25" customHeight="1" x14ac:dyDescent="0.25">
      <c r="A14" s="123" t="s">
        <v>272</v>
      </c>
      <c r="B14" s="123"/>
      <c r="C14" s="123"/>
      <c r="D14" s="123"/>
      <c r="E14" s="147" t="s">
        <v>297</v>
      </c>
      <c r="F14" s="147"/>
      <c r="G14" s="147"/>
      <c r="H14" s="147"/>
      <c r="S14" s="58" t="s">
        <v>172</v>
      </c>
      <c r="T14" s="58" t="s">
        <v>179</v>
      </c>
      <c r="U14" s="58" t="s">
        <v>201</v>
      </c>
      <c r="V14" s="58" t="s">
        <v>187</v>
      </c>
      <c r="W14" s="58" t="s">
        <v>205</v>
      </c>
      <c r="X14"/>
      <c r="Y14"/>
      <c r="Z14"/>
    </row>
    <row r="15" spans="1:26" x14ac:dyDescent="0.25">
      <c r="A15" s="123" t="s">
        <v>8</v>
      </c>
      <c r="B15" s="123"/>
      <c r="C15" s="123"/>
      <c r="D15" s="123"/>
      <c r="E15" s="147" t="s">
        <v>298</v>
      </c>
      <c r="F15" s="148"/>
      <c r="G15" s="148"/>
      <c r="H15" s="148"/>
      <c r="I15" s="118" t="e">
        <f ca="1">OFFSET($D$5,1,MATCH($J13,$D$5:$H$5,0)-1,15,1)</f>
        <v>#N/A</v>
      </c>
      <c r="J15" s="119"/>
      <c r="K15" s="119"/>
      <c r="L15" s="119"/>
      <c r="M15" s="119"/>
      <c r="N15" s="119"/>
      <c r="O15" s="119"/>
      <c r="P15" s="119"/>
      <c r="S15" s="58" t="s">
        <v>173</v>
      </c>
      <c r="T15" s="58" t="s">
        <v>180</v>
      </c>
      <c r="U15" s="58" t="s">
        <v>202</v>
      </c>
      <c r="V15" s="58" t="s">
        <v>188</v>
      </c>
      <c r="W15" s="58" t="s">
        <v>218</v>
      </c>
      <c r="X15"/>
      <c r="Y15"/>
      <c r="Z15"/>
    </row>
    <row r="16" spans="1:26" ht="32.25" customHeight="1" x14ac:dyDescent="0.25">
      <c r="A16" s="130" t="s">
        <v>9</v>
      </c>
      <c r="B16" s="130"/>
      <c r="C16" s="130" t="str">
        <f>CONCATENATE((IF(OR(E9="",E9="NA"),"",E9)),", ",(IF(OR(A17="",A17="NA"),"",A17)),".",(IF(OR(C17="",C17="NA"),"",C17)),", near ",(IF(OR(C22="",C22="NA"),"",C22)),", ",(IF(OR(C19="",C19="NA"),"",C19)),", ",(IF(OR(C18="",C18="NA"),"",C18)),", ",(IF(OR(G19="",G19="NA"),"",G19)),", ",(IF(OR(C20="",C20="NA"),"",C20)),", ",(IF(OR(C21="",C21="NA"),"",C21)),", ",(IF(OR(G20="",G20="NA"),"",G20))," - ",(IF(OR(G21="",G21="NA"),"",G21)),".")</f>
        <v>Rugi Colonia, Survey No.111, H. No. 1, near Neelkanth Royale Palms, Kalyan Badlapur Road, Katrap, Chikhloli, Badlpaur West, Ambernath, Thane  - 421505.</v>
      </c>
      <c r="D16" s="130"/>
      <c r="E16" s="130"/>
      <c r="F16" s="130"/>
      <c r="G16" s="130"/>
      <c r="H16" s="130"/>
      <c r="S16" s="58" t="s">
        <v>174</v>
      </c>
      <c r="T16" s="58" t="s">
        <v>182</v>
      </c>
      <c r="U16" s="58" t="s">
        <v>203</v>
      </c>
      <c r="V16" s="58" t="s">
        <v>189</v>
      </c>
      <c r="W16" s="58" t="s">
        <v>206</v>
      </c>
      <c r="X16"/>
      <c r="Y16"/>
      <c r="Z16"/>
    </row>
    <row r="17" spans="1:26" x14ac:dyDescent="0.25">
      <c r="A17" s="147" t="s">
        <v>299</v>
      </c>
      <c r="B17" s="147"/>
      <c r="C17" s="147" t="s">
        <v>300</v>
      </c>
      <c r="D17" s="147"/>
      <c r="E17" s="147"/>
      <c r="F17" s="147"/>
      <c r="G17" s="147"/>
      <c r="H17" s="147"/>
      <c r="S17" s="58" t="s">
        <v>175</v>
      </c>
      <c r="T17" s="58" t="s">
        <v>183</v>
      </c>
      <c r="U17" s="58" t="s">
        <v>165</v>
      </c>
      <c r="V17" s="58" t="s">
        <v>190</v>
      </c>
      <c r="W17" s="58" t="s">
        <v>207</v>
      </c>
      <c r="X17"/>
      <c r="Y17"/>
      <c r="Z17"/>
    </row>
    <row r="18" spans="1:26" ht="15.75" customHeight="1" x14ac:dyDescent="0.25">
      <c r="A18" s="147" t="s">
        <v>155</v>
      </c>
      <c r="B18" s="147"/>
      <c r="C18" s="147" t="s">
        <v>304</v>
      </c>
      <c r="D18" s="147"/>
      <c r="E18" s="147"/>
      <c r="F18" s="147"/>
      <c r="G18" s="147"/>
      <c r="H18" s="147"/>
      <c r="S18" s="58" t="s">
        <v>176</v>
      </c>
      <c r="T18" s="58" t="s">
        <v>181</v>
      </c>
      <c r="U18" s="58"/>
      <c r="V18" s="58" t="s">
        <v>191</v>
      </c>
      <c r="W18" s="58" t="s">
        <v>208</v>
      </c>
      <c r="X18"/>
      <c r="Y18"/>
      <c r="Z18"/>
    </row>
    <row r="19" spans="1:26" ht="15.75" customHeight="1" x14ac:dyDescent="0.25">
      <c r="A19" s="130" t="s">
        <v>10</v>
      </c>
      <c r="B19" s="130"/>
      <c r="C19" s="148" t="s">
        <v>305</v>
      </c>
      <c r="D19" s="148"/>
      <c r="E19" s="130" t="s">
        <v>69</v>
      </c>
      <c r="F19" s="130"/>
      <c r="G19" s="147" t="s">
        <v>301</v>
      </c>
      <c r="H19" s="147"/>
      <c r="S19" s="58" t="s">
        <v>177</v>
      </c>
      <c r="T19" s="58" t="s">
        <v>184</v>
      </c>
      <c r="U19" s="58"/>
      <c r="V19" s="58" t="s">
        <v>192</v>
      </c>
      <c r="W19" s="58" t="s">
        <v>209</v>
      </c>
      <c r="X19"/>
      <c r="Y19"/>
      <c r="Z19"/>
    </row>
    <row r="20" spans="1:26" x14ac:dyDescent="0.25">
      <c r="A20" s="123" t="s">
        <v>12</v>
      </c>
      <c r="B20" s="123"/>
      <c r="C20" s="147" t="s">
        <v>308</v>
      </c>
      <c r="D20" s="147"/>
      <c r="E20" s="147" t="s">
        <v>11</v>
      </c>
      <c r="F20" s="147"/>
      <c r="G20" s="212" t="s">
        <v>171</v>
      </c>
      <c r="H20" s="212"/>
      <c r="S20" s="58" t="s">
        <v>178</v>
      </c>
      <c r="T20" s="58" t="s">
        <v>185</v>
      </c>
      <c r="U20" s="58"/>
      <c r="V20" s="58" t="s">
        <v>193</v>
      </c>
      <c r="W20" s="58" t="s">
        <v>210</v>
      </c>
      <c r="X20"/>
      <c r="Y20"/>
      <c r="Z20"/>
    </row>
    <row r="21" spans="1:26" x14ac:dyDescent="0.25">
      <c r="A21" s="123" t="s">
        <v>70</v>
      </c>
      <c r="B21" s="123"/>
      <c r="C21" s="147" t="s">
        <v>177</v>
      </c>
      <c r="D21" s="147"/>
      <c r="E21" s="147" t="s">
        <v>13</v>
      </c>
      <c r="F21" s="147"/>
      <c r="G21" s="147">
        <v>421505</v>
      </c>
      <c r="H21" s="147"/>
      <c r="S21" s="58"/>
      <c r="T21" s="58"/>
      <c r="U21" s="58"/>
      <c r="V21" s="58" t="s">
        <v>194</v>
      </c>
      <c r="W21" s="58" t="s">
        <v>211</v>
      </c>
      <c r="X21"/>
      <c r="Y21"/>
      <c r="Z21"/>
    </row>
    <row r="22" spans="1:26" ht="32.25" customHeight="1" x14ac:dyDescent="0.25">
      <c r="A22" s="123" t="s">
        <v>114</v>
      </c>
      <c r="B22" s="123"/>
      <c r="C22" s="147" t="s">
        <v>306</v>
      </c>
      <c r="D22" s="147"/>
      <c r="E22" s="130" t="s">
        <v>14</v>
      </c>
      <c r="F22" s="130"/>
      <c r="G22" s="147" t="s">
        <v>307</v>
      </c>
      <c r="H22" s="147"/>
      <c r="S22" s="58"/>
      <c r="T22" s="58"/>
      <c r="U22" s="58"/>
      <c r="V22" s="58" t="s">
        <v>195</v>
      </c>
      <c r="W22" s="58" t="s">
        <v>212</v>
      </c>
      <c r="X22"/>
      <c r="Y22"/>
      <c r="Z22"/>
    </row>
    <row r="23" spans="1:26" ht="15" customHeight="1" x14ac:dyDescent="0.25">
      <c r="A23" s="130" t="s">
        <v>72</v>
      </c>
      <c r="B23" s="130"/>
      <c r="C23" s="130"/>
      <c r="D23" s="130"/>
      <c r="E23" s="148" t="s">
        <v>15</v>
      </c>
      <c r="F23" s="148"/>
      <c r="G23" s="148"/>
      <c r="H23" s="148"/>
      <c r="S23" s="58"/>
      <c r="T23" s="58"/>
      <c r="U23" s="58"/>
      <c r="V23" s="58" t="s">
        <v>196</v>
      </c>
      <c r="W23" s="58" t="s">
        <v>213</v>
      </c>
      <c r="X23"/>
      <c r="Y23"/>
      <c r="Z23"/>
    </row>
    <row r="24" spans="1:26" ht="18.75" customHeight="1" x14ac:dyDescent="0.25">
      <c r="A24" s="130"/>
      <c r="B24" s="130"/>
      <c r="C24" s="130"/>
      <c r="D24" s="130"/>
      <c r="E24" s="148"/>
      <c r="F24" s="148"/>
      <c r="G24" s="148"/>
      <c r="H24" s="148"/>
      <c r="S24" s="58"/>
      <c r="T24" s="58"/>
      <c r="U24" s="58"/>
      <c r="V24" s="58" t="s">
        <v>197</v>
      </c>
      <c r="W24" s="58" t="s">
        <v>214</v>
      </c>
      <c r="X24"/>
      <c r="Y24"/>
      <c r="Z24"/>
    </row>
    <row r="25" spans="1:26" ht="15" customHeight="1" x14ac:dyDescent="0.25">
      <c r="A25" s="130" t="s">
        <v>16</v>
      </c>
      <c r="B25" s="130"/>
      <c r="C25" s="130"/>
      <c r="D25" s="130"/>
      <c r="E25" s="147" t="s">
        <v>17</v>
      </c>
      <c r="F25" s="147"/>
      <c r="G25" s="147"/>
      <c r="H25" s="147"/>
      <c r="S25" s="58"/>
      <c r="T25" s="58"/>
      <c r="U25" s="58"/>
      <c r="V25" s="58" t="s">
        <v>198</v>
      </c>
      <c r="W25" s="58" t="s">
        <v>215</v>
      </c>
      <c r="X25"/>
      <c r="Y25"/>
      <c r="Z25"/>
    </row>
    <row r="26" spans="1:26" ht="15" customHeight="1" x14ac:dyDescent="0.25">
      <c r="A26" s="123" t="s">
        <v>18</v>
      </c>
      <c r="B26" s="123"/>
      <c r="C26" s="123"/>
      <c r="D26" s="123"/>
      <c r="E26" s="147" t="str">
        <f>IF(AND(G20="Mumbai"),"Upper Class","Middle Class")</f>
        <v>Middle Class</v>
      </c>
      <c r="F26" s="147"/>
      <c r="G26" s="147"/>
      <c r="H26" s="147"/>
      <c r="S26" s="58"/>
      <c r="T26" s="58"/>
      <c r="U26" s="58"/>
      <c r="V26" s="58" t="s">
        <v>199</v>
      </c>
      <c r="W26" s="58" t="s">
        <v>216</v>
      </c>
      <c r="X26"/>
      <c r="Y26"/>
      <c r="Z26"/>
    </row>
    <row r="27" spans="1:26" x14ac:dyDescent="0.25">
      <c r="A27" s="123" t="s">
        <v>19</v>
      </c>
      <c r="B27" s="123"/>
      <c r="C27" s="123"/>
      <c r="D27" s="123"/>
      <c r="E27" s="147" t="s">
        <v>20</v>
      </c>
      <c r="F27" s="147"/>
      <c r="G27" s="147"/>
      <c r="H27" s="147"/>
      <c r="S27" s="58"/>
      <c r="T27" s="58"/>
      <c r="U27" s="58"/>
      <c r="V27" s="58" t="s">
        <v>200</v>
      </c>
      <c r="W27" s="58" t="s">
        <v>217</v>
      </c>
      <c r="X27"/>
      <c r="Y27"/>
      <c r="Z27"/>
    </row>
    <row r="28" spans="1:26" ht="15.75" customHeight="1" x14ac:dyDescent="0.25">
      <c r="A28" s="123" t="s">
        <v>21</v>
      </c>
      <c r="B28" s="123"/>
      <c r="C28" s="123"/>
      <c r="D28" s="123"/>
      <c r="E28" s="147" t="str">
        <f>IF(AND(G20="Mumbai"),"Developed","Developing")</f>
        <v>Developing</v>
      </c>
      <c r="F28" s="147"/>
      <c r="G28" s="147"/>
      <c r="H28" s="147"/>
    </row>
    <row r="29" spans="1:26" x14ac:dyDescent="0.25">
      <c r="A29" s="123" t="s">
        <v>22</v>
      </c>
      <c r="B29" s="123"/>
      <c r="C29" s="123"/>
      <c r="D29" s="123"/>
      <c r="E29" s="147" t="s">
        <v>23</v>
      </c>
      <c r="F29" s="147"/>
      <c r="G29" s="147"/>
      <c r="H29" s="147"/>
    </row>
    <row r="30" spans="1:26" ht="15.75" customHeight="1" x14ac:dyDescent="0.25">
      <c r="A30" s="123" t="s">
        <v>77</v>
      </c>
      <c r="B30" s="123"/>
      <c r="C30" s="123"/>
      <c r="D30" s="123"/>
      <c r="E30" s="147" t="s">
        <v>78</v>
      </c>
      <c r="F30" s="147"/>
      <c r="G30" s="147"/>
      <c r="H30" s="147"/>
    </row>
    <row r="31" spans="1:26" ht="15" customHeight="1" x14ac:dyDescent="0.25">
      <c r="A31" s="123" t="s">
        <v>30</v>
      </c>
      <c r="B31" s="123"/>
      <c r="C31" s="123"/>
      <c r="D31" s="123"/>
      <c r="E31" s="14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47"/>
      <c r="G31" s="147"/>
      <c r="H31" s="147"/>
    </row>
    <row r="32" spans="1:26" ht="15.75" customHeight="1" x14ac:dyDescent="0.25">
      <c r="A32" s="123" t="s">
        <v>88</v>
      </c>
      <c r="B32" s="123"/>
      <c r="C32" s="123"/>
      <c r="D32" s="123"/>
      <c r="E32" s="147" t="s">
        <v>31</v>
      </c>
      <c r="F32" s="147"/>
      <c r="G32" s="147"/>
      <c r="H32" s="147"/>
    </row>
    <row r="33" spans="1:19" s="22" customFormat="1" x14ac:dyDescent="0.25">
      <c r="A33" s="217" t="s">
        <v>89</v>
      </c>
      <c r="B33" s="217"/>
      <c r="C33" s="214" t="s">
        <v>166</v>
      </c>
      <c r="D33" s="215"/>
      <c r="E33" s="216"/>
      <c r="F33" s="214" t="s">
        <v>29</v>
      </c>
      <c r="G33" s="215"/>
      <c r="H33" s="216"/>
      <c r="S33" s="22" t="e">
        <f ca="1">OFFSET($S$13,1,MATCH($G20,$S$13:$W$13,0)-1,15,1)</f>
        <v>#VALUE!</v>
      </c>
    </row>
    <row r="34" spans="1:19" s="22" customFormat="1" x14ac:dyDescent="0.25">
      <c r="A34" s="213" t="s">
        <v>24</v>
      </c>
      <c r="B34" s="213" t="s">
        <v>28</v>
      </c>
      <c r="C34" s="209" t="s">
        <v>311</v>
      </c>
      <c r="D34" s="210"/>
      <c r="E34" s="211"/>
      <c r="F34" s="209" t="s">
        <v>313</v>
      </c>
      <c r="G34" s="210"/>
      <c r="H34" s="211"/>
    </row>
    <row r="35" spans="1:19" x14ac:dyDescent="0.25">
      <c r="A35" s="213" t="s">
        <v>25</v>
      </c>
      <c r="B35" s="213" t="s">
        <v>28</v>
      </c>
      <c r="C35" s="209" t="s">
        <v>312</v>
      </c>
      <c r="D35" s="210"/>
      <c r="E35" s="211"/>
      <c r="F35" s="209" t="s">
        <v>305</v>
      </c>
      <c r="G35" s="210"/>
      <c r="H35" s="211"/>
    </row>
    <row r="36" spans="1:19" s="22" customFormat="1" x14ac:dyDescent="0.25">
      <c r="A36" s="213" t="s">
        <v>27</v>
      </c>
      <c r="B36" s="213" t="s">
        <v>28</v>
      </c>
      <c r="C36" s="209" t="s">
        <v>309</v>
      </c>
      <c r="D36" s="210"/>
      <c r="E36" s="211"/>
      <c r="F36" s="209" t="s">
        <v>313</v>
      </c>
      <c r="G36" s="210"/>
      <c r="H36" s="211"/>
    </row>
    <row r="37" spans="1:19" x14ac:dyDescent="0.25">
      <c r="A37" s="213" t="s">
        <v>26</v>
      </c>
      <c r="B37" s="213" t="s">
        <v>28</v>
      </c>
      <c r="C37" s="209" t="s">
        <v>310</v>
      </c>
      <c r="D37" s="210"/>
      <c r="E37" s="211"/>
      <c r="F37" s="209" t="s">
        <v>306</v>
      </c>
      <c r="G37" s="210"/>
      <c r="H37" s="211"/>
    </row>
    <row r="38" spans="1:19" x14ac:dyDescent="0.25">
      <c r="A38" s="123" t="s">
        <v>273</v>
      </c>
      <c r="B38" s="123"/>
      <c r="C38" s="123"/>
      <c r="D38" s="123"/>
      <c r="E38" s="123"/>
      <c r="F38" s="123"/>
      <c r="G38" s="123"/>
      <c r="H38" s="123"/>
    </row>
    <row r="39" spans="1:19" ht="15.75" customHeight="1" x14ac:dyDescent="0.25">
      <c r="A39" s="123" t="s">
        <v>158</v>
      </c>
      <c r="B39" s="123"/>
      <c r="C39" s="123" t="s">
        <v>302</v>
      </c>
      <c r="D39" s="123"/>
      <c r="E39" s="123"/>
      <c r="F39" s="123"/>
      <c r="G39" s="123"/>
      <c r="H39" s="123"/>
    </row>
    <row r="40" spans="1:19" x14ac:dyDescent="0.25">
      <c r="A40" s="123" t="s">
        <v>154</v>
      </c>
      <c r="B40" s="123"/>
      <c r="C40" s="233" t="s">
        <v>303</v>
      </c>
      <c r="D40" s="234"/>
      <c r="E40" s="234"/>
      <c r="F40" s="234"/>
      <c r="G40" s="234"/>
      <c r="H40" s="235"/>
    </row>
    <row r="41" spans="1:19" x14ac:dyDescent="0.25">
      <c r="A41" s="199" t="s">
        <v>32</v>
      </c>
      <c r="B41" s="199"/>
      <c r="C41" s="199"/>
      <c r="D41" s="199"/>
      <c r="E41" s="199"/>
      <c r="F41" s="199"/>
      <c r="G41" s="199"/>
      <c r="H41" s="199"/>
    </row>
    <row r="42" spans="1:19" x14ac:dyDescent="0.25">
      <c r="A42" s="123" t="s">
        <v>33</v>
      </c>
      <c r="B42" s="123"/>
      <c r="C42" s="123"/>
      <c r="D42" s="123"/>
      <c r="E42" s="221">
        <v>4442.3500000000004</v>
      </c>
      <c r="F42" s="221"/>
      <c r="G42" s="221"/>
      <c r="H42" s="221"/>
    </row>
    <row r="43" spans="1:19" x14ac:dyDescent="0.25">
      <c r="A43" s="123" t="s">
        <v>34</v>
      </c>
      <c r="B43" s="123"/>
      <c r="C43" s="123"/>
      <c r="D43" s="123"/>
      <c r="E43" s="132">
        <f>4886.59/E42</f>
        <v>1.1000011255304061</v>
      </c>
      <c r="F43" s="132"/>
      <c r="G43" s="132"/>
      <c r="H43" s="132"/>
    </row>
    <row r="44" spans="1:19" x14ac:dyDescent="0.25">
      <c r="A44" s="123" t="s">
        <v>35</v>
      </c>
      <c r="B44" s="123"/>
      <c r="C44" s="123"/>
      <c r="D44" s="123"/>
      <c r="E44" s="224">
        <f>E46/E42-E43</f>
        <v>3.0422861773610812</v>
      </c>
      <c r="F44" s="224"/>
      <c r="G44" s="224"/>
      <c r="H44" s="224"/>
    </row>
    <row r="45" spans="1:19" x14ac:dyDescent="0.25">
      <c r="A45" s="123" t="s">
        <v>36</v>
      </c>
      <c r="B45" s="123"/>
      <c r="C45" s="123"/>
      <c r="D45" s="123"/>
      <c r="E45" s="224">
        <f>E43+E44</f>
        <v>4.1422873028914875</v>
      </c>
      <c r="F45" s="224"/>
      <c r="G45" s="224"/>
      <c r="H45" s="224"/>
    </row>
    <row r="46" spans="1:19" x14ac:dyDescent="0.25">
      <c r="A46" s="123" t="s">
        <v>87</v>
      </c>
      <c r="B46" s="123"/>
      <c r="C46" s="123"/>
      <c r="D46" s="123"/>
      <c r="E46" s="132">
        <v>18401.490000000002</v>
      </c>
      <c r="F46" s="132"/>
      <c r="G46" s="132"/>
      <c r="H46" s="132"/>
    </row>
    <row r="47" spans="1:19" x14ac:dyDescent="0.25">
      <c r="A47" s="148" t="s">
        <v>37</v>
      </c>
      <c r="B47" s="148"/>
      <c r="C47" s="148"/>
      <c r="D47" s="148"/>
      <c r="E47" s="148" t="s">
        <v>314</v>
      </c>
      <c r="F47" s="148"/>
      <c r="G47" s="148"/>
      <c r="H47" s="148"/>
    </row>
    <row r="48" spans="1:19" x14ac:dyDescent="0.25">
      <c r="A48" s="199" t="s">
        <v>38</v>
      </c>
      <c r="B48" s="199"/>
      <c r="C48" s="199"/>
      <c r="D48" s="199"/>
      <c r="E48" s="199"/>
      <c r="F48" s="199"/>
      <c r="G48" s="199"/>
      <c r="H48" s="199"/>
    </row>
    <row r="49" spans="1:24" ht="33.75" customHeight="1" x14ac:dyDescent="0.25">
      <c r="A49" s="140" t="s">
        <v>143</v>
      </c>
      <c r="B49" s="141"/>
      <c r="C49" s="240" t="s">
        <v>257</v>
      </c>
      <c r="D49" s="241"/>
      <c r="E49" s="241"/>
      <c r="F49" s="241"/>
      <c r="G49" s="241"/>
      <c r="H49" s="242"/>
      <c r="R49" t="s">
        <v>246</v>
      </c>
      <c r="S49" t="s">
        <v>165</v>
      </c>
      <c r="T49" t="s">
        <v>171</v>
      </c>
      <c r="U49" t="s">
        <v>186</v>
      </c>
      <c r="V49" t="s">
        <v>181</v>
      </c>
    </row>
    <row r="50" spans="1:24" ht="15.75" customHeight="1" x14ac:dyDescent="0.25">
      <c r="A50" s="140" t="s">
        <v>39</v>
      </c>
      <c r="B50" s="141"/>
      <c r="C50" s="140" t="s">
        <v>350</v>
      </c>
      <c r="D50" s="142"/>
      <c r="E50" s="141"/>
      <c r="F50" s="18" t="s">
        <v>40</v>
      </c>
      <c r="G50" s="143">
        <v>45566</v>
      </c>
      <c r="H50" s="144"/>
      <c r="R50"/>
      <c r="S50" t="s">
        <v>247</v>
      </c>
      <c r="T50" t="s">
        <v>252</v>
      </c>
      <c r="U50" t="s">
        <v>263</v>
      </c>
      <c r="V50" t="s">
        <v>268</v>
      </c>
    </row>
    <row r="51" spans="1:24" ht="15.75" customHeight="1" x14ac:dyDescent="0.25">
      <c r="A51" s="140" t="s">
        <v>41</v>
      </c>
      <c r="B51" s="141"/>
      <c r="C51" s="140" t="str">
        <f>C50</f>
        <v>ABNMCB/0054/[P/C]/2024/AutoDCR</v>
      </c>
      <c r="D51" s="142"/>
      <c r="E51" s="141"/>
      <c r="F51" s="18" t="s">
        <v>40</v>
      </c>
      <c r="G51" s="145">
        <f>G50</f>
        <v>45566</v>
      </c>
      <c r="H51" s="141"/>
      <c r="R51"/>
      <c r="S51" t="s">
        <v>248</v>
      </c>
      <c r="T51" t="s">
        <v>253</v>
      </c>
      <c r="U51" t="s">
        <v>261</v>
      </c>
      <c r="V51" t="s">
        <v>269</v>
      </c>
    </row>
    <row r="52" spans="1:24" s="23" customFormat="1" ht="15.75" customHeight="1" x14ac:dyDescent="0.25">
      <c r="A52" s="159" t="s">
        <v>147</v>
      </c>
      <c r="B52" s="160"/>
      <c r="C52" s="140" t="str">
        <f>C51</f>
        <v>ABNMCB/0054/[P/C]/2024/AutoDCR</v>
      </c>
      <c r="D52" s="142"/>
      <c r="E52" s="141"/>
      <c r="F52" s="18" t="s">
        <v>40</v>
      </c>
      <c r="G52" s="145">
        <f>G51</f>
        <v>45566</v>
      </c>
      <c r="H52" s="141"/>
      <c r="R52"/>
      <c r="S52" t="s">
        <v>249</v>
      </c>
      <c r="T52" t="s">
        <v>254</v>
      </c>
      <c r="U52" t="s">
        <v>251</v>
      </c>
      <c r="V52" t="s">
        <v>270</v>
      </c>
    </row>
    <row r="53" spans="1:24" s="23" customFormat="1" ht="33.75" customHeight="1" x14ac:dyDescent="0.25">
      <c r="A53" s="161"/>
      <c r="B53" s="162"/>
      <c r="C53" s="140" t="s">
        <v>352</v>
      </c>
      <c r="D53" s="142"/>
      <c r="E53" s="142"/>
      <c r="F53" s="142"/>
      <c r="G53" s="142"/>
      <c r="H53" s="141"/>
      <c r="I53" s="23" t="s">
        <v>349</v>
      </c>
      <c r="R53"/>
      <c r="S53" t="s">
        <v>250</v>
      </c>
      <c r="T53" t="s">
        <v>257</v>
      </c>
      <c r="U53" t="s">
        <v>264</v>
      </c>
    </row>
    <row r="54" spans="1:24" s="23" customFormat="1" x14ac:dyDescent="0.25">
      <c r="A54" s="151" t="s">
        <v>274</v>
      </c>
      <c r="B54" s="152"/>
      <c r="C54" s="140" t="s">
        <v>315</v>
      </c>
      <c r="D54" s="142"/>
      <c r="E54" s="141"/>
      <c r="F54" s="18" t="s">
        <v>40</v>
      </c>
      <c r="G54" s="145">
        <v>44582</v>
      </c>
      <c r="H54" s="141"/>
      <c r="R54"/>
      <c r="S54" t="s">
        <v>249</v>
      </c>
      <c r="T54" t="s">
        <v>254</v>
      </c>
      <c r="U54" t="s">
        <v>251</v>
      </c>
      <c r="V54" t="s">
        <v>270</v>
      </c>
    </row>
    <row r="55" spans="1:24" s="23" customFormat="1" ht="32.25" customHeight="1" x14ac:dyDescent="0.25">
      <c r="A55" s="153"/>
      <c r="B55" s="154"/>
      <c r="C55" s="237" t="s">
        <v>332</v>
      </c>
      <c r="D55" s="238"/>
      <c r="E55" s="238"/>
      <c r="F55" s="238"/>
      <c r="G55" s="238"/>
      <c r="H55" s="239"/>
      <c r="R55"/>
      <c r="S55" t="s">
        <v>251</v>
      </c>
      <c r="T55" t="s">
        <v>255</v>
      </c>
      <c r="U55" t="s">
        <v>265</v>
      </c>
      <c r="V55" s="21"/>
      <c r="W55" s="21"/>
      <c r="X55" s="21"/>
    </row>
    <row r="56" spans="1:24" s="23" customFormat="1" ht="34.5" hidden="1" customHeight="1" x14ac:dyDescent="0.25">
      <c r="A56" s="155" t="s">
        <v>275</v>
      </c>
      <c r="B56" s="156"/>
      <c r="C56" s="140" t="str">
        <f>C55</f>
        <v>Wing R1 = Stilt + 11th Floors (Height 34.20 mtr)
Wing R2 = Stilt/Gr(Pt) + 11th Floors (Height 34.20 mtr)</v>
      </c>
      <c r="D56" s="142"/>
      <c r="E56" s="141"/>
      <c r="F56" s="18" t="s">
        <v>40</v>
      </c>
      <c r="G56" s="140">
        <f>G55</f>
        <v>0</v>
      </c>
      <c r="H56" s="141"/>
      <c r="R56"/>
      <c r="S56" s="21"/>
      <c r="T56" t="s">
        <v>256</v>
      </c>
      <c r="U56" t="s">
        <v>266</v>
      </c>
      <c r="V56" s="21"/>
      <c r="W56" s="21"/>
      <c r="X56" s="21"/>
    </row>
    <row r="57" spans="1:24" s="23" customFormat="1" ht="41.25" hidden="1" customHeight="1" x14ac:dyDescent="0.25">
      <c r="A57" s="157"/>
      <c r="B57" s="158"/>
      <c r="C57" s="140"/>
      <c r="D57" s="142"/>
      <c r="E57" s="142"/>
      <c r="F57" s="142"/>
      <c r="G57" s="142"/>
      <c r="H57" s="141"/>
      <c r="R57"/>
      <c r="S57" s="21"/>
      <c r="T57" t="s">
        <v>258</v>
      </c>
      <c r="U57" t="s">
        <v>267</v>
      </c>
      <c r="V57" s="21"/>
      <c r="W57" s="21"/>
      <c r="X57" s="21"/>
    </row>
    <row r="58" spans="1:24" s="23" customFormat="1" ht="15.75" hidden="1" customHeight="1" x14ac:dyDescent="0.25">
      <c r="A58" s="155" t="s">
        <v>276</v>
      </c>
      <c r="B58" s="156"/>
      <c r="C58" s="140">
        <f>C57</f>
        <v>0</v>
      </c>
      <c r="D58" s="142"/>
      <c r="E58" s="141"/>
      <c r="F58" s="18" t="s">
        <v>40</v>
      </c>
      <c r="G58" s="140">
        <f>G57</f>
        <v>0</v>
      </c>
      <c r="H58" s="141"/>
      <c r="R58"/>
      <c r="S58" s="21"/>
      <c r="T58" t="s">
        <v>259</v>
      </c>
      <c r="U58" s="21" t="s">
        <v>290</v>
      </c>
      <c r="V58" s="21"/>
      <c r="W58" s="21"/>
      <c r="X58" s="21"/>
    </row>
    <row r="59" spans="1:24" s="23" customFormat="1" ht="33.75" hidden="1" customHeight="1" x14ac:dyDescent="0.25">
      <c r="A59" s="157"/>
      <c r="B59" s="158"/>
      <c r="C59" s="140"/>
      <c r="D59" s="142"/>
      <c r="E59" s="142"/>
      <c r="F59" s="142"/>
      <c r="G59" s="142"/>
      <c r="H59" s="141"/>
      <c r="R59"/>
      <c r="S59" s="21"/>
      <c r="T59" t="s">
        <v>260</v>
      </c>
      <c r="U59" s="21"/>
      <c r="V59" s="21"/>
      <c r="W59" s="21"/>
      <c r="X59" s="21"/>
    </row>
    <row r="60" spans="1:24" x14ac:dyDescent="0.25">
      <c r="A60" s="124" t="s">
        <v>42</v>
      </c>
      <c r="B60" s="125"/>
      <c r="C60" s="124" t="s">
        <v>97</v>
      </c>
      <c r="D60" s="126"/>
      <c r="E60" s="125"/>
      <c r="F60" s="45" t="s">
        <v>40</v>
      </c>
      <c r="G60" s="149" t="s">
        <v>28</v>
      </c>
      <c r="H60" s="150"/>
      <c r="R60"/>
      <c r="T60" t="s">
        <v>262</v>
      </c>
    </row>
    <row r="61" spans="1:24" x14ac:dyDescent="0.25">
      <c r="A61" s="146" t="s">
        <v>44</v>
      </c>
      <c r="B61" s="146"/>
      <c r="C61" s="146"/>
      <c r="D61" s="146"/>
      <c r="E61" s="146"/>
      <c r="F61" s="146"/>
      <c r="G61" s="146"/>
      <c r="H61" s="146"/>
      <c r="T61" t="s">
        <v>271</v>
      </c>
    </row>
    <row r="62" spans="1:24" ht="30.75" customHeight="1" x14ac:dyDescent="0.25">
      <c r="A62" s="130" t="s">
        <v>353</v>
      </c>
      <c r="B62" s="130"/>
      <c r="C62" s="130"/>
      <c r="D62" s="123">
        <f>7894.31+7043.07</f>
        <v>14937.380000000001</v>
      </c>
      <c r="E62" s="123"/>
      <c r="F62" s="123"/>
      <c r="G62" s="123"/>
      <c r="H62" s="123"/>
      <c r="R62"/>
    </row>
    <row r="63" spans="1:24" x14ac:dyDescent="0.25">
      <c r="A63" s="147" t="s">
        <v>45</v>
      </c>
      <c r="B63" s="148"/>
      <c r="C63" s="148"/>
      <c r="D63" s="148" t="s">
        <v>347</v>
      </c>
      <c r="E63" s="148"/>
      <c r="F63" s="148"/>
      <c r="G63" s="148"/>
      <c r="H63" s="148"/>
      <c r="I63" s="24"/>
      <c r="R63"/>
    </row>
    <row r="64" spans="1:24" ht="33" customHeight="1" x14ac:dyDescent="0.25">
      <c r="A64" s="151" t="s">
        <v>46</v>
      </c>
      <c r="B64" s="163"/>
      <c r="C64" s="152"/>
      <c r="D64" s="203" t="s">
        <v>348</v>
      </c>
      <c r="E64" s="230"/>
      <c r="F64" s="230"/>
      <c r="G64" s="230"/>
      <c r="H64" s="230"/>
      <c r="R64"/>
    </row>
    <row r="65" spans="1:19" ht="15.75" customHeight="1" x14ac:dyDescent="0.25">
      <c r="A65" s="151" t="s">
        <v>85</v>
      </c>
      <c r="B65" s="163"/>
      <c r="C65" s="163"/>
      <c r="D65" s="166" t="s">
        <v>334</v>
      </c>
      <c r="E65" s="167"/>
      <c r="F65" s="167"/>
      <c r="G65" s="167"/>
      <c r="H65" s="168"/>
      <c r="I65" s="250" t="s">
        <v>333</v>
      </c>
      <c r="R65"/>
    </row>
    <row r="66" spans="1:19" ht="15.75" customHeight="1" x14ac:dyDescent="0.25">
      <c r="A66" s="164"/>
      <c r="B66" s="165"/>
      <c r="C66" s="165"/>
      <c r="D66" s="169" t="s">
        <v>335</v>
      </c>
      <c r="E66" s="170"/>
      <c r="F66" s="170"/>
      <c r="G66" s="170"/>
      <c r="H66" s="171"/>
      <c r="I66" s="250"/>
      <c r="R66"/>
    </row>
    <row r="67" spans="1:19" ht="15.75" customHeight="1" x14ac:dyDescent="0.25">
      <c r="A67" s="123" t="s">
        <v>43</v>
      </c>
      <c r="B67" s="123"/>
      <c r="C67" s="123"/>
      <c r="D67" s="222" t="s">
        <v>316</v>
      </c>
      <c r="E67" s="222"/>
      <c r="F67" s="222"/>
      <c r="G67" s="222"/>
      <c r="H67" s="222"/>
      <c r="J67" s="25"/>
      <c r="K67" s="24"/>
      <c r="N67" s="24"/>
      <c r="S67"/>
    </row>
    <row r="68" spans="1:19" ht="15.75" customHeight="1" x14ac:dyDescent="0.25">
      <c r="A68" s="123" t="s">
        <v>83</v>
      </c>
      <c r="B68" s="123"/>
      <c r="C68" s="123"/>
      <c r="D68" s="223" t="str">
        <f>(IF(G60="NA","60 Years After Completion",IF(G60&lt;&gt;"NA",""&amp;60-ROUNDDOWN((E3-G60)/360,0)&amp;" Years"," ")))</f>
        <v>60 Years After Completion</v>
      </c>
      <c r="E68" s="223"/>
      <c r="F68" s="223"/>
      <c r="G68" s="223"/>
      <c r="H68" s="223"/>
      <c r="N68" s="24"/>
      <c r="S68"/>
    </row>
    <row r="69" spans="1:19" ht="15.75" customHeight="1" x14ac:dyDescent="0.25">
      <c r="A69" s="123" t="s">
        <v>84</v>
      </c>
      <c r="B69" s="123"/>
      <c r="C69" s="123"/>
      <c r="D69" s="130" t="s">
        <v>23</v>
      </c>
      <c r="E69" s="130"/>
      <c r="F69" s="130"/>
      <c r="G69" s="130"/>
      <c r="H69" s="130"/>
      <c r="J69" s="73" t="s">
        <v>320</v>
      </c>
      <c r="K69" s="26"/>
      <c r="S69"/>
    </row>
    <row r="70" spans="1:19" ht="33.75" customHeight="1" x14ac:dyDescent="0.25">
      <c r="A70" s="148" t="s">
        <v>317</v>
      </c>
      <c r="B70" s="148"/>
      <c r="C70" s="148"/>
      <c r="D70" s="147" t="s">
        <v>318</v>
      </c>
      <c r="E70" s="130"/>
      <c r="F70" s="130"/>
      <c r="G70" s="130"/>
      <c r="H70" s="130"/>
      <c r="J70" s="72" t="s">
        <v>319</v>
      </c>
      <c r="S70"/>
    </row>
    <row r="71" spans="1:19" x14ac:dyDescent="0.25">
      <c r="A71" s="130" t="s">
        <v>140</v>
      </c>
      <c r="B71" s="130"/>
      <c r="C71" s="130"/>
      <c r="D71" s="130" t="s">
        <v>28</v>
      </c>
      <c r="E71" s="130"/>
      <c r="F71" s="130"/>
      <c r="G71" s="130"/>
      <c r="H71" s="130"/>
      <c r="I71" s="27"/>
      <c r="J71" s="27"/>
      <c r="K71" s="27"/>
      <c r="L71" s="27"/>
      <c r="M71" s="27"/>
      <c r="N71" s="27"/>
    </row>
    <row r="72" spans="1:19" ht="15.75" customHeight="1" x14ac:dyDescent="0.25">
      <c r="A72" s="131" t="s">
        <v>82</v>
      </c>
      <c r="B72" s="131"/>
      <c r="C72" s="131"/>
      <c r="D72" s="203" t="str">
        <f ca="1">(IF(G92&gt;95%,"Nothing",IF(G92&gt;0%,"Cement, Aggregate, Steel, etc",IF(G92=0%,"Work not yet Started"))))</f>
        <v>Cement, Aggregate, Steel, etc</v>
      </c>
      <c r="E72" s="203"/>
      <c r="F72" s="203"/>
      <c r="G72" s="203"/>
      <c r="H72" s="203"/>
      <c r="J72" s="26"/>
      <c r="S72"/>
    </row>
    <row r="73" spans="1:19" ht="33.75" customHeight="1" thickBot="1" x14ac:dyDescent="0.3">
      <c r="A73" s="202" t="s">
        <v>110</v>
      </c>
      <c r="B73" s="202"/>
      <c r="C73" s="202"/>
      <c r="D73" s="203" t="str">
        <f ca="1">(IF(D72="Nothing","Yes",IF(D72="Cement, Aggregate, Steel, etc","Under Construction",IF(D72="Work not yet Started","Work not yet Started"))))</f>
        <v>Under Construction</v>
      </c>
      <c r="E73" s="203"/>
      <c r="F73" s="203" t="str">
        <f ca="1">(IF(D72="Nothing","Yes",IF(D72="Cement, Aggregate, Steel, etc","Under Construction",IF(D72="Work not yet Started","Work not yet Started"))))</f>
        <v>Under Construction</v>
      </c>
      <c r="G73" s="203"/>
      <c r="H73" s="203"/>
      <c r="S73"/>
    </row>
    <row r="74" spans="1:19" ht="15.75" customHeight="1" x14ac:dyDescent="0.25">
      <c r="A74" s="133" t="s">
        <v>132</v>
      </c>
      <c r="B74" s="134"/>
      <c r="C74" s="135" t="str">
        <f>D65</f>
        <v>Wing R1  = Gr + 1st to 14th Floor</v>
      </c>
      <c r="D74" s="136"/>
      <c r="E74" s="136"/>
      <c r="F74" s="136"/>
      <c r="G74" s="136"/>
      <c r="H74" s="137"/>
      <c r="I74" s="49" t="str">
        <f ca="1">IF(D87=100%,"All work Completed. Possession granted to the Building.",IF(D86=100%,"All work Completed, Waiting for OC",I75&amp;""&amp;I76&amp;""&amp;J75&amp;""&amp;J74&amp;" "&amp;J76))</f>
        <v>Excavation, Plinth Completed, RCC upto 9 Slab, Brickwork upto 6 Floor Completed</v>
      </c>
      <c r="J74" s="50"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9 Slab, Brickwork upto 6 Floor</v>
      </c>
      <c r="S74"/>
    </row>
    <row r="75" spans="1:19" x14ac:dyDescent="0.25">
      <c r="A75" s="16" t="s">
        <v>134</v>
      </c>
      <c r="B75" s="53">
        <f>IF(AND(ISNUMBER(SEARCH("1B",C74))),1,IF(AND(ISNUMBER(SEARCH("2B",C74))),2,IF(AND(ISNUMBER(SEARCH("3B",C74))),3,IF(AND(ISNUMBER(SEARCH("4B",C74))),4,IF(ISNUMBER(SEARCH("5B",C74)),5,0)))))</f>
        <v>0</v>
      </c>
      <c r="C75" s="47" t="s">
        <v>68</v>
      </c>
      <c r="D75" s="47">
        <v>1</v>
      </c>
      <c r="E75" s="47" t="s">
        <v>67</v>
      </c>
      <c r="F75" s="54">
        <v>0</v>
      </c>
      <c r="G75" s="48" t="s">
        <v>76</v>
      </c>
      <c r="H75" s="17">
        <f ca="1">--TRIM(RIGHT(SUBSTITUTE(LEFT(C74,_xlfn.AGGREGATE(16,6,FIND({0,1,2,3,4,5,6,7,8,9},C74,ROW(INDIRECT("1:"&amp;LEN(C74)))),1))," ",REPT(" ",LEN(C74))),LEN(C74)))</f>
        <v>14</v>
      </c>
      <c r="I75" s="51" t="str">
        <f ca="1">IF(D78=100%,"Excavation","")&amp;IF(D79=100%,", Plinth","")&amp;IF(D80=100%,", RCC Slab","")&amp;IF(D81=100%,", Brickwork","")&amp;IF(D82=100%,", Internal Plaster","")&amp;IF(D83=100%,", External Plaster","")&amp;IF(D84=100%,", Flooring","")&amp;IF(D85=100%,", Painting","")&amp;IF(D86=100%,", Building common Amenities","")</f>
        <v>Excavation, Plinth</v>
      </c>
      <c r="J75" s="52"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x14ac:dyDescent="0.25">
      <c r="A76" s="225" t="s">
        <v>86</v>
      </c>
      <c r="B76" s="206"/>
      <c r="C76" s="231" t="str">
        <f ca="1">I74</f>
        <v>Excavation, Plinth Completed, RCC upto 9 Slab, Brickwork upto 6 Floor Completed</v>
      </c>
      <c r="D76" s="231"/>
      <c r="E76" s="231"/>
      <c r="F76" s="231"/>
      <c r="G76" s="231"/>
      <c r="H76" s="232"/>
      <c r="I76" s="51" t="str">
        <f ca="1">IF(I75&lt;&gt;""," Completed","")</f>
        <v xml:space="preserve"> Completed</v>
      </c>
      <c r="J76" s="52" t="str">
        <f ca="1">IF(J74&lt;&gt;"","Completed","")</f>
        <v>Completed</v>
      </c>
      <c r="S76"/>
    </row>
    <row r="77" spans="1:19" ht="15.75" customHeight="1" x14ac:dyDescent="0.25">
      <c r="A77" s="138" t="s">
        <v>47</v>
      </c>
      <c r="B77" s="139"/>
      <c r="C77" s="43" t="s">
        <v>131</v>
      </c>
      <c r="D77" s="43" t="s">
        <v>79</v>
      </c>
      <c r="E77" s="139" t="s">
        <v>81</v>
      </c>
      <c r="F77" s="139"/>
      <c r="G77" s="139" t="s">
        <v>80</v>
      </c>
      <c r="H77" s="189"/>
      <c r="I77" s="13" t="s">
        <v>133</v>
      </c>
      <c r="J77" s="28">
        <f ca="1">H75*25%</f>
        <v>3.5</v>
      </c>
      <c r="S77"/>
    </row>
    <row r="78" spans="1:19" x14ac:dyDescent="0.25">
      <c r="A78" s="138" t="s">
        <v>120</v>
      </c>
      <c r="B78" s="139"/>
      <c r="C78" s="43">
        <f ca="1">J79</f>
        <v>14</v>
      </c>
      <c r="D78" s="19">
        <f ca="1">((100/H75)*C78)/100</f>
        <v>1</v>
      </c>
      <c r="E78" s="190">
        <f ca="1">(((C79/H75*10)+(40/(D75+F75+H75)*C80)+(7.5/(H75)*C81)+(7.5/(H75)*C82)+(10/H75*C83)+(10/H75*C84)+(5/H75*C85)+(5/H75*C86)+(5/H75*C87))/100)</f>
        <v>0.37214285714285716</v>
      </c>
      <c r="F78" s="191"/>
      <c r="G78" s="190">
        <f ca="1">((((C78/H75)*20)+((C79/H75)*25)+(30/(H75+F75+D75)*C80)+(5/H75*C81)+(5/H75*C82)+(5/H75*C83)+(5/H75*C84)+(0/H75*C85)+(0/H75*C86)+(5/H75*C87))/100)</f>
        <v>0.65142857142857136</v>
      </c>
      <c r="H78" s="218"/>
      <c r="I78" s="13" t="s">
        <v>92</v>
      </c>
      <c r="J78" s="29">
        <f ca="1">H75*50%</f>
        <v>7</v>
      </c>
    </row>
    <row r="79" spans="1:19" x14ac:dyDescent="0.25">
      <c r="A79" s="138" t="s">
        <v>48</v>
      </c>
      <c r="B79" s="139"/>
      <c r="C79" s="55">
        <f ca="1">J87</f>
        <v>14</v>
      </c>
      <c r="D79" s="19">
        <f ca="1">((100/H75)*C79)/100</f>
        <v>1</v>
      </c>
      <c r="E79" s="192"/>
      <c r="F79" s="193"/>
      <c r="G79" s="192"/>
      <c r="H79" s="219"/>
      <c r="I79" s="13" t="s">
        <v>93</v>
      </c>
      <c r="J79" s="29">
        <f ca="1">H75</f>
        <v>14</v>
      </c>
      <c r="S79"/>
    </row>
    <row r="80" spans="1:19" ht="15.75" customHeight="1" x14ac:dyDescent="0.25">
      <c r="A80" s="138" t="s">
        <v>121</v>
      </c>
      <c r="B80" s="139"/>
      <c r="C80" s="43">
        <v>9</v>
      </c>
      <c r="D80" s="19">
        <f ca="1">((100/(D75+F75+H75))*C80)/100</f>
        <v>0.6</v>
      </c>
      <c r="E80" s="192"/>
      <c r="F80" s="193"/>
      <c r="G80" s="192"/>
      <c r="H80" s="219"/>
      <c r="I80" s="13" t="s">
        <v>94</v>
      </c>
      <c r="J80" s="30">
        <f ca="1">(IF(B75&gt;1,(H75/(B75+2)),H75/4))</f>
        <v>3.5</v>
      </c>
      <c r="S80"/>
    </row>
    <row r="81" spans="1:10" ht="15.75" customHeight="1" x14ac:dyDescent="0.25">
      <c r="A81" s="138" t="s">
        <v>128</v>
      </c>
      <c r="B81" s="139" t="s">
        <v>122</v>
      </c>
      <c r="C81" s="43">
        <v>6</v>
      </c>
      <c r="D81" s="19">
        <f ca="1">((100/H75)*C81)/100</f>
        <v>0.4285714285714286</v>
      </c>
      <c r="E81" s="192"/>
      <c r="F81" s="193"/>
      <c r="G81" s="192"/>
      <c r="H81" s="219"/>
      <c r="I81" s="13" t="s">
        <v>95</v>
      </c>
      <c r="J81" s="30">
        <f ca="1">(IF(B75&gt;1,(H75/(B75+2)+J80),H75/4+J80))</f>
        <v>7</v>
      </c>
    </row>
    <row r="82" spans="1:10" ht="15.75" customHeight="1" x14ac:dyDescent="0.25">
      <c r="A82" s="138" t="s">
        <v>129</v>
      </c>
      <c r="B82" s="139" t="s">
        <v>122</v>
      </c>
      <c r="C82" s="43">
        <v>0</v>
      </c>
      <c r="D82" s="19">
        <f ca="1">((100/H75)*C82)/100</f>
        <v>0</v>
      </c>
      <c r="E82" s="192"/>
      <c r="F82" s="193"/>
      <c r="G82" s="192"/>
      <c r="H82" s="219"/>
      <c r="I82" s="13" t="s">
        <v>138</v>
      </c>
      <c r="J82" s="30">
        <f>(IF(B75&gt;1,(H75/(B75+2)+J81),0))</f>
        <v>0</v>
      </c>
    </row>
    <row r="83" spans="1:10" ht="15" customHeight="1" x14ac:dyDescent="0.25">
      <c r="A83" s="138" t="s">
        <v>127</v>
      </c>
      <c r="B83" s="139" t="s">
        <v>124</v>
      </c>
      <c r="C83" s="43">
        <v>0</v>
      </c>
      <c r="D83" s="19">
        <f ca="1">((100/(H75))*C83)/100</f>
        <v>0</v>
      </c>
      <c r="E83" s="192"/>
      <c r="F83" s="193"/>
      <c r="G83" s="192"/>
      <c r="H83" s="219"/>
      <c r="I83" s="13" t="s">
        <v>135</v>
      </c>
      <c r="J83" s="30">
        <f>(IF(B75&gt;2,(H75/(B75+2)+J82),0))</f>
        <v>0</v>
      </c>
    </row>
    <row r="84" spans="1:10" ht="15.75" customHeight="1" x14ac:dyDescent="0.25">
      <c r="A84" s="138" t="s">
        <v>123</v>
      </c>
      <c r="B84" s="139" t="s">
        <v>123</v>
      </c>
      <c r="C84" s="43">
        <v>0</v>
      </c>
      <c r="D84" s="19">
        <f ca="1">((100/H75)*C84)/100</f>
        <v>0</v>
      </c>
      <c r="E84" s="192"/>
      <c r="F84" s="193"/>
      <c r="G84" s="192"/>
      <c r="H84" s="219"/>
      <c r="I84" s="13" t="s">
        <v>136</v>
      </c>
      <c r="J84" s="31">
        <f>(IF(B75&gt;3,(H75/(B75+2)+J83),0))</f>
        <v>0</v>
      </c>
    </row>
    <row r="85" spans="1:10" ht="15.75" customHeight="1" x14ac:dyDescent="0.25">
      <c r="A85" s="138" t="s">
        <v>130</v>
      </c>
      <c r="B85" s="139"/>
      <c r="C85" s="43">
        <v>0</v>
      </c>
      <c r="D85" s="19">
        <f ca="1">((100/H75)*C85)/100</f>
        <v>0</v>
      </c>
      <c r="E85" s="192"/>
      <c r="F85" s="193"/>
      <c r="G85" s="192"/>
      <c r="H85" s="219"/>
      <c r="I85" s="13" t="s">
        <v>137</v>
      </c>
      <c r="J85" s="30">
        <f>(IF(B75&gt;4,(H75/(B75+2)+J84),0))</f>
        <v>0</v>
      </c>
    </row>
    <row r="86" spans="1:10" ht="15.75" customHeight="1" x14ac:dyDescent="0.25">
      <c r="A86" s="138" t="s">
        <v>125</v>
      </c>
      <c r="B86" s="139" t="s">
        <v>125</v>
      </c>
      <c r="C86" s="43">
        <v>0</v>
      </c>
      <c r="D86" s="19">
        <f ca="1">((100/(H75))*C86)/100</f>
        <v>0</v>
      </c>
      <c r="E86" s="192"/>
      <c r="F86" s="193"/>
      <c r="G86" s="192"/>
      <c r="H86" s="219"/>
      <c r="I86" s="13" t="s">
        <v>139</v>
      </c>
      <c r="J86" s="30">
        <f ca="1">(IF(B75=1,(H75/(B75+3)+J81),IF(B75=0,(H75/4+J81),IF(B75&gt;1,0))))</f>
        <v>10.5</v>
      </c>
    </row>
    <row r="87" spans="1:10" ht="16.5" thickBot="1" x14ac:dyDescent="0.3">
      <c r="A87" s="174" t="s">
        <v>126</v>
      </c>
      <c r="B87" s="175"/>
      <c r="C87" s="44">
        <v>0</v>
      </c>
      <c r="D87" s="20">
        <f ca="1">((100/(H75))*C87)/100</f>
        <v>0</v>
      </c>
      <c r="E87" s="194"/>
      <c r="F87" s="195"/>
      <c r="G87" s="194"/>
      <c r="H87" s="220"/>
      <c r="I87" s="15" t="s">
        <v>96</v>
      </c>
      <c r="J87" s="32">
        <f ca="1">(IF(B75&gt;1.5,(H75/(B75+2)+J81+MAX(0,J82-J81)+MAX(0,J83-J82)+MAX(0,J84-J83)+MAX(0,J85-J84)+MAX(0,J86-J85)),IF(B75=1,(H75/(B75+3)+J86),IF(B75=0,H75/4+J86))))</f>
        <v>14</v>
      </c>
    </row>
    <row r="88" spans="1:10" ht="15.75" customHeight="1" x14ac:dyDescent="0.25">
      <c r="A88" s="133" t="s">
        <v>132</v>
      </c>
      <c r="B88" s="134"/>
      <c r="C88" s="135" t="str">
        <f>D66</f>
        <v>Wing R2 = Gr + 1st to 14th Floor</v>
      </c>
      <c r="D88" s="136"/>
      <c r="E88" s="136"/>
      <c r="F88" s="136"/>
      <c r="G88" s="136"/>
      <c r="H88" s="137"/>
      <c r="I88" s="49" t="str">
        <f ca="1">IF(D101=100%,"All work Completed. Possession granted to the Building.",IF(D100=100%,"All work Completed, Waiting for OC",I89&amp;""&amp;I90&amp;""&amp;J89&amp;""&amp;J88&amp;" "&amp;J90))</f>
        <v>Excavation, Plinth, RCC Slab, Brickwork Completed, Internal Plaster upto 13 Floor, External Plaster upto 11 Floor Completed</v>
      </c>
      <c r="J88" s="50"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Internal Plaster upto 13 Floor, External Plaster upto 11 Floor</v>
      </c>
    </row>
    <row r="89" spans="1:10" x14ac:dyDescent="0.25">
      <c r="A89" s="16" t="s">
        <v>134</v>
      </c>
      <c r="B89" s="54">
        <f>IF(AND(ISNUMBER(SEARCH("1B",C88))),1,IF(AND(ISNUMBER(SEARCH("2B",C88))),2,IF(AND(ISNUMBER(SEARCH("3B",C88))),3,IF(AND(ISNUMBER(SEARCH("4B",C88))),4,IF(ISNUMBER(SEARCH("5B",C88)),5,0)))))</f>
        <v>0</v>
      </c>
      <c r="C89" s="47" t="s">
        <v>68</v>
      </c>
      <c r="D89" s="47">
        <v>1</v>
      </c>
      <c r="E89" s="47" t="s">
        <v>67</v>
      </c>
      <c r="F89" s="54">
        <v>0</v>
      </c>
      <c r="G89" s="48" t="s">
        <v>76</v>
      </c>
      <c r="H89" s="17">
        <f ca="1">--TRIM(RIGHT(SUBSTITUTE(LEFT(C88,_xlfn.AGGREGATE(16,6,FIND({0,1,2,3,4,5,6,7,8,9},C88,ROW(INDIRECT("1:"&amp;LEN(C88)))),1))," ",REPT(" ",LEN(C88))),LEN(C88)))</f>
        <v>14</v>
      </c>
      <c r="I89" s="51" t="str">
        <f ca="1">IF(D92=100%,"Excavation","")&amp;IF(D93=100%,", Plinth","")&amp;IF(D94=100%,", RCC Slab","")&amp;IF(D95=100%,", Brickwork","")&amp;IF(D96=100%,", Internal Plaster","")&amp;IF(D97=100%,", External Plaster","")&amp;IF(D98=100%,", Flooring","")&amp;IF(D99=100%,", Painting","")&amp;IF(D100=100%,", Building common Amenities","")</f>
        <v>Excavation, Plinth, RCC Slab, Brickwork</v>
      </c>
      <c r="J89" s="52"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row>
    <row r="90" spans="1:10" ht="36" customHeight="1" x14ac:dyDescent="0.25">
      <c r="A90" s="225" t="s">
        <v>86</v>
      </c>
      <c r="B90" s="206"/>
      <c r="C90" s="231" t="str">
        <f ca="1">(IF($G$60="NA",I88,"All work Completed. OC Received."))</f>
        <v>Excavation, Plinth, RCC Slab, Brickwork Completed, Internal Plaster upto 13 Floor, External Plaster upto 11 Floor Completed</v>
      </c>
      <c r="D90" s="231"/>
      <c r="E90" s="231"/>
      <c r="F90" s="231"/>
      <c r="G90" s="231"/>
      <c r="H90" s="232"/>
      <c r="I90" s="51" t="str">
        <f ca="1">IF(I89&lt;&gt;""," Completed","")</f>
        <v xml:space="preserve"> Completed</v>
      </c>
      <c r="J90" s="52" t="str">
        <f ca="1">IF(J88&lt;&gt;"","Completed","")</f>
        <v>Completed</v>
      </c>
    </row>
    <row r="91" spans="1:10" ht="15.75" customHeight="1" x14ac:dyDescent="0.25">
      <c r="A91" s="138" t="s">
        <v>47</v>
      </c>
      <c r="B91" s="139"/>
      <c r="C91" s="43" t="s">
        <v>131</v>
      </c>
      <c r="D91" s="43" t="s">
        <v>79</v>
      </c>
      <c r="E91" s="139" t="s">
        <v>81</v>
      </c>
      <c r="F91" s="139"/>
      <c r="G91" s="139" t="s">
        <v>80</v>
      </c>
      <c r="H91" s="189"/>
      <c r="I91" s="13" t="s">
        <v>133</v>
      </c>
      <c r="J91" s="28">
        <f ca="1">H89*25%</f>
        <v>3.5</v>
      </c>
    </row>
    <row r="92" spans="1:10" x14ac:dyDescent="0.25">
      <c r="A92" s="138" t="s">
        <v>120</v>
      </c>
      <c r="B92" s="139"/>
      <c r="C92" s="43">
        <f ca="1">J93</f>
        <v>14</v>
      </c>
      <c r="D92" s="19">
        <f ca="1">((100/H89)*C92)/100</f>
        <v>1</v>
      </c>
      <c r="E92" s="190">
        <f ca="1">(((C93/H89*10)+(40/(D89+F89+H89)*C94)+(7.5/(H89)*C95)+(7.5/(H89)*C96)+(10/H89*C97)+(10/H89*C98)+(5/H89*C99)+(5/H89*C100)+(5/H89*C101))/100)</f>
        <v>0.7232142857142857</v>
      </c>
      <c r="F92" s="191"/>
      <c r="G92" s="190">
        <f ca="1">((((C92/H89)*20)+((C93/H89)*25)+(30/(H89+F89+D89)*C94)+(5/H89*C95)+(5/H89*C96)+(5/H89*C97)+(5/H89*C98)+(0/H89*C99)+(0/H89*C100)+(5/H89*C101))/100)</f>
        <v>0.88571428571428568</v>
      </c>
      <c r="H92" s="218"/>
      <c r="I92" s="13" t="s">
        <v>92</v>
      </c>
      <c r="J92" s="29">
        <f ca="1">H89*50%</f>
        <v>7</v>
      </c>
    </row>
    <row r="93" spans="1:10" x14ac:dyDescent="0.25">
      <c r="A93" s="138" t="s">
        <v>48</v>
      </c>
      <c r="B93" s="139"/>
      <c r="C93" s="55">
        <f ca="1">J101</f>
        <v>14</v>
      </c>
      <c r="D93" s="19">
        <f ca="1">((100/H89)*C93)/100</f>
        <v>1</v>
      </c>
      <c r="E93" s="192"/>
      <c r="F93" s="193"/>
      <c r="G93" s="192"/>
      <c r="H93" s="219"/>
      <c r="I93" s="13" t="s">
        <v>93</v>
      </c>
      <c r="J93" s="29">
        <f ca="1">H89</f>
        <v>14</v>
      </c>
    </row>
    <row r="94" spans="1:10" ht="15.75" customHeight="1" x14ac:dyDescent="0.25">
      <c r="A94" s="138" t="s">
        <v>121</v>
      </c>
      <c r="B94" s="139"/>
      <c r="C94" s="43">
        <v>15</v>
      </c>
      <c r="D94" s="19">
        <f ca="1">((100/(D89+F89+H89))*C94)/100</f>
        <v>1</v>
      </c>
      <c r="E94" s="192"/>
      <c r="F94" s="193"/>
      <c r="G94" s="192"/>
      <c r="H94" s="219"/>
      <c r="I94" s="13" t="s">
        <v>94</v>
      </c>
      <c r="J94" s="30">
        <f ca="1">(IF(B89&gt;1,(H89/(B89+2)),H89/4))</f>
        <v>3.5</v>
      </c>
    </row>
    <row r="95" spans="1:10" ht="15.75" customHeight="1" x14ac:dyDescent="0.25">
      <c r="A95" s="138" t="s">
        <v>128</v>
      </c>
      <c r="B95" s="139" t="s">
        <v>122</v>
      </c>
      <c r="C95" s="43">
        <v>14</v>
      </c>
      <c r="D95" s="19">
        <f ca="1">((100/H89)*C95)/100</f>
        <v>1</v>
      </c>
      <c r="E95" s="192"/>
      <c r="F95" s="193"/>
      <c r="G95" s="192"/>
      <c r="H95" s="219"/>
      <c r="I95" s="13" t="s">
        <v>95</v>
      </c>
      <c r="J95" s="30">
        <f ca="1">(IF(B89&gt;1,(H89/(B89+2)+J94),H89/4+J94))</f>
        <v>7</v>
      </c>
    </row>
    <row r="96" spans="1:10" ht="15.75" customHeight="1" x14ac:dyDescent="0.25">
      <c r="A96" s="138" t="s">
        <v>129</v>
      </c>
      <c r="B96" s="139" t="s">
        <v>122</v>
      </c>
      <c r="C96" s="43">
        <v>13</v>
      </c>
      <c r="D96" s="19">
        <f ca="1">((100/H89)*C96)/100</f>
        <v>0.9285714285714286</v>
      </c>
      <c r="E96" s="192"/>
      <c r="F96" s="193"/>
      <c r="G96" s="192"/>
      <c r="H96" s="219"/>
      <c r="I96" s="13" t="s">
        <v>138</v>
      </c>
      <c r="J96" s="30">
        <f>(IF(B89&gt;1,(H89/(B89+2)+J95),0))</f>
        <v>0</v>
      </c>
    </row>
    <row r="97" spans="1:10" ht="15" customHeight="1" x14ac:dyDescent="0.25">
      <c r="A97" s="138" t="s">
        <v>127</v>
      </c>
      <c r="B97" s="139" t="s">
        <v>124</v>
      </c>
      <c r="C97" s="43">
        <v>11</v>
      </c>
      <c r="D97" s="19">
        <f ca="1">((100/(H89))*C97)/100</f>
        <v>0.7857142857142857</v>
      </c>
      <c r="E97" s="192"/>
      <c r="F97" s="193"/>
      <c r="G97" s="192"/>
      <c r="H97" s="219"/>
      <c r="I97" s="13" t="s">
        <v>135</v>
      </c>
      <c r="J97" s="30">
        <f>(IF(B89&gt;2,(H89/(B89+2)+J96),0))</f>
        <v>0</v>
      </c>
    </row>
    <row r="98" spans="1:10" ht="15.75" customHeight="1" x14ac:dyDescent="0.25">
      <c r="A98" s="138" t="s">
        <v>123</v>
      </c>
      <c r="B98" s="139" t="s">
        <v>123</v>
      </c>
      <c r="C98" s="43">
        <v>0</v>
      </c>
      <c r="D98" s="19">
        <f ca="1">((100/H89)*C98)/100</f>
        <v>0</v>
      </c>
      <c r="E98" s="192"/>
      <c r="F98" s="193"/>
      <c r="G98" s="192"/>
      <c r="H98" s="219"/>
      <c r="I98" s="13" t="s">
        <v>136</v>
      </c>
      <c r="J98" s="31">
        <f>(IF(B89&gt;3,(H89/(B89+2)+J97),0))</f>
        <v>0</v>
      </c>
    </row>
    <row r="99" spans="1:10" ht="15.75" customHeight="1" x14ac:dyDescent="0.25">
      <c r="A99" s="138" t="s">
        <v>130</v>
      </c>
      <c r="B99" s="139"/>
      <c r="C99" s="43">
        <v>0</v>
      </c>
      <c r="D99" s="19">
        <f ca="1">((100/H89)*C99)/100</f>
        <v>0</v>
      </c>
      <c r="E99" s="192"/>
      <c r="F99" s="193"/>
      <c r="G99" s="192"/>
      <c r="H99" s="219"/>
      <c r="I99" s="13" t="s">
        <v>137</v>
      </c>
      <c r="J99" s="30">
        <f>(IF(B89&gt;4,(H89/(B89+2)+J98),0))</f>
        <v>0</v>
      </c>
    </row>
    <row r="100" spans="1:10" ht="15.75" customHeight="1" x14ac:dyDescent="0.25">
      <c r="A100" s="138" t="s">
        <v>125</v>
      </c>
      <c r="B100" s="139" t="s">
        <v>125</v>
      </c>
      <c r="C100" s="43">
        <v>0</v>
      </c>
      <c r="D100" s="19">
        <f ca="1">((100/(H89))*C100)/100</f>
        <v>0</v>
      </c>
      <c r="E100" s="192"/>
      <c r="F100" s="193"/>
      <c r="G100" s="192"/>
      <c r="H100" s="219"/>
      <c r="I100" s="13" t="s">
        <v>139</v>
      </c>
      <c r="J100" s="30">
        <f ca="1">(IF(B89=1,(H89/(B89+3)+J95),IF(B89=0,(H89/4+J95),IF(B89&gt;1,0))))</f>
        <v>10.5</v>
      </c>
    </row>
    <row r="101" spans="1:10" ht="16.5" thickBot="1" x14ac:dyDescent="0.3">
      <c r="A101" s="174" t="s">
        <v>126</v>
      </c>
      <c r="B101" s="175"/>
      <c r="C101" s="44">
        <v>0</v>
      </c>
      <c r="D101" s="20">
        <f ca="1">((100/(H89))*C101)/100</f>
        <v>0</v>
      </c>
      <c r="E101" s="194"/>
      <c r="F101" s="195"/>
      <c r="G101" s="194"/>
      <c r="H101" s="220"/>
      <c r="I101" s="15" t="s">
        <v>96</v>
      </c>
      <c r="J101" s="32">
        <f ca="1">(IF(B89&gt;1.5,(H89/(B89+2)+J95+MAX(0,J96-J95)+MAX(0,J97-J96)+MAX(0,J98-J97)+MAX(0,J99-J98)+MAX(0,J100-J99)),IF(B89=1,(H89/(B89+3)+J100),IF(B89=0,H89/4+J100))))</f>
        <v>14</v>
      </c>
    </row>
    <row r="102" spans="1:10" ht="15.75" hidden="1" customHeight="1" x14ac:dyDescent="0.25">
      <c r="A102" s="133" t="s">
        <v>132</v>
      </c>
      <c r="B102" s="134"/>
      <c r="C102" s="135" t="e">
        <f>#REF!</f>
        <v>#REF!</v>
      </c>
      <c r="D102" s="136"/>
      <c r="E102" s="136"/>
      <c r="F102" s="136"/>
      <c r="G102" s="136"/>
      <c r="H102" s="137"/>
      <c r="I102" s="49" t="e">
        <f ca="1">IF(D115=100%,"All work Completed. Possession granted to the Building.",IF(D114=100%,"All work Completed, Waiting for OC",I103&amp;""&amp;I104&amp;""&amp;J103&amp;""&amp;J102&amp;" "&amp;J104))</f>
        <v>#REF!</v>
      </c>
      <c r="J102" s="50" t="e">
        <f ca="1">(IF(C108=(D103+F103+H103),"",IF(C108&gt;0,", RCC upto "&amp;C108&amp;" Slab","")))&amp;(IF(C109=H103,"",IF(C109&gt;0,", Brickwork upto "&amp;C109&amp;" Floor","")))&amp;(IF(C110=H103,"",IF(C110&gt;0,", Internal Plaster upto "&amp;C110&amp;" Floor","")))&amp;(IF(C111=H103,"",IF(C111&gt;0,", External Plaster upto "&amp;C111&amp;" Floor","")))&amp;(IF(C112=H103,"",IF(C112&gt;0,", Flooring upto "&amp;C112&amp;" Floor","")))&amp;(IF(C113=H103,"",IF(C113&gt;0,", Painting upto "&amp;C113&amp;" Floor","")))&amp;(IF(C114=H103,"",IF(C114&gt;0,", Finishing upto "&amp;C114&amp;" Floor","")))&amp;(IF(C115=H103,"",IF(C115&gt;0,", Possession upto "&amp;C115&amp;" Floor","")))</f>
        <v>#REF!</v>
      </c>
    </row>
    <row r="103" spans="1:10" hidden="1" x14ac:dyDescent="0.25">
      <c r="A103" s="16" t="s">
        <v>134</v>
      </c>
      <c r="B103" s="54">
        <f>IF(AND(ISNUMBER(SEARCH("1B",C102))),1,IF(AND(ISNUMBER(SEARCH("2B",C102))),2,IF(AND(ISNUMBER(SEARCH("3B",C102))),3,IF(AND(ISNUMBER(SEARCH("4B",C102))),4,IF(ISNUMBER(SEARCH("5B",C102)),5,0)))))</f>
        <v>0</v>
      </c>
      <c r="C103" s="47" t="s">
        <v>68</v>
      </c>
      <c r="D103" s="47">
        <v>1</v>
      </c>
      <c r="E103" s="47" t="s">
        <v>67</v>
      </c>
      <c r="F103" s="14">
        <v>0</v>
      </c>
      <c r="G103" s="48" t="s">
        <v>76</v>
      </c>
      <c r="H103" s="17" t="e">
        <f ca="1">--TRIM(RIGHT(SUBSTITUTE(LEFT(C102,_xlfn.AGGREGATE(16,6,FIND({0,1,2,3,4,5,6,7,8,9},C102,ROW(INDIRECT("1:"&amp;LEN(C102)))),1))," ",REPT(" ",LEN(C102))),LEN(C102)))</f>
        <v>#REF!</v>
      </c>
      <c r="I103" s="51" t="e">
        <f ca="1">IF(D106=100%,"Excavation","")&amp;IF(D107=100%,", Plinth","")&amp;IF(D108=100%,", RCC Slab","")&amp;IF(D109=100%,", Brickwork","")&amp;IF(D110=100%,", Internal Plaster","")&amp;IF(D111=100%,", External Plaster","")&amp;IF(D112=100%,", Flooring","")&amp;IF(D113=100%,", Painting","")&amp;IF(D114=100%,", Building common Amenities","")</f>
        <v>#REF!</v>
      </c>
      <c r="J103" s="52" t="e">
        <f ca="1">(IF(C106=0,"Work not yet Started.",IF(D106=25%,"Piling work in process",IF(D106=50%,"Excavation work in process",IF(D106=100%,"","0")))))&amp;(IF(C107=0%,"",IF(C107=J108,", Footing work is process",IF(C107=J109,", Footing work Completed",IF(C107=J110,", 1st Basement Completed",IF(C107=J111,", 1st &amp; 2nd Basement Completed",IF(C107=J112,", 1st to 3rd Basement Completed",IF(C107=J113,", 1st to 4th Basement Completed",IF(C107=J114,", Plinth work is process",IF(C107=J115,"","0"))))))))))</f>
        <v>#REF!</v>
      </c>
    </row>
    <row r="104" spans="1:10" hidden="1" x14ac:dyDescent="0.25">
      <c r="A104" s="225" t="s">
        <v>86</v>
      </c>
      <c r="B104" s="206"/>
      <c r="C104" s="231" t="e">
        <f ca="1">(IF($G$60="NA",I102,"All work Completed. OC Received."))</f>
        <v>#REF!</v>
      </c>
      <c r="D104" s="231"/>
      <c r="E104" s="231"/>
      <c r="F104" s="231"/>
      <c r="G104" s="231"/>
      <c r="H104" s="232"/>
      <c r="I104" s="51" t="e">
        <f ca="1">IF(I103&lt;&gt;""," Completed","")</f>
        <v>#REF!</v>
      </c>
      <c r="J104" s="52" t="e">
        <f ca="1">IF(J102&lt;&gt;"","Completed","")</f>
        <v>#REF!</v>
      </c>
    </row>
    <row r="105" spans="1:10" ht="15.75" hidden="1" customHeight="1" x14ac:dyDescent="0.25">
      <c r="A105" s="138" t="s">
        <v>47</v>
      </c>
      <c r="B105" s="139"/>
      <c r="C105" s="43" t="s">
        <v>131</v>
      </c>
      <c r="D105" s="43" t="s">
        <v>79</v>
      </c>
      <c r="E105" s="139" t="s">
        <v>81</v>
      </c>
      <c r="F105" s="139"/>
      <c r="G105" s="139" t="s">
        <v>80</v>
      </c>
      <c r="H105" s="189"/>
      <c r="I105" s="13" t="s">
        <v>133</v>
      </c>
      <c r="J105" s="28" t="e">
        <f ca="1">H103*25%</f>
        <v>#REF!</v>
      </c>
    </row>
    <row r="106" spans="1:10" hidden="1" x14ac:dyDescent="0.25">
      <c r="A106" s="138" t="s">
        <v>120</v>
      </c>
      <c r="B106" s="139"/>
      <c r="C106" s="43" t="e">
        <f ca="1">J107</f>
        <v>#REF!</v>
      </c>
      <c r="D106" s="19" t="e">
        <f ca="1">((100/H103)*C106)/100</f>
        <v>#REF!</v>
      </c>
      <c r="E106" s="190" t="e">
        <f ca="1">(((C107/H103*10)+(40/(D103+F103+H103)*C108)+(7.5/(H103)*C109)+(7.5/(H103)*C110)+(10/H103*C111)+(10/H103*C112)+(5/H103*C113)+(5/H103*C114)+(5/H103*C115))/100)</f>
        <v>#REF!</v>
      </c>
      <c r="F106" s="191"/>
      <c r="G106" s="190" t="e">
        <f ca="1">((((C106/H103)*20)+((C107/H103)*25)+(30/(H103+F103+D103)*C108)+(5/H103*C109)+(5/H103*C110)+(5/H103*C111)+(5/H103*C112)+(0/H103*C113)+(0/H103*C114)+(5/H103*C115))/100)</f>
        <v>#REF!</v>
      </c>
      <c r="H106" s="218"/>
      <c r="I106" s="13" t="s">
        <v>92</v>
      </c>
      <c r="J106" s="29" t="e">
        <f ca="1">H103*50%</f>
        <v>#REF!</v>
      </c>
    </row>
    <row r="107" spans="1:10" hidden="1" x14ac:dyDescent="0.25">
      <c r="A107" s="138" t="s">
        <v>48</v>
      </c>
      <c r="B107" s="139"/>
      <c r="C107" s="43" t="e">
        <f ca="1">J115</f>
        <v>#REF!</v>
      </c>
      <c r="D107" s="19" t="e">
        <f ca="1">((100/H103)*C107)/100</f>
        <v>#REF!</v>
      </c>
      <c r="E107" s="192"/>
      <c r="F107" s="193"/>
      <c r="G107" s="192"/>
      <c r="H107" s="219"/>
      <c r="I107" s="13" t="s">
        <v>93</v>
      </c>
      <c r="J107" s="29" t="e">
        <f ca="1">H103</f>
        <v>#REF!</v>
      </c>
    </row>
    <row r="108" spans="1:10" ht="15.75" hidden="1" customHeight="1" x14ac:dyDescent="0.25">
      <c r="A108" s="138" t="s">
        <v>121</v>
      </c>
      <c r="B108" s="139"/>
      <c r="C108" s="43" t="e">
        <f ca="1">D103+H103</f>
        <v>#REF!</v>
      </c>
      <c r="D108" s="19" t="e">
        <f ca="1">((100/(D103+F103+H103))*C108)/100</f>
        <v>#REF!</v>
      </c>
      <c r="E108" s="192"/>
      <c r="F108" s="193"/>
      <c r="G108" s="192"/>
      <c r="H108" s="219"/>
      <c r="I108" s="13" t="s">
        <v>94</v>
      </c>
      <c r="J108" s="30" t="e">
        <f ca="1">(IF(B103&gt;1,(H103/(B103+2)),H103/4))</f>
        <v>#REF!</v>
      </c>
    </row>
    <row r="109" spans="1:10" ht="15.75" hidden="1" customHeight="1" x14ac:dyDescent="0.25">
      <c r="A109" s="138" t="s">
        <v>128</v>
      </c>
      <c r="B109" s="139" t="s">
        <v>122</v>
      </c>
      <c r="C109" s="43">
        <v>0</v>
      </c>
      <c r="D109" s="19" t="e">
        <f ca="1">((100/H103)*C109)/100</f>
        <v>#REF!</v>
      </c>
      <c r="E109" s="192"/>
      <c r="F109" s="193"/>
      <c r="G109" s="192"/>
      <c r="H109" s="219"/>
      <c r="I109" s="13" t="s">
        <v>95</v>
      </c>
      <c r="J109" s="30" t="e">
        <f ca="1">(IF(B103&gt;1,(H103/(B103+2)+J108),H103/4+J108))</f>
        <v>#REF!</v>
      </c>
    </row>
    <row r="110" spans="1:10" ht="15.75" hidden="1" customHeight="1" x14ac:dyDescent="0.25">
      <c r="A110" s="138" t="s">
        <v>129</v>
      </c>
      <c r="B110" s="139" t="s">
        <v>122</v>
      </c>
      <c r="C110" s="43">
        <v>0</v>
      </c>
      <c r="D110" s="19" t="e">
        <f ca="1">((100/H103)*C110)/100</f>
        <v>#REF!</v>
      </c>
      <c r="E110" s="192"/>
      <c r="F110" s="193"/>
      <c r="G110" s="192"/>
      <c r="H110" s="219"/>
      <c r="I110" s="13" t="s">
        <v>138</v>
      </c>
      <c r="J110" s="30">
        <f>(IF(B103&gt;1,(H103/(B103+2)+J109),0))</f>
        <v>0</v>
      </c>
    </row>
    <row r="111" spans="1:10" ht="15" hidden="1" customHeight="1" x14ac:dyDescent="0.25">
      <c r="A111" s="138" t="s">
        <v>127</v>
      </c>
      <c r="B111" s="139" t="s">
        <v>124</v>
      </c>
      <c r="C111" s="43">
        <v>0</v>
      </c>
      <c r="D111" s="19" t="e">
        <f ca="1">((100/(H103))*C111)/100</f>
        <v>#REF!</v>
      </c>
      <c r="E111" s="192"/>
      <c r="F111" s="193"/>
      <c r="G111" s="192"/>
      <c r="H111" s="219"/>
      <c r="I111" s="13" t="s">
        <v>135</v>
      </c>
      <c r="J111" s="30">
        <f>(IF(B103&gt;2,(H103/(B103+2)+J110),0))</f>
        <v>0</v>
      </c>
    </row>
    <row r="112" spans="1:10" ht="15.75" hidden="1" customHeight="1" x14ac:dyDescent="0.25">
      <c r="A112" s="138" t="s">
        <v>123</v>
      </c>
      <c r="B112" s="139" t="s">
        <v>123</v>
      </c>
      <c r="C112" s="43">
        <v>0</v>
      </c>
      <c r="D112" s="19" t="e">
        <f ca="1">((100/H103)*C112)/100</f>
        <v>#REF!</v>
      </c>
      <c r="E112" s="192"/>
      <c r="F112" s="193"/>
      <c r="G112" s="192"/>
      <c r="H112" s="219"/>
      <c r="I112" s="13" t="s">
        <v>136</v>
      </c>
      <c r="J112" s="31">
        <f>(IF(B103&gt;3,(H103/(B103+2)+J111),0))</f>
        <v>0</v>
      </c>
    </row>
    <row r="113" spans="1:22" ht="15.75" hidden="1" customHeight="1" x14ac:dyDescent="0.25">
      <c r="A113" s="138" t="s">
        <v>130</v>
      </c>
      <c r="B113" s="139"/>
      <c r="C113" s="43">
        <v>0</v>
      </c>
      <c r="D113" s="19" t="e">
        <f ca="1">((100/H103)*C113)/100</f>
        <v>#REF!</v>
      </c>
      <c r="E113" s="192"/>
      <c r="F113" s="193"/>
      <c r="G113" s="192"/>
      <c r="H113" s="219"/>
      <c r="I113" s="13" t="s">
        <v>137</v>
      </c>
      <c r="J113" s="30">
        <f>(IF(B103&gt;4,(H103/(B103+2)+J112),0))</f>
        <v>0</v>
      </c>
    </row>
    <row r="114" spans="1:22" ht="15.75" hidden="1" customHeight="1" x14ac:dyDescent="0.25">
      <c r="A114" s="138" t="s">
        <v>125</v>
      </c>
      <c r="B114" s="139" t="s">
        <v>125</v>
      </c>
      <c r="C114" s="43">
        <v>0</v>
      </c>
      <c r="D114" s="19" t="e">
        <f ca="1">((100/(H103))*C114)/100</f>
        <v>#REF!</v>
      </c>
      <c r="E114" s="192"/>
      <c r="F114" s="193"/>
      <c r="G114" s="192"/>
      <c r="H114" s="219"/>
      <c r="I114" s="13" t="s">
        <v>139</v>
      </c>
      <c r="J114" s="30" t="e">
        <f ca="1">(IF(B103=1,(H103/(B103+3)+J109),IF(B103=0,(H103/4+J109),IF(B103&gt;1,0))))</f>
        <v>#REF!</v>
      </c>
    </row>
    <row r="115" spans="1:22" ht="16.5" hidden="1" thickBot="1" x14ac:dyDescent="0.3">
      <c r="A115" s="174" t="s">
        <v>126</v>
      </c>
      <c r="B115" s="175"/>
      <c r="C115" s="44">
        <v>0</v>
      </c>
      <c r="D115" s="20" t="e">
        <f ca="1">((100/(H103))*C115)/100</f>
        <v>#REF!</v>
      </c>
      <c r="E115" s="194"/>
      <c r="F115" s="195"/>
      <c r="G115" s="194"/>
      <c r="H115" s="220"/>
      <c r="I115" s="15" t="s">
        <v>96</v>
      </c>
      <c r="J115" s="32" t="e">
        <f ca="1">(IF(B103&gt;1.5,(H103/(B103+2)+J109+MAX(0,J110-J109)+MAX(0,J111-J110)+MAX(0,J112-J111)+MAX(0,J113-J112)+MAX(0,J114-J113)),IF(B103=1,(H103/(B103+3)+J114),IF(B103=0,H103/4+J114))))</f>
        <v>#REF!</v>
      </c>
    </row>
    <row r="116" spans="1:22" x14ac:dyDescent="0.25">
      <c r="A116" s="243" t="s">
        <v>149</v>
      </c>
      <c r="B116" s="243"/>
      <c r="C116" s="243"/>
      <c r="D116" s="243"/>
      <c r="E116" s="243"/>
      <c r="F116" s="177" t="s">
        <v>153</v>
      </c>
      <c r="G116" s="177"/>
      <c r="H116" s="177"/>
      <c r="R116" t="s">
        <v>246</v>
      </c>
      <c r="S116" t="s">
        <v>165</v>
      </c>
      <c r="T116" t="s">
        <v>171</v>
      </c>
      <c r="U116" t="s">
        <v>186</v>
      </c>
      <c r="V116" t="s">
        <v>181</v>
      </c>
    </row>
    <row r="117" spans="1:22" x14ac:dyDescent="0.25">
      <c r="A117" s="123" t="s">
        <v>151</v>
      </c>
      <c r="B117" s="123"/>
      <c r="C117" s="123"/>
      <c r="D117" s="123"/>
      <c r="E117" s="123"/>
      <c r="F117" s="120">
        <v>4750</v>
      </c>
      <c r="G117" s="120"/>
      <c r="H117" s="120"/>
      <c r="I117" s="80" t="s">
        <v>340</v>
      </c>
      <c r="J117" s="80" t="s">
        <v>341</v>
      </c>
      <c r="K117" s="80"/>
      <c r="L117" s="80"/>
      <c r="M117" s="80"/>
      <c r="N117" s="80"/>
      <c r="O117" s="80"/>
      <c r="R117"/>
      <c r="S117">
        <v>800000</v>
      </c>
      <c r="T117">
        <v>250000</v>
      </c>
      <c r="U117">
        <v>100000</v>
      </c>
      <c r="V117">
        <v>100000</v>
      </c>
    </row>
    <row r="118" spans="1:22" hidden="1" x14ac:dyDescent="0.25">
      <c r="A118" s="123" t="s">
        <v>150</v>
      </c>
      <c r="B118" s="123"/>
      <c r="C118" s="123"/>
      <c r="D118" s="123"/>
      <c r="E118" s="123"/>
      <c r="F118" s="120"/>
      <c r="G118" s="120"/>
      <c r="H118" s="120"/>
      <c r="R118"/>
      <c r="S118">
        <v>900000</v>
      </c>
      <c r="T118">
        <v>350000</v>
      </c>
      <c r="U118">
        <v>150000</v>
      </c>
      <c r="V118">
        <v>150000</v>
      </c>
    </row>
    <row r="119" spans="1:22" hidden="1" x14ac:dyDescent="0.25">
      <c r="A119" s="123" t="s">
        <v>152</v>
      </c>
      <c r="B119" s="123"/>
      <c r="C119" s="123"/>
      <c r="D119" s="123"/>
      <c r="E119" s="123"/>
      <c r="F119" s="120"/>
      <c r="G119" s="120"/>
      <c r="H119" s="120"/>
      <c r="R119"/>
      <c r="S119">
        <v>1000000</v>
      </c>
      <c r="T119">
        <v>400000</v>
      </c>
      <c r="U119">
        <v>200000</v>
      </c>
      <c r="V119">
        <v>200000</v>
      </c>
    </row>
    <row r="120" spans="1:22" s="33" customFormat="1" hidden="1" x14ac:dyDescent="0.25">
      <c r="A120" s="123" t="s">
        <v>167</v>
      </c>
      <c r="B120" s="123"/>
      <c r="C120" s="123"/>
      <c r="D120" s="123"/>
      <c r="E120" s="123"/>
      <c r="F120" s="120"/>
      <c r="G120" s="120"/>
      <c r="H120" s="120"/>
      <c r="R120"/>
      <c r="S120">
        <v>1100000</v>
      </c>
      <c r="T120">
        <v>500000</v>
      </c>
      <c r="U120">
        <v>250000</v>
      </c>
      <c r="V120" s="23">
        <v>250000</v>
      </c>
    </row>
    <row r="121" spans="1:22" s="33" customFormat="1" x14ac:dyDescent="0.25">
      <c r="A121" s="123" t="s">
        <v>338</v>
      </c>
      <c r="B121" s="123"/>
      <c r="C121" s="123"/>
      <c r="D121" s="123"/>
      <c r="E121" s="123"/>
      <c r="F121" s="120">
        <v>45000</v>
      </c>
      <c r="G121" s="120"/>
      <c r="H121" s="120"/>
      <c r="R121"/>
      <c r="S121">
        <v>1200000</v>
      </c>
      <c r="T121">
        <v>600000</v>
      </c>
      <c r="U121">
        <v>300000</v>
      </c>
      <c r="V121">
        <v>300000</v>
      </c>
    </row>
    <row r="122" spans="1:22" s="33" customFormat="1" x14ac:dyDescent="0.25">
      <c r="A122" s="123" t="s">
        <v>337</v>
      </c>
      <c r="B122" s="123"/>
      <c r="C122" s="123"/>
      <c r="D122" s="123"/>
      <c r="E122" s="123"/>
      <c r="F122" s="120">
        <v>50000</v>
      </c>
      <c r="G122" s="120"/>
      <c r="H122" s="120"/>
      <c r="R122"/>
      <c r="S122">
        <v>1300000</v>
      </c>
      <c r="T122">
        <v>700000</v>
      </c>
      <c r="U122">
        <v>350000</v>
      </c>
      <c r="V122" s="23">
        <v>400000</v>
      </c>
    </row>
    <row r="123" spans="1:22" s="33" customFormat="1" x14ac:dyDescent="0.25">
      <c r="A123" s="123" t="s">
        <v>339</v>
      </c>
      <c r="B123" s="123"/>
      <c r="C123" s="123"/>
      <c r="D123" s="123"/>
      <c r="E123" s="123"/>
      <c r="F123" s="120">
        <v>50000</v>
      </c>
      <c r="G123" s="120"/>
      <c r="H123" s="120"/>
      <c r="R123"/>
      <c r="S123">
        <v>1400000</v>
      </c>
      <c r="T123">
        <v>800000</v>
      </c>
      <c r="U123">
        <v>400000</v>
      </c>
      <c r="V123"/>
    </row>
    <row r="124" spans="1:22" s="33" customFormat="1" x14ac:dyDescent="0.25">
      <c r="A124" s="123" t="s">
        <v>336</v>
      </c>
      <c r="B124" s="123"/>
      <c r="C124" s="123"/>
      <c r="D124" s="123"/>
      <c r="E124" s="123"/>
      <c r="F124" s="120">
        <v>75000</v>
      </c>
      <c r="G124" s="120"/>
      <c r="H124" s="120"/>
      <c r="R124"/>
      <c r="S124">
        <v>1500000</v>
      </c>
      <c r="T124">
        <v>900000</v>
      </c>
      <c r="U124">
        <v>500000</v>
      </c>
      <c r="V124" s="23"/>
    </row>
    <row r="125" spans="1:22" s="33" customFormat="1" x14ac:dyDescent="0.25">
      <c r="A125" s="123" t="s">
        <v>90</v>
      </c>
      <c r="B125" s="123"/>
      <c r="C125" s="123"/>
      <c r="D125" s="123"/>
      <c r="E125" s="123"/>
      <c r="F125" s="120">
        <v>50000</v>
      </c>
      <c r="G125" s="120"/>
      <c r="H125" s="120"/>
      <c r="R125"/>
      <c r="S125">
        <v>1600000</v>
      </c>
      <c r="T125">
        <v>1000000</v>
      </c>
      <c r="U125">
        <v>600000</v>
      </c>
      <c r="V125"/>
    </row>
    <row r="126" spans="1:22" s="33" customFormat="1" hidden="1" x14ac:dyDescent="0.25">
      <c r="A126" s="123" t="s">
        <v>91</v>
      </c>
      <c r="B126" s="123"/>
      <c r="C126" s="123"/>
      <c r="D126" s="123"/>
      <c r="E126" s="123"/>
      <c r="F126" s="120"/>
      <c r="G126" s="120"/>
      <c r="H126" s="120"/>
      <c r="R126"/>
      <c r="S126">
        <v>1700000</v>
      </c>
      <c r="T126"/>
      <c r="U126"/>
      <c r="V126" s="23"/>
    </row>
    <row r="127" spans="1:22" x14ac:dyDescent="0.25">
      <c r="A127" s="123" t="s">
        <v>49</v>
      </c>
      <c r="B127" s="123"/>
      <c r="C127" s="123"/>
      <c r="D127" s="123"/>
      <c r="E127" s="123"/>
      <c r="F127" s="120">
        <v>250000</v>
      </c>
      <c r="G127" s="120"/>
      <c r="H127" s="120"/>
      <c r="R127"/>
      <c r="S127">
        <v>1800000</v>
      </c>
      <c r="T127"/>
      <c r="U127"/>
    </row>
    <row r="128" spans="1:22" s="34" customFormat="1" x14ac:dyDescent="0.25">
      <c r="A128" s="199" t="s">
        <v>50</v>
      </c>
      <c r="B128" s="199"/>
      <c r="C128" s="199"/>
      <c r="D128" s="199"/>
      <c r="E128" s="199"/>
      <c r="F128" s="120">
        <f>F117*0.8</f>
        <v>3800</v>
      </c>
      <c r="G128" s="120"/>
      <c r="H128" s="120"/>
      <c r="R128" s="21"/>
      <c r="S128" s="21"/>
      <c r="T128"/>
      <c r="U128"/>
      <c r="V128" s="21"/>
    </row>
    <row r="129" spans="1:22" s="35" customFormat="1" ht="15.75" hidden="1" customHeight="1" x14ac:dyDescent="0.25">
      <c r="A129" s="198" t="s">
        <v>71</v>
      </c>
      <c r="B129" s="198"/>
      <c r="C129" s="198"/>
      <c r="D129" s="198"/>
      <c r="E129" s="198"/>
      <c r="F129" s="198"/>
      <c r="G129" s="198"/>
      <c r="H129" s="198"/>
      <c r="R129"/>
      <c r="S129" s="21"/>
      <c r="T129"/>
      <c r="U129"/>
      <c r="V129" s="21"/>
    </row>
    <row r="130" spans="1:22" s="35" customFormat="1" ht="15.75" hidden="1" customHeight="1" x14ac:dyDescent="0.25">
      <c r="A130" s="122" t="s">
        <v>51</v>
      </c>
      <c r="B130" s="122"/>
      <c r="C130" s="129" t="s">
        <v>74</v>
      </c>
      <c r="D130" s="129"/>
      <c r="E130" s="127" t="s">
        <v>52</v>
      </c>
      <c r="F130" s="127"/>
      <c r="G130" s="122" t="s">
        <v>53</v>
      </c>
      <c r="H130" s="122"/>
      <c r="R130"/>
      <c r="S130" s="21"/>
      <c r="T130"/>
      <c r="U130" s="21"/>
      <c r="V130" s="21"/>
    </row>
    <row r="131" spans="1:22" s="35" customFormat="1" hidden="1" x14ac:dyDescent="0.25">
      <c r="A131" s="128"/>
      <c r="B131" s="128"/>
      <c r="C131" s="226"/>
      <c r="D131" s="226"/>
      <c r="E131" s="236"/>
      <c r="F131" s="236"/>
      <c r="G131" s="173"/>
      <c r="H131" s="173"/>
      <c r="R131"/>
      <c r="S131" s="21"/>
      <c r="T131"/>
      <c r="U131" s="21"/>
      <c r="V131" s="21"/>
    </row>
    <row r="132" spans="1:22" s="35" customFormat="1" hidden="1" x14ac:dyDescent="0.25">
      <c r="A132" s="128"/>
      <c r="B132" s="128"/>
      <c r="C132" s="226"/>
      <c r="D132" s="226"/>
      <c r="E132" s="236"/>
      <c r="F132" s="236"/>
      <c r="G132" s="173"/>
      <c r="H132" s="173"/>
      <c r="R132"/>
      <c r="S132" s="21"/>
      <c r="T132"/>
      <c r="U132" s="21"/>
      <c r="V132" s="21"/>
    </row>
    <row r="133" spans="1:22" s="35" customFormat="1" hidden="1" x14ac:dyDescent="0.25">
      <c r="A133" s="198" t="s">
        <v>142</v>
      </c>
      <c r="B133" s="198"/>
      <c r="C133" s="129"/>
      <c r="D133" s="129"/>
      <c r="E133" s="127"/>
      <c r="F133" s="127"/>
      <c r="G133" s="122"/>
      <c r="H133" s="122"/>
      <c r="R133"/>
      <c r="S133" s="21"/>
      <c r="T133"/>
      <c r="U133" s="21"/>
      <c r="V133" s="21"/>
    </row>
    <row r="134" spans="1:22" s="35" customFormat="1" x14ac:dyDescent="0.25">
      <c r="A134" s="198" t="s">
        <v>66</v>
      </c>
      <c r="B134" s="198"/>
      <c r="C134" s="198"/>
      <c r="D134" s="198"/>
      <c r="E134" s="198"/>
      <c r="F134" s="198"/>
      <c r="G134" s="198"/>
      <c r="H134" s="198"/>
      <c r="T134"/>
    </row>
    <row r="135" spans="1:22" s="35" customFormat="1" ht="15.75" customHeight="1" x14ac:dyDescent="0.25">
      <c r="A135" s="122" t="s">
        <v>51</v>
      </c>
      <c r="B135" s="122"/>
      <c r="C135" s="129" t="s">
        <v>74</v>
      </c>
      <c r="D135" s="129"/>
      <c r="E135" s="127" t="s">
        <v>52</v>
      </c>
      <c r="F135" s="127"/>
      <c r="G135" s="122" t="s">
        <v>53</v>
      </c>
      <c r="H135" s="122"/>
      <c r="T135"/>
    </row>
    <row r="136" spans="1:22" s="35" customFormat="1" x14ac:dyDescent="0.25">
      <c r="A136" s="128" t="s">
        <v>321</v>
      </c>
      <c r="B136" s="128"/>
      <c r="C136" s="226">
        <f>COUNT(D155:D164)*12+COUNT(D166,D168:D175)+COUNT(D177,D179:D186)</f>
        <v>138</v>
      </c>
      <c r="D136" s="226"/>
      <c r="E136" s="227">
        <f>SUM(F155:F164)*12+SUM(F166,F168:F175)+SUM(F177,F179:F186)</f>
        <v>74074.898663999993</v>
      </c>
      <c r="F136" s="227"/>
      <c r="G136" s="227">
        <f>SUM(H155:H164)*12+SUM(H166,H168:H175)+SUM(H177,H179:H186)</f>
        <v>111112.34799599998</v>
      </c>
      <c r="H136" s="227"/>
      <c r="T136"/>
    </row>
    <row r="137" spans="1:22" s="35" customFormat="1" ht="16.5" thickBot="1" x14ac:dyDescent="0.3">
      <c r="A137" s="128" t="s">
        <v>325</v>
      </c>
      <c r="B137" s="128"/>
      <c r="C137" s="226">
        <f>COUNT(D190:D198)*12+COUNT(D200:D205,D207:D208)+COUNT(D210:D215,D217:D218)</f>
        <v>124</v>
      </c>
      <c r="D137" s="226"/>
      <c r="E137" s="227">
        <f>SUM(F190:F198)*12+SUM(F200:F205,F207:F208)+SUM(F210:F215,F217:F218)</f>
        <v>63092.949192000007</v>
      </c>
      <c r="F137" s="227"/>
      <c r="G137" s="247">
        <f>SUM(H190:H198)*12+SUM(H200:H205,H207:H208)+SUM(H210:H215,H217:H218)</f>
        <v>94639.423788</v>
      </c>
      <c r="H137" s="248"/>
    </row>
    <row r="138" spans="1:22" s="35" customFormat="1" ht="16.5" hidden="1" thickBot="1" x14ac:dyDescent="0.3">
      <c r="A138" s="244" t="s">
        <v>142</v>
      </c>
      <c r="B138" s="244"/>
      <c r="C138" s="176"/>
      <c r="D138" s="176"/>
      <c r="E138" s="245"/>
      <c r="F138" s="245"/>
      <c r="G138" s="246"/>
      <c r="H138" s="246"/>
    </row>
    <row r="139" spans="1:22" s="35" customFormat="1" ht="16.5" thickBot="1" x14ac:dyDescent="0.3">
      <c r="A139" s="178" t="s">
        <v>159</v>
      </c>
      <c r="B139" s="179"/>
      <c r="C139" s="180">
        <f>SUM(C136:D137)</f>
        <v>262</v>
      </c>
      <c r="D139" s="180"/>
      <c r="E139" s="181">
        <f t="shared" ref="E139" si="0">SUM(E136:F137)</f>
        <v>137167.84785600001</v>
      </c>
      <c r="F139" s="181"/>
      <c r="G139" s="181">
        <f t="shared" ref="G139" si="1">SUM(G136:H137)</f>
        <v>205751.77178399998</v>
      </c>
      <c r="H139" s="181"/>
    </row>
    <row r="140" spans="1:22" s="34" customFormat="1" x14ac:dyDescent="0.25">
      <c r="A140" s="177" t="s">
        <v>351</v>
      </c>
      <c r="B140" s="177"/>
      <c r="C140" s="177"/>
      <c r="D140" s="177"/>
      <c r="E140" s="177"/>
      <c r="F140" s="177"/>
      <c r="G140" s="177"/>
      <c r="H140" s="177"/>
      <c r="T140" s="35"/>
    </row>
    <row r="141" spans="1:22" x14ac:dyDescent="0.25">
      <c r="A141" s="121" t="s">
        <v>326</v>
      </c>
      <c r="B141" s="121"/>
      <c r="C141" s="121"/>
      <c r="D141" s="121"/>
      <c r="E141" s="121"/>
      <c r="F141" s="121"/>
      <c r="G141" s="121"/>
      <c r="H141" s="121"/>
      <c r="T141" s="35"/>
    </row>
    <row r="142" spans="1:22" ht="47.25" hidden="1" customHeight="1" x14ac:dyDescent="0.25">
      <c r="A142" s="200" t="s">
        <v>112</v>
      </c>
      <c r="B142" s="200" t="s">
        <v>168</v>
      </c>
      <c r="C142" s="200" t="s">
        <v>54</v>
      </c>
      <c r="D142" s="200" t="s">
        <v>224</v>
      </c>
      <c r="E142" s="228" t="s">
        <v>148</v>
      </c>
      <c r="F142" s="200" t="s">
        <v>55</v>
      </c>
      <c r="G142" s="228" t="s">
        <v>56</v>
      </c>
      <c r="H142" s="60" t="s">
        <v>141</v>
      </c>
      <c r="T142" s="35"/>
    </row>
    <row r="143" spans="1:22" s="37" customFormat="1" hidden="1" x14ac:dyDescent="0.25">
      <c r="A143" s="201"/>
      <c r="B143" s="201"/>
      <c r="C143" s="201"/>
      <c r="D143" s="201"/>
      <c r="E143" s="229"/>
      <c r="F143" s="201"/>
      <c r="G143" s="229"/>
      <c r="H143" s="62">
        <v>0.45</v>
      </c>
      <c r="T143" s="34"/>
    </row>
    <row r="144" spans="1:22" s="37" customFormat="1" hidden="1" x14ac:dyDescent="0.25">
      <c r="A144" s="113" t="s">
        <v>111</v>
      </c>
      <c r="B144" s="114"/>
      <c r="C144" s="114"/>
      <c r="D144" s="114"/>
      <c r="E144" s="114"/>
      <c r="F144" s="114"/>
      <c r="G144" s="114"/>
      <c r="H144" s="115"/>
      <c r="J144" s="36"/>
      <c r="T144" s="21"/>
    </row>
    <row r="145" spans="1:20" s="37" customFormat="1" ht="15.75" hidden="1" customHeight="1" x14ac:dyDescent="0.25">
      <c r="A145" s="109">
        <v>1</v>
      </c>
      <c r="B145" s="110"/>
      <c r="C145" s="42"/>
      <c r="D145" s="42"/>
      <c r="E145" s="42">
        <v>0</v>
      </c>
      <c r="F145" s="42">
        <f>D145+E145</f>
        <v>0</v>
      </c>
      <c r="G145" s="59">
        <v>0</v>
      </c>
      <c r="H145" s="59">
        <f>(D145+E145)*(($H$143)+1)</f>
        <v>0</v>
      </c>
      <c r="I145" s="36"/>
      <c r="L145" s="108"/>
      <c r="M145" s="108"/>
      <c r="N145" s="36"/>
      <c r="T145" s="21"/>
    </row>
    <row r="146" spans="1:20" s="37" customFormat="1" ht="15.75" hidden="1" customHeight="1" x14ac:dyDescent="0.25">
      <c r="A146" s="109">
        <f>A145+1</f>
        <v>2</v>
      </c>
      <c r="B146" s="110"/>
      <c r="C146" s="42"/>
      <c r="D146" s="42"/>
      <c r="E146" s="42">
        <v>0</v>
      </c>
      <c r="F146" s="59">
        <f>D146+E146</f>
        <v>0</v>
      </c>
      <c r="G146" s="59">
        <v>0</v>
      </c>
      <c r="H146" s="59">
        <f>(D146+E146)*(($H$143)+1)</f>
        <v>0</v>
      </c>
      <c r="I146" s="36"/>
      <c r="L146" s="108"/>
      <c r="M146" s="108"/>
      <c r="N146" s="36"/>
    </row>
    <row r="147" spans="1:20" s="37" customFormat="1" ht="15.75" hidden="1" customHeight="1" x14ac:dyDescent="0.25">
      <c r="A147" s="109">
        <f>A146+1</f>
        <v>3</v>
      </c>
      <c r="B147" s="110"/>
      <c r="C147" s="42"/>
      <c r="D147" s="42"/>
      <c r="E147" s="42">
        <v>0</v>
      </c>
      <c r="F147" s="59">
        <f>D147+E147</f>
        <v>0</v>
      </c>
      <c r="G147" s="59">
        <v>0</v>
      </c>
      <c r="H147" s="59">
        <f>(D147+E147)*(($H$143)+1)</f>
        <v>0</v>
      </c>
      <c r="I147" s="36"/>
      <c r="L147" s="108"/>
      <c r="M147" s="108"/>
      <c r="N147" s="36"/>
    </row>
    <row r="148" spans="1:20" s="37" customFormat="1" ht="15.75" hidden="1" customHeight="1" x14ac:dyDescent="0.25">
      <c r="A148" s="109">
        <f>A147+1</f>
        <v>4</v>
      </c>
      <c r="B148" s="110"/>
      <c r="C148" s="42"/>
      <c r="D148" s="42"/>
      <c r="E148" s="42">
        <v>0</v>
      </c>
      <c r="F148" s="59">
        <f>D148+E148</f>
        <v>0</v>
      </c>
      <c r="G148" s="59">
        <v>0</v>
      </c>
      <c r="H148" s="59">
        <f>(D148+E148)*(($H$143)+1)</f>
        <v>0</v>
      </c>
      <c r="I148" s="36"/>
      <c r="L148" s="108"/>
      <c r="M148" s="108"/>
      <c r="N148" s="36"/>
    </row>
    <row r="149" spans="1:20" s="37" customFormat="1" hidden="1" x14ac:dyDescent="0.25">
      <c r="A149" s="109"/>
      <c r="B149" s="111"/>
      <c r="C149" s="111"/>
      <c r="D149" s="111"/>
      <c r="E149" s="111"/>
      <c r="F149" s="111"/>
      <c r="G149" s="111"/>
      <c r="H149" s="110"/>
      <c r="I149" s="36"/>
      <c r="N149" s="36"/>
    </row>
    <row r="150" spans="1:20" ht="47.25" customHeight="1" x14ac:dyDescent="0.25">
      <c r="A150" s="94" t="s">
        <v>113</v>
      </c>
      <c r="B150" s="94" t="s">
        <v>169</v>
      </c>
      <c r="C150" s="94" t="s">
        <v>54</v>
      </c>
      <c r="D150" s="94" t="s">
        <v>224</v>
      </c>
      <c r="E150" s="94" t="s">
        <v>328</v>
      </c>
      <c r="F150" s="94" t="s">
        <v>55</v>
      </c>
      <c r="G150" s="95" t="s">
        <v>56</v>
      </c>
      <c r="H150" s="89" t="s">
        <v>141</v>
      </c>
      <c r="I150" s="36"/>
      <c r="T150" s="37"/>
    </row>
    <row r="151" spans="1:20" x14ac:dyDescent="0.25">
      <c r="A151" s="94"/>
      <c r="B151" s="94"/>
      <c r="C151" s="94"/>
      <c r="D151" s="94"/>
      <c r="E151" s="94"/>
      <c r="F151" s="94"/>
      <c r="G151" s="95"/>
      <c r="H151" s="90">
        <v>0.5</v>
      </c>
      <c r="I151" s="87"/>
      <c r="T151" s="86"/>
    </row>
    <row r="152" spans="1:20" s="71" customFormat="1" x14ac:dyDescent="0.25">
      <c r="A152" s="186" t="s">
        <v>321</v>
      </c>
      <c r="B152" s="187"/>
      <c r="C152" s="187"/>
      <c r="D152" s="187"/>
      <c r="E152" s="187"/>
      <c r="F152" s="187"/>
      <c r="G152" s="187"/>
      <c r="H152" s="188"/>
      <c r="J152" s="36"/>
    </row>
    <row r="153" spans="1:20" s="71" customFormat="1" ht="15.75" customHeight="1" x14ac:dyDescent="0.25">
      <c r="A153" s="113" t="s">
        <v>322</v>
      </c>
      <c r="B153" s="114"/>
      <c r="C153" s="114"/>
      <c r="D153" s="114"/>
      <c r="E153" s="114"/>
      <c r="F153" s="114"/>
      <c r="G153" s="114"/>
      <c r="H153" s="115"/>
      <c r="I153" s="71">
        <f>10.764</f>
        <v>10.763999999999999</v>
      </c>
      <c r="J153" s="36"/>
    </row>
    <row r="154" spans="1:20" s="37" customFormat="1" ht="15.75" customHeight="1" x14ac:dyDescent="0.25">
      <c r="A154" s="113" t="s">
        <v>343</v>
      </c>
      <c r="B154" s="114"/>
      <c r="C154" s="114"/>
      <c r="D154" s="114"/>
      <c r="E154" s="114"/>
      <c r="F154" s="114"/>
      <c r="G154" s="114"/>
      <c r="H154" s="115"/>
      <c r="I154" s="37">
        <f>7+5</f>
        <v>12</v>
      </c>
      <c r="J154" s="36"/>
    </row>
    <row r="155" spans="1:20" s="37" customFormat="1" ht="15.75" customHeight="1" x14ac:dyDescent="0.25">
      <c r="A155" s="109">
        <v>1</v>
      </c>
      <c r="B155" s="110"/>
      <c r="C155" s="42" t="s">
        <v>323</v>
      </c>
      <c r="D155" s="83">
        <f>(43.93)*(10.764)</f>
        <v>472.86251999999996</v>
      </c>
      <c r="E155" s="70">
        <f>(1.2*(2.95+2.5+2.85+2.7))*10.764</f>
        <v>142.08479999999997</v>
      </c>
      <c r="F155" s="42">
        <f>D155+E155</f>
        <v>614.94731999999999</v>
      </c>
      <c r="G155" s="59">
        <v>0</v>
      </c>
      <c r="H155" s="70">
        <f>F155*(($H$151)+1)+(IF(G155&lt;101,G155,IF(G155&lt;201,G155/2,IF(G155&lt;=301,G155/3,G155/4))))</f>
        <v>922.42097999999999</v>
      </c>
      <c r="I155" s="36"/>
      <c r="J155" s="70">
        <v>885</v>
      </c>
      <c r="K155" s="74">
        <f>J155/F155</f>
        <v>1.4391476655268618</v>
      </c>
      <c r="L155" s="108"/>
      <c r="M155" s="108"/>
      <c r="N155" s="36"/>
      <c r="T155" s="21"/>
    </row>
    <row r="156" spans="1:20" s="37" customFormat="1" ht="15.75" customHeight="1" x14ac:dyDescent="0.25">
      <c r="A156" s="109">
        <f>A155+1</f>
        <v>2</v>
      </c>
      <c r="B156" s="110"/>
      <c r="C156" s="42" t="s">
        <v>324</v>
      </c>
      <c r="D156" s="83">
        <f>(34.63)*(10.764)</f>
        <v>372.75731999999999</v>
      </c>
      <c r="E156" s="70">
        <f>(1.2*(2.78+2.55))*10.764</f>
        <v>68.846543999999994</v>
      </c>
      <c r="F156" s="59">
        <f>D156+E156</f>
        <v>441.60386399999999</v>
      </c>
      <c r="G156" s="59">
        <v>0</v>
      </c>
      <c r="H156" s="70">
        <f t="shared" ref="H156:H186" si="2">F156*(($H$151)+1)+(IF(G156&lt;101,G156,IF(G156&lt;201,G156/2,IF(G156&lt;=301,G156/3,G156/4))))</f>
        <v>662.40579600000001</v>
      </c>
      <c r="I156" s="36"/>
      <c r="J156" s="70">
        <v>675</v>
      </c>
      <c r="K156" s="74">
        <f t="shared" ref="K156:K164" si="3">J156/F156</f>
        <v>1.5285192341523535</v>
      </c>
      <c r="L156" s="108"/>
      <c r="M156" s="108"/>
      <c r="N156" s="36"/>
    </row>
    <row r="157" spans="1:20" s="37" customFormat="1" ht="15.75" customHeight="1" x14ac:dyDescent="0.25">
      <c r="A157" s="109">
        <f>A156+1</f>
        <v>3</v>
      </c>
      <c r="B157" s="110"/>
      <c r="C157" s="70" t="s">
        <v>323</v>
      </c>
      <c r="D157" s="83">
        <f>(50.86)*(10.764)</f>
        <v>547.45704000000001</v>
      </c>
      <c r="E157" s="70">
        <f>(1.2*(2.5+2.83+2.9))*10.764</f>
        <v>106.30526399999999</v>
      </c>
      <c r="F157" s="59">
        <f>D157+E157</f>
        <v>653.76230399999997</v>
      </c>
      <c r="G157" s="59">
        <v>0</v>
      </c>
      <c r="H157" s="70">
        <f t="shared" si="2"/>
        <v>980.64345600000001</v>
      </c>
      <c r="I157" s="36"/>
      <c r="J157" s="70">
        <v>995</v>
      </c>
      <c r="K157" s="74">
        <f t="shared" si="3"/>
        <v>1.5219598834502395</v>
      </c>
      <c r="L157" s="108"/>
      <c r="M157" s="108"/>
      <c r="N157" s="36"/>
    </row>
    <row r="158" spans="1:20" s="37" customFormat="1" ht="15.75" customHeight="1" x14ac:dyDescent="0.25">
      <c r="A158" s="109">
        <f>A157+1</f>
        <v>4</v>
      </c>
      <c r="B158" s="110"/>
      <c r="C158" s="70" t="s">
        <v>324</v>
      </c>
      <c r="D158" s="83">
        <f>(31.12+2.75)*(10.764)</f>
        <v>364.57668000000001</v>
      </c>
      <c r="E158" s="70">
        <f>(1.2*(2.85+2.55))*10.764</f>
        <v>69.750720000000001</v>
      </c>
      <c r="F158" s="59">
        <f>D158+E158</f>
        <v>434.32740000000001</v>
      </c>
      <c r="G158" s="59">
        <v>0</v>
      </c>
      <c r="H158" s="70">
        <f t="shared" si="2"/>
        <v>651.49109999999996</v>
      </c>
      <c r="I158" s="36"/>
      <c r="J158" s="70">
        <v>655</v>
      </c>
      <c r="K158" s="74">
        <f t="shared" si="3"/>
        <v>1.5080789284765364</v>
      </c>
      <c r="L158" s="108"/>
      <c r="M158" s="108"/>
      <c r="N158" s="36"/>
    </row>
    <row r="159" spans="1:20" s="71" customFormat="1" ht="15.75" customHeight="1" x14ac:dyDescent="0.25">
      <c r="A159" s="109">
        <f t="shared" ref="A159:A164" si="4">A158+1</f>
        <v>5</v>
      </c>
      <c r="B159" s="110"/>
      <c r="C159" s="70" t="s">
        <v>323</v>
      </c>
      <c r="D159" s="83">
        <f>(45.16+2.85)*(10.764)</f>
        <v>516.77963999999997</v>
      </c>
      <c r="E159" s="70">
        <f>(1.2*(2.75+3+2.3))*10.764</f>
        <v>103.98023999999999</v>
      </c>
      <c r="F159" s="70">
        <f t="shared" ref="F159:F164" si="5">D159+E159</f>
        <v>620.75987999999995</v>
      </c>
      <c r="G159" s="70">
        <v>0</v>
      </c>
      <c r="H159" s="70">
        <f t="shared" si="2"/>
        <v>931.13981999999987</v>
      </c>
      <c r="I159" s="36"/>
      <c r="J159" s="70">
        <v>945</v>
      </c>
      <c r="K159" s="74">
        <f t="shared" si="3"/>
        <v>1.5223277638367996</v>
      </c>
      <c r="L159" s="108"/>
      <c r="M159" s="108"/>
      <c r="N159" s="36"/>
    </row>
    <row r="160" spans="1:20" s="71" customFormat="1" ht="15.75" customHeight="1" x14ac:dyDescent="0.25">
      <c r="A160" s="109">
        <f t="shared" si="4"/>
        <v>6</v>
      </c>
      <c r="B160" s="110"/>
      <c r="C160" s="70" t="s">
        <v>324</v>
      </c>
      <c r="D160" s="83">
        <f>(36.67)*(10.764)</f>
        <v>394.71587999999997</v>
      </c>
      <c r="E160" s="70">
        <f>(3.1*1)*10.764</f>
        <v>33.368400000000001</v>
      </c>
      <c r="F160" s="70">
        <f t="shared" si="5"/>
        <v>428.08427999999998</v>
      </c>
      <c r="G160" s="70">
        <v>0</v>
      </c>
      <c r="H160" s="70">
        <f t="shared" si="2"/>
        <v>642.12641999999994</v>
      </c>
      <c r="I160" s="36"/>
      <c r="J160" s="70">
        <v>645</v>
      </c>
      <c r="K160" s="74">
        <f t="shared" si="3"/>
        <v>1.5067126501351558</v>
      </c>
      <c r="L160" s="108"/>
      <c r="M160" s="108"/>
      <c r="N160" s="36"/>
    </row>
    <row r="161" spans="1:20" s="71" customFormat="1" ht="15.75" customHeight="1" x14ac:dyDescent="0.25">
      <c r="A161" s="109">
        <f t="shared" si="4"/>
        <v>7</v>
      </c>
      <c r="B161" s="110"/>
      <c r="C161" s="70" t="s">
        <v>323</v>
      </c>
      <c r="D161" s="83">
        <f>(45.97)*(10.764)</f>
        <v>494.82107999999994</v>
      </c>
      <c r="E161" s="70">
        <f>(1.2*(2.85+2.5+2.95))*10.764</f>
        <v>107.20944</v>
      </c>
      <c r="F161" s="70">
        <f t="shared" si="5"/>
        <v>602.03051999999991</v>
      </c>
      <c r="G161" s="70">
        <v>0</v>
      </c>
      <c r="H161" s="70">
        <f t="shared" si="2"/>
        <v>903.04577999999992</v>
      </c>
      <c r="I161" s="36"/>
      <c r="J161" s="70">
        <v>845</v>
      </c>
      <c r="K161" s="74">
        <f t="shared" si="3"/>
        <v>1.4035833266393207</v>
      </c>
      <c r="L161" s="108"/>
      <c r="M161" s="108"/>
      <c r="N161" s="36"/>
    </row>
    <row r="162" spans="1:20" s="71" customFormat="1" ht="15.75" customHeight="1" x14ac:dyDescent="0.25">
      <c r="A162" s="109">
        <f t="shared" si="4"/>
        <v>8</v>
      </c>
      <c r="B162" s="110"/>
      <c r="C162" s="70" t="s">
        <v>324</v>
      </c>
      <c r="D162" s="83">
        <f>(34.09)*(10.764)</f>
        <v>366.94476000000003</v>
      </c>
      <c r="E162" s="70">
        <f>(1.2*(2.85+3.3))*10.764</f>
        <v>79.43831999999999</v>
      </c>
      <c r="F162" s="70">
        <f t="shared" si="5"/>
        <v>446.38308000000001</v>
      </c>
      <c r="G162" s="70">
        <v>0</v>
      </c>
      <c r="H162" s="70">
        <f t="shared" si="2"/>
        <v>669.57461999999998</v>
      </c>
      <c r="I162" s="36"/>
      <c r="J162" s="70">
        <v>680</v>
      </c>
      <c r="K162" s="74">
        <f t="shared" si="3"/>
        <v>1.5233552311167349</v>
      </c>
      <c r="L162" s="108"/>
      <c r="M162" s="108"/>
      <c r="N162" s="36"/>
    </row>
    <row r="163" spans="1:20" s="71" customFormat="1" ht="15.75" customHeight="1" x14ac:dyDescent="0.25">
      <c r="A163" s="109">
        <f t="shared" si="4"/>
        <v>9</v>
      </c>
      <c r="B163" s="110"/>
      <c r="C163" s="70" t="s">
        <v>323</v>
      </c>
      <c r="D163" s="83">
        <f>(48.94)*(10.764)</f>
        <v>526.7901599999999</v>
      </c>
      <c r="E163" s="70">
        <f>(1.2*(2.7+3.5+2.5+3.7))*10.764</f>
        <v>160.16831999999997</v>
      </c>
      <c r="F163" s="70">
        <f t="shared" si="5"/>
        <v>686.95847999999989</v>
      </c>
      <c r="G163" s="70">
        <v>0</v>
      </c>
      <c r="H163" s="70">
        <f t="shared" si="2"/>
        <v>1030.4377199999999</v>
      </c>
      <c r="I163" s="36"/>
      <c r="J163" s="70">
        <v>920</v>
      </c>
      <c r="K163" s="74">
        <f t="shared" si="3"/>
        <v>1.3392366886569333</v>
      </c>
      <c r="L163" s="108"/>
      <c r="M163" s="108"/>
      <c r="N163" s="36"/>
    </row>
    <row r="164" spans="1:20" s="71" customFormat="1" ht="15.75" customHeight="1" x14ac:dyDescent="0.25">
      <c r="A164" s="109">
        <f t="shared" si="4"/>
        <v>10</v>
      </c>
      <c r="B164" s="110"/>
      <c r="C164" s="70" t="s">
        <v>324</v>
      </c>
      <c r="D164" s="83">
        <f>(33.21)*(10.764)</f>
        <v>357.47244000000001</v>
      </c>
      <c r="E164" s="70">
        <f>(1.2*(2.85+2.55))*10.764</f>
        <v>69.750720000000001</v>
      </c>
      <c r="F164" s="70">
        <f t="shared" si="5"/>
        <v>427.22316000000001</v>
      </c>
      <c r="G164" s="70">
        <v>0</v>
      </c>
      <c r="H164" s="70">
        <f t="shared" si="2"/>
        <v>640.83474000000001</v>
      </c>
      <c r="I164" s="36"/>
      <c r="J164" s="70">
        <v>645</v>
      </c>
      <c r="K164" s="74">
        <f t="shared" si="3"/>
        <v>1.5097496118890184</v>
      </c>
      <c r="L164" s="108"/>
      <c r="M164" s="108"/>
      <c r="N164" s="36">
        <f>3600000/H164</f>
        <v>5617.6729744707663</v>
      </c>
      <c r="O164" s="71">
        <f>3354000/H164</f>
        <v>5233.7986545485974</v>
      </c>
    </row>
    <row r="165" spans="1:20" s="75" customFormat="1" ht="15.75" customHeight="1" x14ac:dyDescent="0.25">
      <c r="A165" s="113" t="s">
        <v>345</v>
      </c>
      <c r="B165" s="114"/>
      <c r="C165" s="114"/>
      <c r="D165" s="114"/>
      <c r="E165" s="114"/>
      <c r="F165" s="114"/>
      <c r="G165" s="114"/>
      <c r="H165" s="115"/>
      <c r="I165" s="75">
        <f>1</f>
        <v>1</v>
      </c>
      <c r="J165" s="36"/>
    </row>
    <row r="166" spans="1:20" s="75" customFormat="1" ht="15.75" customHeight="1" x14ac:dyDescent="0.25">
      <c r="A166" s="109">
        <v>1</v>
      </c>
      <c r="B166" s="110"/>
      <c r="C166" s="70" t="s">
        <v>323</v>
      </c>
      <c r="D166" s="83">
        <f>(43.93)*(10.764)</f>
        <v>472.86251999999996</v>
      </c>
      <c r="E166" s="70">
        <f>(1.2*(2.95+2.5+2.85+2.7))*10.764</f>
        <v>142.08479999999997</v>
      </c>
      <c r="F166" s="70">
        <f>D166+E166</f>
        <v>614.94731999999999</v>
      </c>
      <c r="G166" s="70">
        <v>0</v>
      </c>
      <c r="H166" s="70">
        <f t="shared" si="2"/>
        <v>922.42097999999999</v>
      </c>
      <c r="I166" s="36"/>
      <c r="J166" s="77"/>
      <c r="K166" s="78"/>
      <c r="L166" s="112"/>
      <c r="M166" s="112"/>
      <c r="N166" s="79"/>
      <c r="T166" s="21"/>
    </row>
    <row r="167" spans="1:20" s="75" customFormat="1" ht="15.75" customHeight="1" x14ac:dyDescent="0.25">
      <c r="A167" s="109" t="s">
        <v>344</v>
      </c>
      <c r="B167" s="111"/>
      <c r="C167" s="111"/>
      <c r="D167" s="111"/>
      <c r="E167" s="111"/>
      <c r="F167" s="111"/>
      <c r="G167" s="111"/>
      <c r="H167" s="110"/>
      <c r="I167" s="36"/>
      <c r="J167" s="77"/>
      <c r="K167" s="78"/>
      <c r="L167" s="112"/>
      <c r="M167" s="112"/>
      <c r="N167" s="79"/>
    </row>
    <row r="168" spans="1:20" s="75" customFormat="1" ht="15.75" customHeight="1" x14ac:dyDescent="0.25">
      <c r="A168" s="109">
        <v>2</v>
      </c>
      <c r="B168" s="110"/>
      <c r="C168" s="70" t="s">
        <v>323</v>
      </c>
      <c r="D168" s="83">
        <f>(50.86)*(10.764)</f>
        <v>547.45704000000001</v>
      </c>
      <c r="E168" s="70">
        <f>(1.2*(2.5+2.83+2.9))*10.764</f>
        <v>106.30526399999999</v>
      </c>
      <c r="F168" s="70">
        <f>D168+E168</f>
        <v>653.76230399999997</v>
      </c>
      <c r="G168" s="70">
        <v>0</v>
      </c>
      <c r="H168" s="70">
        <f t="shared" si="2"/>
        <v>980.64345600000001</v>
      </c>
      <c r="I168" s="36"/>
      <c r="J168" s="77"/>
      <c r="K168" s="78"/>
      <c r="L168" s="112"/>
      <c r="M168" s="112"/>
      <c r="N168" s="79"/>
    </row>
    <row r="169" spans="1:20" s="75" customFormat="1" ht="15.75" customHeight="1" x14ac:dyDescent="0.25">
      <c r="A169" s="109">
        <f>A168+1</f>
        <v>3</v>
      </c>
      <c r="B169" s="110"/>
      <c r="C169" s="70" t="s">
        <v>324</v>
      </c>
      <c r="D169" s="83">
        <f>(31.13+2.75)*(10.764)</f>
        <v>364.68431999999996</v>
      </c>
      <c r="E169" s="70">
        <f>(1.2*(2.85+2.55))*10.764</f>
        <v>69.750720000000001</v>
      </c>
      <c r="F169" s="70">
        <f>D169+E169</f>
        <v>434.43503999999996</v>
      </c>
      <c r="G169" s="70">
        <v>0</v>
      </c>
      <c r="H169" s="70">
        <f t="shared" si="2"/>
        <v>651.65255999999999</v>
      </c>
      <c r="I169" s="36"/>
      <c r="J169" s="77"/>
      <c r="K169" s="78"/>
      <c r="L169" s="112"/>
      <c r="M169" s="112"/>
      <c r="N169" s="79"/>
    </row>
    <row r="170" spans="1:20" s="75" customFormat="1" ht="15.75" customHeight="1" x14ac:dyDescent="0.25">
      <c r="A170" s="109">
        <f t="shared" ref="A170:A175" si="6">A169+1</f>
        <v>4</v>
      </c>
      <c r="B170" s="110"/>
      <c r="C170" s="70" t="s">
        <v>323</v>
      </c>
      <c r="D170" s="83">
        <f>(45.16+2.85)*(10.764)</f>
        <v>516.77963999999997</v>
      </c>
      <c r="E170" s="70">
        <f>(1.2*(2.75+3+2.3))*10.764</f>
        <v>103.98023999999999</v>
      </c>
      <c r="F170" s="70">
        <f t="shared" ref="F170:F175" si="7">D170+E170</f>
        <v>620.75987999999995</v>
      </c>
      <c r="G170" s="70">
        <v>0</v>
      </c>
      <c r="H170" s="70">
        <f t="shared" si="2"/>
        <v>931.13981999999987</v>
      </c>
      <c r="I170" s="36"/>
      <c r="J170" s="77"/>
      <c r="K170" s="78"/>
      <c r="L170" s="112"/>
      <c r="M170" s="112"/>
      <c r="N170" s="79"/>
    </row>
    <row r="171" spans="1:20" s="75" customFormat="1" ht="15.75" customHeight="1" x14ac:dyDescent="0.25">
      <c r="A171" s="109">
        <f t="shared" si="6"/>
        <v>5</v>
      </c>
      <c r="B171" s="110"/>
      <c r="C171" s="70" t="s">
        <v>324</v>
      </c>
      <c r="D171" s="83">
        <f>(36.67)*(10.764)</f>
        <v>394.71587999999997</v>
      </c>
      <c r="E171" s="70">
        <f>(3.1*1)*10.764</f>
        <v>33.368400000000001</v>
      </c>
      <c r="F171" s="70">
        <f t="shared" si="7"/>
        <v>428.08427999999998</v>
      </c>
      <c r="G171" s="70">
        <v>0</v>
      </c>
      <c r="H171" s="70">
        <f t="shared" si="2"/>
        <v>642.12641999999994</v>
      </c>
      <c r="I171" s="36"/>
      <c r="J171" s="77">
        <f>H172*F117+SUM(F121:H125)</f>
        <v>4559467.4550000001</v>
      </c>
      <c r="K171" s="78"/>
      <c r="L171" s="112"/>
      <c r="M171" s="112"/>
      <c r="N171" s="79"/>
    </row>
    <row r="172" spans="1:20" s="75" customFormat="1" ht="15.75" customHeight="1" x14ac:dyDescent="0.25">
      <c r="A172" s="109">
        <f t="shared" si="6"/>
        <v>6</v>
      </c>
      <c r="B172" s="110"/>
      <c r="C172" s="70" t="s">
        <v>323</v>
      </c>
      <c r="D172" s="83">
        <f>(45.97)*(10.764)</f>
        <v>494.82107999999994</v>
      </c>
      <c r="E172" s="70">
        <f>(1.2*(2.85+2.5+2.95))*10.764</f>
        <v>107.20944</v>
      </c>
      <c r="F172" s="70">
        <f t="shared" si="7"/>
        <v>602.03051999999991</v>
      </c>
      <c r="G172" s="70">
        <v>0</v>
      </c>
      <c r="H172" s="70">
        <f t="shared" si="2"/>
        <v>903.04577999999992</v>
      </c>
      <c r="I172" s="116" t="s">
        <v>341</v>
      </c>
      <c r="J172" s="117"/>
      <c r="K172" s="117"/>
      <c r="L172" s="117"/>
      <c r="M172" s="117"/>
      <c r="N172" s="117"/>
    </row>
    <row r="173" spans="1:20" s="75" customFormat="1" ht="15.75" customHeight="1" x14ac:dyDescent="0.25">
      <c r="A173" s="109">
        <f t="shared" si="6"/>
        <v>7</v>
      </c>
      <c r="B173" s="110"/>
      <c r="C173" s="70" t="s">
        <v>324</v>
      </c>
      <c r="D173" s="83">
        <f>(34.09)*(10.764)</f>
        <v>366.94476000000003</v>
      </c>
      <c r="E173" s="70">
        <f>(1.2*(2.85+3.3))*10.764</f>
        <v>79.43831999999999</v>
      </c>
      <c r="F173" s="70">
        <f t="shared" si="7"/>
        <v>446.38308000000001</v>
      </c>
      <c r="G173" s="70">
        <v>0</v>
      </c>
      <c r="H173" s="70">
        <f t="shared" si="2"/>
        <v>669.57461999999998</v>
      </c>
      <c r="I173" s="36"/>
      <c r="J173" s="77"/>
      <c r="K173" s="78"/>
      <c r="L173" s="112"/>
      <c r="M173" s="112"/>
      <c r="N173" s="79"/>
    </row>
    <row r="174" spans="1:20" s="75" customFormat="1" ht="15.75" customHeight="1" x14ac:dyDescent="0.25">
      <c r="A174" s="109">
        <f t="shared" si="6"/>
        <v>8</v>
      </c>
      <c r="B174" s="110"/>
      <c r="C174" s="70" t="s">
        <v>323</v>
      </c>
      <c r="D174" s="83">
        <f>(48.95)*(10.764)</f>
        <v>526.89779999999996</v>
      </c>
      <c r="E174" s="70">
        <f>(1.2*(2.7+3.5+2.5+3.7))*10.764</f>
        <v>160.16831999999997</v>
      </c>
      <c r="F174" s="70">
        <f t="shared" si="7"/>
        <v>687.06611999999996</v>
      </c>
      <c r="G174" s="70">
        <v>0</v>
      </c>
      <c r="H174" s="70">
        <f t="shared" si="2"/>
        <v>1030.5991799999999</v>
      </c>
      <c r="I174" s="36"/>
      <c r="J174" s="77"/>
      <c r="K174" s="78"/>
      <c r="L174" s="112"/>
      <c r="M174" s="112"/>
      <c r="N174" s="79"/>
    </row>
    <row r="175" spans="1:20" s="75" customFormat="1" ht="15.75" customHeight="1" x14ac:dyDescent="0.25">
      <c r="A175" s="109">
        <f t="shared" si="6"/>
        <v>9</v>
      </c>
      <c r="B175" s="110"/>
      <c r="C175" s="70" t="s">
        <v>324</v>
      </c>
      <c r="D175" s="83">
        <f>(33.21)*(10.764)</f>
        <v>357.47244000000001</v>
      </c>
      <c r="E175" s="70">
        <f>(1.2*(2.85+2.55))*10.764</f>
        <v>69.750720000000001</v>
      </c>
      <c r="F175" s="70">
        <f t="shared" si="7"/>
        <v>427.22316000000001</v>
      </c>
      <c r="G175" s="70">
        <v>0</v>
      </c>
      <c r="H175" s="70">
        <f t="shared" si="2"/>
        <v>640.83474000000001</v>
      </c>
      <c r="I175" s="36"/>
      <c r="J175" s="77"/>
      <c r="K175" s="78"/>
      <c r="L175" s="112"/>
      <c r="M175" s="112"/>
      <c r="N175" s="79"/>
    </row>
    <row r="176" spans="1:20" s="81" customFormat="1" ht="15.75" customHeight="1" x14ac:dyDescent="0.25">
      <c r="A176" s="113" t="s">
        <v>346</v>
      </c>
      <c r="B176" s="114"/>
      <c r="C176" s="114"/>
      <c r="D176" s="114"/>
      <c r="E176" s="114"/>
      <c r="F176" s="114"/>
      <c r="G176" s="114"/>
      <c r="H176" s="115"/>
      <c r="I176" s="81">
        <f>1</f>
        <v>1</v>
      </c>
      <c r="J176" s="82"/>
    </row>
    <row r="177" spans="1:20" s="81" customFormat="1" ht="15.75" customHeight="1" x14ac:dyDescent="0.25">
      <c r="A177" s="109">
        <v>1</v>
      </c>
      <c r="B177" s="110"/>
      <c r="C177" s="70" t="s">
        <v>323</v>
      </c>
      <c r="D177" s="83">
        <f>(43.93)*(10.764)</f>
        <v>472.86251999999996</v>
      </c>
      <c r="E177" s="70">
        <f>(1.2*(2.95+2.5+2.85+2.7))*10.764</f>
        <v>142.08479999999997</v>
      </c>
      <c r="F177" s="70">
        <f>D177+E177</f>
        <v>614.94731999999999</v>
      </c>
      <c r="G177" s="70">
        <v>0</v>
      </c>
      <c r="H177" s="70">
        <f t="shared" si="2"/>
        <v>922.42097999999999</v>
      </c>
      <c r="I177" s="82"/>
      <c r="J177" s="77"/>
      <c r="K177" s="78"/>
      <c r="L177" s="112"/>
      <c r="M177" s="112"/>
      <c r="N177" s="79"/>
      <c r="T177" s="21"/>
    </row>
    <row r="178" spans="1:20" s="81" customFormat="1" ht="15.75" customHeight="1" x14ac:dyDescent="0.25">
      <c r="A178" s="109" t="s">
        <v>344</v>
      </c>
      <c r="B178" s="111"/>
      <c r="C178" s="111"/>
      <c r="D178" s="111"/>
      <c r="E178" s="111"/>
      <c r="F178" s="111"/>
      <c r="G178" s="111"/>
      <c r="H178" s="110"/>
      <c r="I178" s="82"/>
      <c r="J178" s="77"/>
      <c r="K178" s="78"/>
      <c r="L178" s="112"/>
      <c r="M178" s="112"/>
      <c r="N178" s="79"/>
    </row>
    <row r="179" spans="1:20" s="81" customFormat="1" ht="15.75" customHeight="1" x14ac:dyDescent="0.25">
      <c r="A179" s="109">
        <v>2</v>
      </c>
      <c r="B179" s="110"/>
      <c r="C179" s="70" t="s">
        <v>323</v>
      </c>
      <c r="D179" s="83">
        <f>(50.86)*(10.764)</f>
        <v>547.45704000000001</v>
      </c>
      <c r="E179" s="70">
        <f>(1.2*(2.5+2.83+2.9))*10.764</f>
        <v>106.30526399999999</v>
      </c>
      <c r="F179" s="70">
        <f>D179+E179</f>
        <v>653.76230399999997</v>
      </c>
      <c r="G179" s="70">
        <v>0</v>
      </c>
      <c r="H179" s="70">
        <f t="shared" si="2"/>
        <v>980.64345600000001</v>
      </c>
      <c r="I179" s="82"/>
      <c r="J179" s="77"/>
      <c r="K179" s="78"/>
      <c r="L179" s="112"/>
      <c r="M179" s="112"/>
      <c r="N179" s="79"/>
    </row>
    <row r="180" spans="1:20" s="81" customFormat="1" ht="15.75" customHeight="1" x14ac:dyDescent="0.25">
      <c r="A180" s="109">
        <f>A179+1</f>
        <v>3</v>
      </c>
      <c r="B180" s="110"/>
      <c r="C180" s="92" t="s">
        <v>324</v>
      </c>
      <c r="D180" s="93">
        <f>(29.31+2.75+2.45)*(10.764)</f>
        <v>371.46564000000001</v>
      </c>
      <c r="E180" s="92">
        <f>(1.2*(2.85))*10.764</f>
        <v>36.81288</v>
      </c>
      <c r="F180" s="70">
        <f>D180+E180</f>
        <v>408.27852000000001</v>
      </c>
      <c r="G180" s="70">
        <v>0</v>
      </c>
      <c r="H180" s="70">
        <f t="shared" si="2"/>
        <v>612.41777999999999</v>
      </c>
      <c r="I180" s="82"/>
      <c r="J180" s="77"/>
      <c r="K180" s="78"/>
      <c r="L180" s="112"/>
      <c r="M180" s="112"/>
      <c r="N180" s="79"/>
    </row>
    <row r="181" spans="1:20" s="81" customFormat="1" ht="15.75" customHeight="1" x14ac:dyDescent="0.25">
      <c r="A181" s="109">
        <f t="shared" ref="A181:A186" si="8">A180+1</f>
        <v>4</v>
      </c>
      <c r="B181" s="110"/>
      <c r="C181" s="70" t="s">
        <v>323</v>
      </c>
      <c r="D181" s="83">
        <f>(45.04+2.85)*(10.764)</f>
        <v>515.48795999999993</v>
      </c>
      <c r="E181" s="70">
        <f>(1.2*(2.75+3+2.3))*10.764</f>
        <v>103.98023999999999</v>
      </c>
      <c r="F181" s="70">
        <f t="shared" ref="F181:F186" si="9">D181+E181</f>
        <v>619.46819999999991</v>
      </c>
      <c r="G181" s="70">
        <v>0</v>
      </c>
      <c r="H181" s="70">
        <f t="shared" si="2"/>
        <v>929.20229999999992</v>
      </c>
      <c r="I181" s="82"/>
      <c r="J181" s="77"/>
      <c r="K181" s="78"/>
      <c r="L181" s="112"/>
      <c r="M181" s="112"/>
      <c r="N181" s="79"/>
    </row>
    <row r="182" spans="1:20" s="81" customFormat="1" ht="15.75" customHeight="1" x14ac:dyDescent="0.25">
      <c r="A182" s="109">
        <f t="shared" si="8"/>
        <v>5</v>
      </c>
      <c r="B182" s="110"/>
      <c r="C182" s="70" t="s">
        <v>324</v>
      </c>
      <c r="D182" s="83">
        <f>(36.67)*(10.764)</f>
        <v>394.71587999999997</v>
      </c>
      <c r="E182" s="70">
        <f>(3.1*1)*10.764</f>
        <v>33.368400000000001</v>
      </c>
      <c r="F182" s="70">
        <f t="shared" si="9"/>
        <v>428.08427999999998</v>
      </c>
      <c r="G182" s="70">
        <v>0</v>
      </c>
      <c r="H182" s="70">
        <f t="shared" si="2"/>
        <v>642.12641999999994</v>
      </c>
      <c r="I182" s="82"/>
      <c r="J182" s="77">
        <f>H183*F128+SUM(F132:H136)</f>
        <v>3542686.3119959999</v>
      </c>
      <c r="K182" s="78"/>
      <c r="L182" s="112"/>
      <c r="M182" s="112"/>
      <c r="N182" s="79"/>
    </row>
    <row r="183" spans="1:20" s="81" customFormat="1" ht="15.75" customHeight="1" x14ac:dyDescent="0.25">
      <c r="A183" s="109">
        <f t="shared" si="8"/>
        <v>6</v>
      </c>
      <c r="B183" s="110"/>
      <c r="C183" s="70" t="s">
        <v>323</v>
      </c>
      <c r="D183" s="83">
        <f>(45.97)*(10.764)</f>
        <v>494.82107999999994</v>
      </c>
      <c r="E183" s="70">
        <f>(1.2*(2.85+2.5+2.95))*10.764</f>
        <v>107.20944</v>
      </c>
      <c r="F183" s="70">
        <f t="shared" si="9"/>
        <v>602.03051999999991</v>
      </c>
      <c r="G183" s="70">
        <v>0</v>
      </c>
      <c r="H183" s="70">
        <f t="shared" si="2"/>
        <v>903.04577999999992</v>
      </c>
      <c r="I183" s="116" t="s">
        <v>341</v>
      </c>
      <c r="J183" s="117"/>
      <c r="K183" s="117"/>
      <c r="L183" s="117"/>
      <c r="M183" s="117"/>
      <c r="N183" s="117"/>
    </row>
    <row r="184" spans="1:20" s="81" customFormat="1" ht="15.75" customHeight="1" x14ac:dyDescent="0.25">
      <c r="A184" s="109">
        <f t="shared" si="8"/>
        <v>7</v>
      </c>
      <c r="B184" s="110"/>
      <c r="C184" s="70" t="s">
        <v>324</v>
      </c>
      <c r="D184" s="83">
        <f>(34.09)*(10.764)</f>
        <v>366.94476000000003</v>
      </c>
      <c r="E184" s="70">
        <f>(1.2*(2.85+3.3))*10.764</f>
        <v>79.43831999999999</v>
      </c>
      <c r="F184" s="70">
        <f t="shared" si="9"/>
        <v>446.38308000000001</v>
      </c>
      <c r="G184" s="70">
        <v>0</v>
      </c>
      <c r="H184" s="70">
        <f t="shared" si="2"/>
        <v>669.57461999999998</v>
      </c>
      <c r="I184" s="82"/>
      <c r="J184" s="77"/>
      <c r="K184" s="78"/>
      <c r="L184" s="112"/>
      <c r="M184" s="112"/>
      <c r="N184" s="79"/>
    </row>
    <row r="185" spans="1:20" s="81" customFormat="1" ht="15.75" customHeight="1" x14ac:dyDescent="0.25">
      <c r="A185" s="109">
        <f t="shared" si="8"/>
        <v>8</v>
      </c>
      <c r="B185" s="110"/>
      <c r="C185" s="70" t="s">
        <v>323</v>
      </c>
      <c r="D185" s="83">
        <f>(48.95)*(10.764)</f>
        <v>526.89779999999996</v>
      </c>
      <c r="E185" s="70">
        <f>(1.2*(2.7+3.5+2.5+3.7))*10.764</f>
        <v>160.16831999999997</v>
      </c>
      <c r="F185" s="70">
        <f t="shared" si="9"/>
        <v>687.06611999999996</v>
      </c>
      <c r="G185" s="70">
        <v>0</v>
      </c>
      <c r="H185" s="70">
        <f t="shared" si="2"/>
        <v>1030.5991799999999</v>
      </c>
      <c r="I185" s="82"/>
      <c r="J185" s="77"/>
      <c r="K185" s="78"/>
      <c r="L185" s="112"/>
      <c r="M185" s="112"/>
      <c r="N185" s="79"/>
    </row>
    <row r="186" spans="1:20" s="81" customFormat="1" ht="15.75" customHeight="1" x14ac:dyDescent="0.25">
      <c r="A186" s="109">
        <f t="shared" si="8"/>
        <v>9</v>
      </c>
      <c r="B186" s="110"/>
      <c r="C186" s="70" t="s">
        <v>324</v>
      </c>
      <c r="D186" s="83">
        <f>(33.21)*(10.764)</f>
        <v>357.47244000000001</v>
      </c>
      <c r="E186" s="70">
        <f>(1.2*(2.85+2.55))*10.764</f>
        <v>69.750720000000001</v>
      </c>
      <c r="F186" s="70">
        <f t="shared" si="9"/>
        <v>427.22316000000001</v>
      </c>
      <c r="G186" s="70">
        <v>0</v>
      </c>
      <c r="H186" s="70">
        <f t="shared" si="2"/>
        <v>640.83474000000001</v>
      </c>
      <c r="I186" s="82"/>
      <c r="J186" s="77"/>
      <c r="K186" s="78"/>
      <c r="L186" s="112"/>
      <c r="M186" s="112"/>
      <c r="N186" s="79"/>
    </row>
    <row r="187" spans="1:20" s="71" customFormat="1" x14ac:dyDescent="0.25">
      <c r="A187" s="186" t="s">
        <v>325</v>
      </c>
      <c r="B187" s="187"/>
      <c r="C187" s="187"/>
      <c r="D187" s="187"/>
      <c r="E187" s="187"/>
      <c r="F187" s="187"/>
      <c r="G187" s="187"/>
      <c r="H187" s="249"/>
      <c r="J187" s="36"/>
    </row>
    <row r="188" spans="1:20" s="71" customFormat="1" ht="15.75" customHeight="1" x14ac:dyDescent="0.25">
      <c r="A188" s="113" t="s">
        <v>354</v>
      </c>
      <c r="B188" s="114"/>
      <c r="C188" s="114"/>
      <c r="D188" s="114"/>
      <c r="E188" s="114"/>
      <c r="F188" s="114"/>
      <c r="G188" s="114"/>
      <c r="H188" s="115"/>
      <c r="J188" s="36"/>
    </row>
    <row r="189" spans="1:20" s="81" customFormat="1" ht="15.75" customHeight="1" x14ac:dyDescent="0.25">
      <c r="A189" s="113" t="s">
        <v>343</v>
      </c>
      <c r="B189" s="114"/>
      <c r="C189" s="114"/>
      <c r="D189" s="114"/>
      <c r="E189" s="114"/>
      <c r="F189" s="114"/>
      <c r="G189" s="114"/>
      <c r="H189" s="115"/>
      <c r="I189" s="81">
        <f>12</f>
        <v>12</v>
      </c>
      <c r="J189" s="82"/>
    </row>
    <row r="190" spans="1:20" s="71" customFormat="1" ht="15.75" customHeight="1" x14ac:dyDescent="0.25">
      <c r="A190" s="109">
        <v>1</v>
      </c>
      <c r="B190" s="110"/>
      <c r="C190" s="70" t="s">
        <v>323</v>
      </c>
      <c r="D190" s="83">
        <f>(46.42+2.9)*(10.764)</f>
        <v>530.88047999999992</v>
      </c>
      <c r="E190" s="70">
        <f>(1.2*(2.85+2.5+3.5)+3.7*1.23)*10.764</f>
        <v>163.30064399999998</v>
      </c>
      <c r="F190" s="70">
        <f>D190+E190</f>
        <v>694.18112399999995</v>
      </c>
      <c r="G190" s="70">
        <v>0</v>
      </c>
      <c r="H190" s="70">
        <f t="shared" ref="H190:H218" si="10">F190*(($H$151)+1)+(IF(G190&lt;101,G190,IF(G190&lt;201,G190/2,IF(G190&lt;=301,G190/3,G190/4))))</f>
        <v>1041.271686</v>
      </c>
      <c r="I190" s="36"/>
      <c r="J190" s="70">
        <v>975</v>
      </c>
      <c r="K190" s="74">
        <f>J190/F190</f>
        <v>1.404532572683437</v>
      </c>
      <c r="L190" s="108"/>
      <c r="M190" s="108"/>
      <c r="N190" s="36"/>
      <c r="T190" s="21"/>
    </row>
    <row r="191" spans="1:20" s="71" customFormat="1" ht="15.75" customHeight="1" x14ac:dyDescent="0.25">
      <c r="A191" s="109">
        <f>A190+1</f>
        <v>2</v>
      </c>
      <c r="B191" s="110"/>
      <c r="C191" s="70" t="s">
        <v>323</v>
      </c>
      <c r="D191" s="83">
        <f>(46.04+3.7)*(10.764)</f>
        <v>535.40135999999995</v>
      </c>
      <c r="E191" s="70">
        <f>(1.2*2.7)*10.764</f>
        <v>34.875360000000001</v>
      </c>
      <c r="F191" s="70">
        <f>D191+E191</f>
        <v>570.27671999999995</v>
      </c>
      <c r="G191" s="70">
        <v>0</v>
      </c>
      <c r="H191" s="70">
        <f t="shared" si="10"/>
        <v>855.41507999999999</v>
      </c>
      <c r="I191" s="36"/>
      <c r="J191" s="70">
        <v>875</v>
      </c>
      <c r="K191" s="74">
        <f t="shared" ref="K191:K198" si="11">J191/F191</f>
        <v>1.5343428362286997</v>
      </c>
      <c r="L191" s="108"/>
      <c r="M191" s="108"/>
      <c r="N191" s="36"/>
    </row>
    <row r="192" spans="1:20" s="71" customFormat="1" ht="15.75" customHeight="1" x14ac:dyDescent="0.25">
      <c r="A192" s="109">
        <f>A191+1</f>
        <v>3</v>
      </c>
      <c r="B192" s="110"/>
      <c r="C192" s="70" t="s">
        <v>324</v>
      </c>
      <c r="D192" s="83">
        <f>(36.06)*(10.764)</f>
        <v>388.14983999999998</v>
      </c>
      <c r="E192" s="70">
        <f>(1.2*2.78)*10.764</f>
        <v>35.908703999999993</v>
      </c>
      <c r="F192" s="70">
        <f>D192+E192</f>
        <v>424.05854399999998</v>
      </c>
      <c r="G192" s="70">
        <v>0</v>
      </c>
      <c r="H192" s="70">
        <f t="shared" si="10"/>
        <v>636.08781599999998</v>
      </c>
      <c r="I192" s="36"/>
      <c r="J192" s="70">
        <v>645</v>
      </c>
      <c r="K192" s="74">
        <f t="shared" si="11"/>
        <v>1.521016400037444</v>
      </c>
      <c r="L192" s="108"/>
      <c r="M192" s="108"/>
      <c r="N192" s="36"/>
    </row>
    <row r="193" spans="1:20" s="71" customFormat="1" ht="15.75" customHeight="1" x14ac:dyDescent="0.25">
      <c r="A193" s="109">
        <f>A192+1</f>
        <v>4</v>
      </c>
      <c r="B193" s="110"/>
      <c r="C193" s="70" t="s">
        <v>323</v>
      </c>
      <c r="D193" s="83">
        <f>(45.39+2.9)*(10.764)</f>
        <v>519.79355999999996</v>
      </c>
      <c r="E193" s="70">
        <f>(1.2*(2.78))*10.764</f>
        <v>35.908703999999993</v>
      </c>
      <c r="F193" s="70">
        <f>D193+E193</f>
        <v>555.7022639999999</v>
      </c>
      <c r="G193" s="70">
        <v>0</v>
      </c>
      <c r="H193" s="70">
        <f t="shared" si="10"/>
        <v>833.55339599999979</v>
      </c>
      <c r="I193" s="36"/>
      <c r="J193" s="70">
        <v>840</v>
      </c>
      <c r="K193" s="74">
        <f t="shared" si="11"/>
        <v>1.5116008237101588</v>
      </c>
      <c r="L193" s="108"/>
      <c r="M193" s="108"/>
      <c r="N193" s="36"/>
    </row>
    <row r="194" spans="1:20" s="71" customFormat="1" ht="15.75" customHeight="1" x14ac:dyDescent="0.25">
      <c r="A194" s="109">
        <f t="shared" ref="A194:A198" si="12">A193+1</f>
        <v>5</v>
      </c>
      <c r="B194" s="110"/>
      <c r="C194" s="70" t="s">
        <v>323</v>
      </c>
      <c r="D194" s="83">
        <f>(45.61+2.95+2.5)*(10.764)</f>
        <v>549.60983999999996</v>
      </c>
      <c r="E194" s="70">
        <f>(1.2*(3+2.83))*10.764</f>
        <v>75.304943999999992</v>
      </c>
      <c r="F194" s="70">
        <f t="shared" ref="F194:F198" si="13">D194+E194</f>
        <v>624.91478399999994</v>
      </c>
      <c r="G194" s="70">
        <v>0</v>
      </c>
      <c r="H194" s="70">
        <f t="shared" si="10"/>
        <v>937.37217599999985</v>
      </c>
      <c r="I194" s="36"/>
      <c r="J194" s="70">
        <v>930</v>
      </c>
      <c r="K194" s="74">
        <f t="shared" si="11"/>
        <v>1.4882029099186747</v>
      </c>
      <c r="L194" s="108"/>
      <c r="M194" s="108"/>
      <c r="N194" s="36"/>
    </row>
    <row r="195" spans="1:20" s="71" customFormat="1" ht="15.75" customHeight="1" x14ac:dyDescent="0.25">
      <c r="A195" s="109">
        <f t="shared" si="12"/>
        <v>6</v>
      </c>
      <c r="B195" s="110"/>
      <c r="C195" s="70" t="s">
        <v>324</v>
      </c>
      <c r="D195" s="83">
        <f>(33.03)*(10.764)</f>
        <v>355.53492</v>
      </c>
      <c r="E195" s="70">
        <f>(1.2*(2.78+2.54))*10.764</f>
        <v>68.717376000000002</v>
      </c>
      <c r="F195" s="70">
        <f t="shared" si="13"/>
        <v>424.252296</v>
      </c>
      <c r="G195" s="70">
        <v>0</v>
      </c>
      <c r="H195" s="70">
        <f t="shared" si="10"/>
        <v>636.37844399999994</v>
      </c>
      <c r="I195" s="36"/>
      <c r="J195" s="70">
        <v>645</v>
      </c>
      <c r="K195" s="74">
        <f t="shared" si="11"/>
        <v>1.5203217662727746</v>
      </c>
      <c r="L195" s="108"/>
      <c r="M195" s="108"/>
      <c r="N195" s="36"/>
    </row>
    <row r="196" spans="1:20" s="71" customFormat="1" ht="15.75" customHeight="1" x14ac:dyDescent="0.25">
      <c r="A196" s="109">
        <f t="shared" si="12"/>
        <v>7</v>
      </c>
      <c r="B196" s="110"/>
      <c r="C196" s="70" t="s">
        <v>324</v>
      </c>
      <c r="D196" s="83">
        <f>(33.26)*(10.764)</f>
        <v>358.01063999999997</v>
      </c>
      <c r="E196" s="70">
        <f>(1.2*(2.7+2.54))*10.764</f>
        <v>67.684032000000002</v>
      </c>
      <c r="F196" s="70">
        <f t="shared" si="13"/>
        <v>425.69467199999997</v>
      </c>
      <c r="G196" s="70">
        <v>0</v>
      </c>
      <c r="H196" s="70">
        <f t="shared" si="10"/>
        <v>638.5420079999999</v>
      </c>
      <c r="I196" s="36"/>
      <c r="J196" s="70">
        <v>640</v>
      </c>
      <c r="K196" s="74">
        <f t="shared" si="11"/>
        <v>1.5034249712197481</v>
      </c>
      <c r="L196" s="108"/>
      <c r="M196" s="108"/>
      <c r="N196" s="36"/>
    </row>
    <row r="197" spans="1:20" s="71" customFormat="1" ht="15.75" customHeight="1" x14ac:dyDescent="0.25">
      <c r="A197" s="109">
        <f t="shared" si="12"/>
        <v>8</v>
      </c>
      <c r="B197" s="110"/>
      <c r="C197" s="70" t="s">
        <v>324</v>
      </c>
      <c r="D197" s="83">
        <f>(33.26)*(10.764)</f>
        <v>358.01063999999997</v>
      </c>
      <c r="E197" s="70">
        <f>(1.2*(2.55+2.7))*10.764</f>
        <v>67.813199999999995</v>
      </c>
      <c r="F197" s="70">
        <f t="shared" si="13"/>
        <v>425.82383999999996</v>
      </c>
      <c r="G197" s="70">
        <v>0</v>
      </c>
      <c r="H197" s="70">
        <f t="shared" si="10"/>
        <v>638.73575999999991</v>
      </c>
      <c r="I197" s="36"/>
      <c r="J197" s="70">
        <v>640</v>
      </c>
      <c r="K197" s="74">
        <f t="shared" si="11"/>
        <v>1.502968927244656</v>
      </c>
      <c r="L197" s="108"/>
      <c r="M197" s="108"/>
      <c r="N197" s="36"/>
    </row>
    <row r="198" spans="1:20" s="71" customFormat="1" ht="15.75" customHeight="1" x14ac:dyDescent="0.25">
      <c r="A198" s="109">
        <f t="shared" si="12"/>
        <v>9</v>
      </c>
      <c r="B198" s="110"/>
      <c r="C198" s="70" t="s">
        <v>324</v>
      </c>
      <c r="D198" s="83">
        <f>(33.03)*(10.764)</f>
        <v>355.53492</v>
      </c>
      <c r="E198" s="70">
        <f>(1.2*(2.85+2.55))*10.764</f>
        <v>69.750720000000001</v>
      </c>
      <c r="F198" s="70">
        <f t="shared" si="13"/>
        <v>425.28564</v>
      </c>
      <c r="G198" s="70">
        <v>0</v>
      </c>
      <c r="H198" s="70">
        <f t="shared" si="10"/>
        <v>637.92845999999997</v>
      </c>
      <c r="I198" s="36"/>
      <c r="J198" s="70">
        <v>645</v>
      </c>
      <c r="K198" s="74">
        <f t="shared" si="11"/>
        <v>1.51662774223931</v>
      </c>
      <c r="L198" s="108"/>
      <c r="M198" s="108"/>
      <c r="N198" s="36"/>
    </row>
    <row r="199" spans="1:20" s="71" customFormat="1" ht="15.75" customHeight="1" x14ac:dyDescent="0.25">
      <c r="A199" s="113" t="s">
        <v>345</v>
      </c>
      <c r="B199" s="114"/>
      <c r="C199" s="114"/>
      <c r="D199" s="114"/>
      <c r="E199" s="114"/>
      <c r="F199" s="114"/>
      <c r="G199" s="114"/>
      <c r="H199" s="115"/>
      <c r="I199" s="71">
        <f>1</f>
        <v>1</v>
      </c>
      <c r="J199" s="36"/>
    </row>
    <row r="200" spans="1:20" s="71" customFormat="1" ht="15.75" customHeight="1" x14ac:dyDescent="0.25">
      <c r="A200" s="109">
        <v>1</v>
      </c>
      <c r="B200" s="110"/>
      <c r="C200" s="70" t="s">
        <v>323</v>
      </c>
      <c r="D200" s="83">
        <f>(46.42+2.9)*(10.764)</f>
        <v>530.88047999999992</v>
      </c>
      <c r="E200" s="70">
        <f>(1.2*(2.85+2.5+3.5)+3.7*1.23)*10.764</f>
        <v>163.30064399999998</v>
      </c>
      <c r="F200" s="70">
        <f>D200+E200</f>
        <v>694.18112399999995</v>
      </c>
      <c r="G200" s="70">
        <v>0</v>
      </c>
      <c r="H200" s="70">
        <f t="shared" si="10"/>
        <v>1041.271686</v>
      </c>
      <c r="I200" s="36"/>
      <c r="L200" s="108"/>
      <c r="M200" s="108"/>
      <c r="N200" s="36"/>
      <c r="T200" s="21"/>
    </row>
    <row r="201" spans="1:20" s="71" customFormat="1" ht="15.75" customHeight="1" x14ac:dyDescent="0.25">
      <c r="A201" s="109">
        <f>A200+1</f>
        <v>2</v>
      </c>
      <c r="B201" s="110"/>
      <c r="C201" s="70" t="s">
        <v>323</v>
      </c>
      <c r="D201" s="83">
        <f>(46.03+3.7)*(10.764)</f>
        <v>535.29372000000001</v>
      </c>
      <c r="E201" s="70">
        <f>(1.2*2.7)*10.764</f>
        <v>34.875360000000001</v>
      </c>
      <c r="F201" s="70">
        <f>D201+E201</f>
        <v>570.16908000000001</v>
      </c>
      <c r="G201" s="70">
        <v>0</v>
      </c>
      <c r="H201" s="70">
        <f t="shared" si="10"/>
        <v>855.25361999999996</v>
      </c>
      <c r="I201" s="36"/>
      <c r="L201" s="108"/>
      <c r="M201" s="108"/>
      <c r="N201" s="36"/>
    </row>
    <row r="202" spans="1:20" s="71" customFormat="1" ht="15.75" customHeight="1" x14ac:dyDescent="0.25">
      <c r="A202" s="109">
        <f>A201+1</f>
        <v>3</v>
      </c>
      <c r="B202" s="110"/>
      <c r="C202" s="70" t="s">
        <v>324</v>
      </c>
      <c r="D202" s="88">
        <f>(36.06)*(10.764)</f>
        <v>388.14983999999998</v>
      </c>
      <c r="E202" s="70">
        <f>(1.2*2.78)*10.764</f>
        <v>35.908703999999993</v>
      </c>
      <c r="F202" s="70">
        <f>D202+E202</f>
        <v>424.05854399999998</v>
      </c>
      <c r="G202" s="70">
        <v>0</v>
      </c>
      <c r="H202" s="70">
        <f t="shared" si="10"/>
        <v>636.08781599999998</v>
      </c>
      <c r="I202" s="36"/>
      <c r="L202" s="108"/>
      <c r="M202" s="108"/>
      <c r="N202" s="36"/>
    </row>
    <row r="203" spans="1:20" s="71" customFormat="1" ht="15.75" customHeight="1" x14ac:dyDescent="0.25">
      <c r="A203" s="109">
        <f>A202+1</f>
        <v>4</v>
      </c>
      <c r="B203" s="110"/>
      <c r="C203" s="70" t="s">
        <v>323</v>
      </c>
      <c r="D203" s="83">
        <f>(45.39+2.9)*(10.764)</f>
        <v>519.79355999999996</v>
      </c>
      <c r="E203" s="70">
        <f>(1.2*(2.78))*10.764</f>
        <v>35.908703999999993</v>
      </c>
      <c r="F203" s="70">
        <f>D203+E203</f>
        <v>555.7022639999999</v>
      </c>
      <c r="G203" s="70">
        <v>0</v>
      </c>
      <c r="H203" s="70">
        <f t="shared" si="10"/>
        <v>833.55339599999979</v>
      </c>
      <c r="I203" s="36"/>
      <c r="L203" s="108"/>
      <c r="M203" s="108"/>
      <c r="N203" s="36"/>
    </row>
    <row r="204" spans="1:20" s="71" customFormat="1" ht="15.75" customHeight="1" x14ac:dyDescent="0.25">
      <c r="A204" s="109">
        <f t="shared" ref="A204:A208" si="14">A203+1</f>
        <v>5</v>
      </c>
      <c r="B204" s="110"/>
      <c r="C204" s="70" t="s">
        <v>323</v>
      </c>
      <c r="D204" s="83">
        <f>(45.61+2.95+2.5)*(10.764)</f>
        <v>549.60983999999996</v>
      </c>
      <c r="E204" s="70">
        <f>(1.2*(3+2.83))*10.764</f>
        <v>75.304943999999992</v>
      </c>
      <c r="F204" s="70">
        <f t="shared" ref="F204:F208" si="15">D204+E204</f>
        <v>624.91478399999994</v>
      </c>
      <c r="G204" s="70">
        <v>0</v>
      </c>
      <c r="H204" s="70">
        <f t="shared" si="10"/>
        <v>937.37217599999985</v>
      </c>
      <c r="I204" s="36"/>
      <c r="L204" s="108"/>
      <c r="M204" s="108"/>
      <c r="N204" s="36"/>
    </row>
    <row r="205" spans="1:20" s="81" customFormat="1" ht="15.75" customHeight="1" x14ac:dyDescent="0.25">
      <c r="A205" s="109">
        <v>6</v>
      </c>
      <c r="B205" s="110"/>
      <c r="C205" s="70" t="s">
        <v>324</v>
      </c>
      <c r="D205" s="83">
        <f>(33.03)*(10.764)</f>
        <v>355.53492</v>
      </c>
      <c r="E205" s="70">
        <f>(1.2*(2.78+2.54))*10.764</f>
        <v>68.717376000000002</v>
      </c>
      <c r="F205" s="70">
        <f t="shared" ref="F205" si="16">D205+E205</f>
        <v>424.252296</v>
      </c>
      <c r="G205" s="70">
        <v>0</v>
      </c>
      <c r="H205" s="70">
        <f t="shared" si="10"/>
        <v>636.37844399999994</v>
      </c>
      <c r="I205" s="82"/>
      <c r="L205" s="108"/>
      <c r="M205" s="108"/>
      <c r="N205" s="82"/>
    </row>
    <row r="206" spans="1:20" s="71" customFormat="1" ht="15.75" customHeight="1" x14ac:dyDescent="0.25">
      <c r="A206" s="109" t="s">
        <v>344</v>
      </c>
      <c r="B206" s="111"/>
      <c r="C206" s="111"/>
      <c r="D206" s="111"/>
      <c r="E206" s="111"/>
      <c r="F206" s="111"/>
      <c r="G206" s="111"/>
      <c r="H206" s="110"/>
      <c r="I206" s="36"/>
      <c r="L206" s="108"/>
      <c r="M206" s="108"/>
      <c r="N206" s="36"/>
    </row>
    <row r="207" spans="1:20" s="71" customFormat="1" ht="15.75" customHeight="1" x14ac:dyDescent="0.25">
      <c r="A207" s="109">
        <v>7</v>
      </c>
      <c r="B207" s="110"/>
      <c r="C207" s="70" t="s">
        <v>324</v>
      </c>
      <c r="D207" s="83">
        <f>(33.26)*(10.764)</f>
        <v>358.01063999999997</v>
      </c>
      <c r="E207" s="70">
        <f>(1.2*(2.55+2.7))*10.764</f>
        <v>67.813199999999995</v>
      </c>
      <c r="F207" s="70">
        <f t="shared" si="15"/>
        <v>425.82383999999996</v>
      </c>
      <c r="G207" s="70">
        <v>0</v>
      </c>
      <c r="H207" s="70">
        <f t="shared" si="10"/>
        <v>638.73575999999991</v>
      </c>
      <c r="I207" s="36"/>
      <c r="L207" s="108"/>
      <c r="M207" s="108"/>
      <c r="N207" s="36"/>
    </row>
    <row r="208" spans="1:20" s="71" customFormat="1" ht="15.75" customHeight="1" x14ac:dyDescent="0.25">
      <c r="A208" s="109">
        <f t="shared" si="14"/>
        <v>8</v>
      </c>
      <c r="B208" s="110"/>
      <c r="C208" s="70" t="s">
        <v>324</v>
      </c>
      <c r="D208" s="83">
        <f>(33.03)*(10.764)</f>
        <v>355.53492</v>
      </c>
      <c r="E208" s="70">
        <f>(1.2*(2.85+2.55))*10.764</f>
        <v>69.750720000000001</v>
      </c>
      <c r="F208" s="70">
        <f t="shared" si="15"/>
        <v>425.28564</v>
      </c>
      <c r="G208" s="70">
        <v>0</v>
      </c>
      <c r="H208" s="70">
        <f t="shared" si="10"/>
        <v>637.92845999999997</v>
      </c>
      <c r="I208" s="36"/>
      <c r="L208" s="108"/>
      <c r="M208" s="108"/>
      <c r="N208" s="36"/>
    </row>
    <row r="209" spans="1:20" s="81" customFormat="1" ht="15.75" customHeight="1" x14ac:dyDescent="0.25">
      <c r="A209" s="113" t="s">
        <v>346</v>
      </c>
      <c r="B209" s="114"/>
      <c r="C209" s="114"/>
      <c r="D209" s="114"/>
      <c r="E209" s="114"/>
      <c r="F209" s="114"/>
      <c r="G209" s="114"/>
      <c r="H209" s="115"/>
      <c r="I209" s="81">
        <f>1</f>
        <v>1</v>
      </c>
      <c r="J209" s="82"/>
    </row>
    <row r="210" spans="1:20" s="81" customFormat="1" ht="15.75" customHeight="1" x14ac:dyDescent="0.25">
      <c r="A210" s="109">
        <v>1</v>
      </c>
      <c r="B210" s="110"/>
      <c r="C210" s="70" t="s">
        <v>323</v>
      </c>
      <c r="D210" s="83">
        <f>(46.42+2.9)*(10.764)</f>
        <v>530.88047999999992</v>
      </c>
      <c r="E210" s="70">
        <f>(1.2*(2.85+2.5+3.5)+3.7*1.23)*10.764</f>
        <v>163.30064399999998</v>
      </c>
      <c r="F210" s="70">
        <f>D210+E210</f>
        <v>694.18112399999995</v>
      </c>
      <c r="G210" s="70">
        <v>0</v>
      </c>
      <c r="H210" s="70">
        <f t="shared" si="10"/>
        <v>1041.271686</v>
      </c>
      <c r="I210" s="82"/>
      <c r="L210" s="108"/>
      <c r="M210" s="108"/>
      <c r="N210" s="82"/>
      <c r="T210" s="21"/>
    </row>
    <row r="211" spans="1:20" s="81" customFormat="1" ht="15.75" customHeight="1" x14ac:dyDescent="0.25">
      <c r="A211" s="109">
        <f>A210+1</f>
        <v>2</v>
      </c>
      <c r="B211" s="110"/>
      <c r="C211" s="70" t="s">
        <v>323</v>
      </c>
      <c r="D211" s="83">
        <f>(44.57+3.7*1.25)*(10.764)</f>
        <v>529.53498000000002</v>
      </c>
      <c r="E211" s="70">
        <f>(1.2*2.7)*10.764</f>
        <v>34.875360000000001</v>
      </c>
      <c r="F211" s="70">
        <f>D211+E211</f>
        <v>564.41034000000002</v>
      </c>
      <c r="G211" s="70">
        <v>0</v>
      </c>
      <c r="H211" s="70">
        <f t="shared" si="10"/>
        <v>846.61551000000009</v>
      </c>
      <c r="I211" s="82"/>
      <c r="L211" s="108"/>
      <c r="M211" s="108"/>
      <c r="N211" s="82"/>
    </row>
    <row r="212" spans="1:20" s="81" customFormat="1" ht="15.75" customHeight="1" x14ac:dyDescent="0.25">
      <c r="A212" s="109">
        <f>A211+1</f>
        <v>3</v>
      </c>
      <c r="B212" s="110"/>
      <c r="C212" s="70" t="s">
        <v>324</v>
      </c>
      <c r="D212" s="83">
        <f>(36.08)*(10.764)</f>
        <v>388.36511999999993</v>
      </c>
      <c r="E212" s="70">
        <f>(1.2*2.78)*10.764</f>
        <v>35.908703999999993</v>
      </c>
      <c r="F212" s="70">
        <f>D212+E212</f>
        <v>424.27382399999993</v>
      </c>
      <c r="G212" s="70">
        <v>0</v>
      </c>
      <c r="H212" s="70">
        <f t="shared" si="10"/>
        <v>636.41073599999993</v>
      </c>
      <c r="I212" s="82"/>
      <c r="L212" s="108"/>
      <c r="M212" s="108"/>
      <c r="N212" s="82"/>
    </row>
    <row r="213" spans="1:20" s="81" customFormat="1" ht="15.75" customHeight="1" x14ac:dyDescent="0.25">
      <c r="A213" s="109">
        <f>A212+1</f>
        <v>4</v>
      </c>
      <c r="B213" s="110"/>
      <c r="C213" s="70" t="s">
        <v>323</v>
      </c>
      <c r="D213" s="83">
        <f>(44.58+2.9*1.35)*(10.764)</f>
        <v>522.00017999999989</v>
      </c>
      <c r="E213" s="70">
        <f>(1.2*(2.78))*10.764</f>
        <v>35.908703999999993</v>
      </c>
      <c r="F213" s="70">
        <f>D213+E213</f>
        <v>557.90888399999983</v>
      </c>
      <c r="G213" s="70">
        <v>0</v>
      </c>
      <c r="H213" s="70">
        <f t="shared" si="10"/>
        <v>836.86332599999969</v>
      </c>
      <c r="I213" s="82"/>
      <c r="L213" s="108"/>
      <c r="M213" s="108"/>
      <c r="N213" s="82"/>
    </row>
    <row r="214" spans="1:20" s="81" customFormat="1" ht="15.75" customHeight="1" x14ac:dyDescent="0.25">
      <c r="A214" s="109">
        <f t="shared" ref="A214:A218" si="17">A213+1</f>
        <v>5</v>
      </c>
      <c r="B214" s="110"/>
      <c r="C214" s="70" t="s">
        <v>323</v>
      </c>
      <c r="D214" s="83">
        <f>(43.13+2.85+2.95+2.5)*(10.764)</f>
        <v>553.59252000000004</v>
      </c>
      <c r="E214" s="91">
        <f>(1.2*(2.83))*10.764</f>
        <v>36.554544</v>
      </c>
      <c r="F214" s="70">
        <f t="shared" ref="F214:F215" si="18">D214+E214</f>
        <v>590.147064</v>
      </c>
      <c r="G214" s="70">
        <v>0</v>
      </c>
      <c r="H214" s="70">
        <f t="shared" si="10"/>
        <v>885.220596</v>
      </c>
      <c r="I214" s="82"/>
      <c r="L214" s="108"/>
      <c r="M214" s="108"/>
      <c r="N214" s="82"/>
    </row>
    <row r="215" spans="1:20" s="81" customFormat="1" ht="15.75" customHeight="1" x14ac:dyDescent="0.25">
      <c r="A215" s="109">
        <v>6</v>
      </c>
      <c r="B215" s="110"/>
      <c r="C215" s="70" t="s">
        <v>324</v>
      </c>
      <c r="D215" s="83">
        <f>(33.03)*(10.764)</f>
        <v>355.53492</v>
      </c>
      <c r="E215" s="70">
        <f>(1.2*(2.78+2.54))*10.764</f>
        <v>68.717376000000002</v>
      </c>
      <c r="F215" s="70">
        <f t="shared" si="18"/>
        <v>424.252296</v>
      </c>
      <c r="G215" s="70">
        <v>0</v>
      </c>
      <c r="H215" s="70">
        <f t="shared" si="10"/>
        <v>636.37844399999994</v>
      </c>
      <c r="I215" s="82"/>
      <c r="L215" s="108"/>
      <c r="M215" s="108"/>
      <c r="N215" s="82"/>
    </row>
    <row r="216" spans="1:20" s="81" customFormat="1" ht="15.75" customHeight="1" x14ac:dyDescent="0.25">
      <c r="A216" s="109" t="s">
        <v>344</v>
      </c>
      <c r="B216" s="111"/>
      <c r="C216" s="111"/>
      <c r="D216" s="111"/>
      <c r="E216" s="111"/>
      <c r="F216" s="111"/>
      <c r="G216" s="111"/>
      <c r="H216" s="110"/>
      <c r="I216" s="82"/>
      <c r="L216" s="108"/>
      <c r="M216" s="108"/>
      <c r="N216" s="82"/>
    </row>
    <row r="217" spans="1:20" s="81" customFormat="1" ht="15.75" customHeight="1" x14ac:dyDescent="0.25">
      <c r="A217" s="109">
        <v>7</v>
      </c>
      <c r="B217" s="110"/>
      <c r="C217" s="70" t="s">
        <v>324</v>
      </c>
      <c r="D217" s="83">
        <f>(33.26)*(10.764)</f>
        <v>358.01063999999997</v>
      </c>
      <c r="E217" s="70">
        <f>(1.2*(2.55+2.7))*10.764</f>
        <v>67.813199999999995</v>
      </c>
      <c r="F217" s="70">
        <f t="shared" ref="F217:F218" si="19">D217+E217</f>
        <v>425.82383999999996</v>
      </c>
      <c r="G217" s="70">
        <v>0</v>
      </c>
      <c r="H217" s="70">
        <f t="shared" si="10"/>
        <v>638.73575999999991</v>
      </c>
      <c r="I217" s="82"/>
      <c r="L217" s="108"/>
      <c r="M217" s="108"/>
      <c r="N217" s="82"/>
    </row>
    <row r="218" spans="1:20" s="81" customFormat="1" ht="15.75" customHeight="1" x14ac:dyDescent="0.25">
      <c r="A218" s="109">
        <f t="shared" si="17"/>
        <v>8</v>
      </c>
      <c r="B218" s="110"/>
      <c r="C218" s="70" t="s">
        <v>324</v>
      </c>
      <c r="D218" s="83">
        <f>(33.03)*(10.764)</f>
        <v>355.53492</v>
      </c>
      <c r="E218" s="70">
        <f>(1.2*(2.85+2.55))*10.764</f>
        <v>69.750720000000001</v>
      </c>
      <c r="F218" s="70">
        <f t="shared" si="19"/>
        <v>425.28564</v>
      </c>
      <c r="G218" s="70">
        <v>0</v>
      </c>
      <c r="H218" s="70">
        <f t="shared" si="10"/>
        <v>637.92845999999997</v>
      </c>
      <c r="I218" s="82"/>
      <c r="L218" s="108"/>
      <c r="M218" s="108"/>
      <c r="N218" s="82"/>
    </row>
    <row r="219" spans="1:20" s="35" customFormat="1" x14ac:dyDescent="0.25">
      <c r="A219" s="185" t="s">
        <v>64</v>
      </c>
      <c r="B219" s="185"/>
      <c r="C219" s="185"/>
      <c r="D219" s="185"/>
      <c r="E219" s="185"/>
      <c r="F219" s="185"/>
      <c r="G219" s="185"/>
      <c r="H219" s="185"/>
      <c r="T219" s="37"/>
    </row>
    <row r="220" spans="1:20" s="35" customFormat="1" x14ac:dyDescent="0.25">
      <c r="A220" s="46" t="s">
        <v>145</v>
      </c>
      <c r="B220" s="182" t="s">
        <v>357</v>
      </c>
      <c r="C220" s="183"/>
      <c r="D220" s="183"/>
      <c r="E220" s="183"/>
      <c r="F220" s="183"/>
      <c r="G220" s="183"/>
      <c r="H220" s="184"/>
      <c r="T220" s="37"/>
    </row>
    <row r="221" spans="1:20" s="35" customFormat="1" x14ac:dyDescent="0.25">
      <c r="A221" s="46" t="s">
        <v>145</v>
      </c>
      <c r="B221" s="182" t="str">
        <f>(IF(H150="Saleable area Loading :","We have considered Saleable area of Flats as per our Calculation.","We considered Saleable area of Flat as per Builder area Sheet."))</f>
        <v>We have considered Saleable area of Flats as per our Calculation.</v>
      </c>
      <c r="C221" s="183"/>
      <c r="D221" s="183"/>
      <c r="E221" s="183"/>
      <c r="F221" s="183"/>
      <c r="G221" s="183"/>
      <c r="H221" s="184"/>
      <c r="T221" s="37"/>
    </row>
    <row r="222" spans="1:20" s="35" customFormat="1" hidden="1" x14ac:dyDescent="0.25">
      <c r="A222" s="46" t="s">
        <v>145</v>
      </c>
      <c r="B222" s="182" t="str">
        <f>(IF(H142="Saleable area Loading :","We have considered Saleable area of Commercial as per our Calculation.","We considered Saleable area of Commercial as per Builder area Sheet."))</f>
        <v>We have considered Saleable area of Commercial as per our Calculation.</v>
      </c>
      <c r="C222" s="183"/>
      <c r="D222" s="183"/>
      <c r="E222" s="183"/>
      <c r="F222" s="183"/>
      <c r="G222" s="183"/>
      <c r="H222" s="184"/>
    </row>
    <row r="223" spans="1:20" s="35" customFormat="1" x14ac:dyDescent="0.25">
      <c r="A223" s="46" t="s">
        <v>145</v>
      </c>
      <c r="B223" s="105" t="s">
        <v>115</v>
      </c>
      <c r="C223" s="106"/>
      <c r="D223" s="106"/>
      <c r="E223" s="106"/>
      <c r="F223" s="106"/>
      <c r="G223" s="106"/>
      <c r="H223" s="107"/>
    </row>
    <row r="224" spans="1:20" s="35" customFormat="1" x14ac:dyDescent="0.25">
      <c r="A224" s="46" t="s">
        <v>145</v>
      </c>
      <c r="B224" s="105" t="s">
        <v>327</v>
      </c>
      <c r="C224" s="106"/>
      <c r="D224" s="106"/>
      <c r="E224" s="106"/>
      <c r="F224" s="106"/>
      <c r="G224" s="106"/>
      <c r="H224" s="107"/>
    </row>
    <row r="225" spans="1:20" s="35" customFormat="1" x14ac:dyDescent="0.25">
      <c r="A225" s="46" t="s">
        <v>145</v>
      </c>
      <c r="B225" s="105" t="s">
        <v>144</v>
      </c>
      <c r="C225" s="106"/>
      <c r="D225" s="106"/>
      <c r="E225" s="106"/>
      <c r="F225" s="106"/>
      <c r="G225" s="106"/>
      <c r="H225" s="107"/>
    </row>
    <row r="226" spans="1:20" s="35" customFormat="1" x14ac:dyDescent="0.25">
      <c r="A226" s="46" t="s">
        <v>145</v>
      </c>
      <c r="B226" s="105" t="s">
        <v>116</v>
      </c>
      <c r="C226" s="106"/>
      <c r="D226" s="106"/>
      <c r="E226" s="106"/>
      <c r="F226" s="106"/>
      <c r="G226" s="106"/>
      <c r="H226" s="107"/>
    </row>
    <row r="227" spans="1:20" s="35" customFormat="1" ht="34.5" customHeight="1" x14ac:dyDescent="0.25">
      <c r="A227" s="46" t="s">
        <v>145</v>
      </c>
      <c r="B227" s="105" t="s">
        <v>146</v>
      </c>
      <c r="C227" s="106"/>
      <c r="D227" s="106"/>
      <c r="E227" s="106"/>
      <c r="F227" s="106"/>
      <c r="G227" s="106"/>
      <c r="H227" s="107"/>
    </row>
    <row r="228" spans="1:20" s="35" customFormat="1" x14ac:dyDescent="0.25">
      <c r="A228" s="46" t="s">
        <v>145</v>
      </c>
      <c r="B228" s="105" t="s">
        <v>117</v>
      </c>
      <c r="C228" s="106"/>
      <c r="D228" s="106"/>
      <c r="E228" s="106"/>
      <c r="F228" s="106"/>
      <c r="G228" s="106"/>
      <c r="H228" s="107"/>
    </row>
    <row r="229" spans="1:20" s="35" customFormat="1" ht="32.25" hidden="1" customHeight="1" x14ac:dyDescent="0.25">
      <c r="A229" s="56" t="s">
        <v>145</v>
      </c>
      <c r="B229" s="102" t="s">
        <v>170</v>
      </c>
      <c r="C229" s="103"/>
      <c r="D229" s="103"/>
      <c r="E229" s="103"/>
      <c r="F229" s="103"/>
      <c r="G229" s="103"/>
      <c r="H229" s="104"/>
    </row>
    <row r="230" spans="1:20" s="35" customFormat="1" hidden="1" x14ac:dyDescent="0.25">
      <c r="A230" s="61" t="s">
        <v>145</v>
      </c>
      <c r="B230" s="102" t="s">
        <v>225</v>
      </c>
      <c r="C230" s="103"/>
      <c r="D230" s="103"/>
      <c r="E230" s="103"/>
      <c r="F230" s="103"/>
      <c r="G230" s="103"/>
      <c r="H230" s="104"/>
    </row>
    <row r="231" spans="1:20" s="35" customFormat="1" x14ac:dyDescent="0.25">
      <c r="A231" s="69" t="s">
        <v>145</v>
      </c>
      <c r="B231" s="105" t="s">
        <v>331</v>
      </c>
      <c r="C231" s="106"/>
      <c r="D231" s="106"/>
      <c r="E231" s="106"/>
      <c r="F231" s="106"/>
      <c r="G231" s="106"/>
      <c r="H231" s="107"/>
    </row>
    <row r="232" spans="1:20" s="35" customFormat="1" x14ac:dyDescent="0.25">
      <c r="A232" s="76" t="s">
        <v>145</v>
      </c>
      <c r="B232" s="105" t="s">
        <v>342</v>
      </c>
      <c r="C232" s="106"/>
      <c r="D232" s="106"/>
      <c r="E232" s="106"/>
      <c r="F232" s="106"/>
      <c r="G232" s="106"/>
      <c r="H232" s="107"/>
    </row>
    <row r="233" spans="1:20" s="85" customFormat="1" x14ac:dyDescent="0.25">
      <c r="A233" s="84" t="s">
        <v>145</v>
      </c>
      <c r="B233" s="96" t="s">
        <v>356</v>
      </c>
      <c r="C233" s="97"/>
      <c r="D233" s="97"/>
      <c r="E233" s="97"/>
      <c r="F233" s="97"/>
      <c r="G233" s="97"/>
      <c r="H233" s="98"/>
    </row>
    <row r="234" spans="1:20" s="85" customFormat="1" x14ac:dyDescent="0.25">
      <c r="A234" s="84" t="s">
        <v>145</v>
      </c>
      <c r="B234" s="99" t="s">
        <v>355</v>
      </c>
      <c r="C234" s="100"/>
      <c r="D234" s="100"/>
      <c r="E234" s="100"/>
      <c r="F234" s="100"/>
      <c r="G234" s="100"/>
      <c r="H234" s="101"/>
    </row>
    <row r="235" spans="1:20" x14ac:dyDescent="0.25">
      <c r="A235" s="146" t="s">
        <v>57</v>
      </c>
      <c r="B235" s="146"/>
      <c r="C235" s="146"/>
      <c r="D235" s="146"/>
      <c r="E235" s="146"/>
      <c r="F235" s="146"/>
      <c r="G235" s="146"/>
      <c r="H235" s="146"/>
      <c r="T235" s="35"/>
    </row>
    <row r="236" spans="1:20" x14ac:dyDescent="0.25">
      <c r="A236" s="123" t="s">
        <v>58</v>
      </c>
      <c r="B236" s="123"/>
      <c r="C236" s="123"/>
      <c r="D236" s="123"/>
      <c r="E236" s="123"/>
      <c r="F236" s="123"/>
      <c r="G236" s="123"/>
      <c r="H236" s="123"/>
      <c r="T236" s="35"/>
    </row>
    <row r="237" spans="1:20" ht="15.75" customHeight="1" x14ac:dyDescent="0.25">
      <c r="A237" s="172" t="s">
        <v>59</v>
      </c>
      <c r="B237" s="172"/>
      <c r="C237" s="172"/>
      <c r="D237" s="172"/>
      <c r="E237" s="172"/>
      <c r="F237" s="172"/>
      <c r="G237" s="172"/>
      <c r="H237" s="172"/>
      <c r="T237" s="35"/>
    </row>
    <row r="238" spans="1:20" x14ac:dyDescent="0.25">
      <c r="A238" s="123" t="s">
        <v>60</v>
      </c>
      <c r="B238" s="123"/>
      <c r="C238" s="123"/>
      <c r="D238" s="123"/>
      <c r="E238" s="123"/>
      <c r="F238" s="123"/>
      <c r="G238" s="123"/>
      <c r="H238" s="123"/>
    </row>
    <row r="239" spans="1:20" x14ac:dyDescent="0.25">
      <c r="A239" s="123" t="s">
        <v>61</v>
      </c>
      <c r="B239" s="123"/>
      <c r="C239" s="123"/>
      <c r="D239" s="123"/>
      <c r="E239" s="123"/>
      <c r="F239" s="123"/>
      <c r="G239" s="123"/>
      <c r="H239" s="123"/>
    </row>
    <row r="240" spans="1:20" x14ac:dyDescent="0.25">
      <c r="A240" s="123" t="s">
        <v>118</v>
      </c>
      <c r="B240" s="123"/>
      <c r="C240" s="123"/>
      <c r="D240" s="123"/>
      <c r="E240" s="123"/>
      <c r="F240" s="123"/>
      <c r="G240" s="123"/>
      <c r="H240" s="123"/>
    </row>
    <row r="241" spans="1:8" ht="33.950000000000003" customHeight="1" x14ac:dyDescent="0.25">
      <c r="A241" s="130" t="s">
        <v>119</v>
      </c>
      <c r="B241" s="130"/>
      <c r="C241" s="130"/>
      <c r="D241" s="130"/>
      <c r="E241" s="130"/>
      <c r="F241" s="130"/>
      <c r="G241" s="130"/>
      <c r="H241" s="130"/>
    </row>
    <row r="242" spans="1:8" x14ac:dyDescent="0.25">
      <c r="A242" s="197" t="s">
        <v>73</v>
      </c>
      <c r="B242" s="197"/>
      <c r="C242" s="197" t="s">
        <v>330</v>
      </c>
      <c r="D242" s="197"/>
      <c r="E242" s="197" t="s">
        <v>98</v>
      </c>
      <c r="F242" s="197"/>
      <c r="G242" s="197" t="s">
        <v>358</v>
      </c>
      <c r="H242" s="197"/>
    </row>
    <row r="243" spans="1:8" x14ac:dyDescent="0.25">
      <c r="A243" s="196" t="s">
        <v>75</v>
      </c>
      <c r="B243" s="196"/>
      <c r="C243" s="196"/>
      <c r="D243" s="196"/>
      <c r="E243" s="196"/>
      <c r="F243" s="196"/>
      <c r="G243" s="196"/>
      <c r="H243" s="196"/>
    </row>
    <row r="244" spans="1:8" x14ac:dyDescent="0.25">
      <c r="A244" s="196"/>
      <c r="B244" s="196"/>
      <c r="C244" s="196"/>
      <c r="D244" s="196"/>
      <c r="E244" s="196"/>
      <c r="F244" s="196"/>
      <c r="G244" s="196"/>
      <c r="H244" s="196"/>
    </row>
    <row r="245" spans="1:8" x14ac:dyDescent="0.25">
      <c r="A245" s="196"/>
      <c r="B245" s="196"/>
      <c r="C245" s="196"/>
      <c r="D245" s="196"/>
      <c r="E245" s="196"/>
      <c r="F245" s="196"/>
      <c r="G245" s="196"/>
      <c r="H245" s="196"/>
    </row>
    <row r="246" spans="1:8" x14ac:dyDescent="0.25">
      <c r="A246" s="196"/>
      <c r="B246" s="196"/>
      <c r="C246" s="196"/>
      <c r="D246" s="196"/>
      <c r="E246" s="196"/>
      <c r="F246" s="196"/>
      <c r="G246" s="196"/>
      <c r="H246" s="196"/>
    </row>
    <row r="247" spans="1:8" x14ac:dyDescent="0.25">
      <c r="A247" s="38" t="s">
        <v>62</v>
      </c>
      <c r="B247" s="39"/>
      <c r="C247" s="39"/>
      <c r="D247" s="38" t="str">
        <f>E9</f>
        <v>Rugi Colonia</v>
      </c>
      <c r="F247" s="39"/>
      <c r="G247" s="39"/>
      <c r="H247" s="39"/>
    </row>
    <row r="248" spans="1:8" x14ac:dyDescent="0.25">
      <c r="A248" s="39"/>
      <c r="B248" s="39"/>
      <c r="C248" s="39"/>
      <c r="D248" s="39"/>
      <c r="E248" s="39"/>
      <c r="F248" s="39"/>
      <c r="G248" s="39"/>
      <c r="H248" s="39"/>
    </row>
    <row r="249" spans="1:8" x14ac:dyDescent="0.25">
      <c r="A249" s="39"/>
      <c r="B249" s="39"/>
      <c r="C249" s="39"/>
      <c r="D249" s="39"/>
      <c r="E249" s="39"/>
      <c r="F249" s="39"/>
      <c r="G249" s="39"/>
      <c r="H249" s="39"/>
    </row>
    <row r="250" spans="1:8" ht="15" customHeight="1" x14ac:dyDescent="0.25"/>
    <row r="290" spans="1:1" x14ac:dyDescent="0.25">
      <c r="A290" s="41" t="s">
        <v>156</v>
      </c>
    </row>
    <row r="331" spans="1:1" x14ac:dyDescent="0.25">
      <c r="A331" s="41" t="s">
        <v>63</v>
      </c>
    </row>
  </sheetData>
  <mergeCells count="454">
    <mergeCell ref="L174:M174"/>
    <mergeCell ref="A175:B175"/>
    <mergeCell ref="L175:M175"/>
    <mergeCell ref="I172:N172"/>
    <mergeCell ref="B232:H232"/>
    <mergeCell ref="L169:M169"/>
    <mergeCell ref="A170:B170"/>
    <mergeCell ref="L170:M170"/>
    <mergeCell ref="A171:B171"/>
    <mergeCell ref="L171:M171"/>
    <mergeCell ref="A172:B172"/>
    <mergeCell ref="A173:B173"/>
    <mergeCell ref="L173:M173"/>
    <mergeCell ref="L208:M208"/>
    <mergeCell ref="B231:H231"/>
    <mergeCell ref="L198:M198"/>
    <mergeCell ref="A189:H189"/>
    <mergeCell ref="A190:B190"/>
    <mergeCell ref="L190:M190"/>
    <mergeCell ref="A191:B191"/>
    <mergeCell ref="L191:M191"/>
    <mergeCell ref="A192:B192"/>
    <mergeCell ref="L192:M192"/>
    <mergeCell ref="A193:B193"/>
    <mergeCell ref="L166:M166"/>
    <mergeCell ref="L167:M167"/>
    <mergeCell ref="A168:B168"/>
    <mergeCell ref="L168:M168"/>
    <mergeCell ref="L193:M193"/>
    <mergeCell ref="A187:H187"/>
    <mergeCell ref="A188:H188"/>
    <mergeCell ref="I65:I66"/>
    <mergeCell ref="A203:B203"/>
    <mergeCell ref="L203:M203"/>
    <mergeCell ref="A199:H199"/>
    <mergeCell ref="A200:B200"/>
    <mergeCell ref="L200:M200"/>
    <mergeCell ref="A201:B201"/>
    <mergeCell ref="L201:M201"/>
    <mergeCell ref="A202:B202"/>
    <mergeCell ref="L202:M202"/>
    <mergeCell ref="A194:B194"/>
    <mergeCell ref="L194:M194"/>
    <mergeCell ref="L195:M195"/>
    <mergeCell ref="A196:B196"/>
    <mergeCell ref="L196:M196"/>
    <mergeCell ref="A197:B197"/>
    <mergeCell ref="L197:M197"/>
    <mergeCell ref="L164:M164"/>
    <mergeCell ref="L159:M159"/>
    <mergeCell ref="A160:B160"/>
    <mergeCell ref="L160:M160"/>
    <mergeCell ref="A161:B161"/>
    <mergeCell ref="L161:M161"/>
    <mergeCell ref="A162:B162"/>
    <mergeCell ref="L162:M162"/>
    <mergeCell ref="A163:B163"/>
    <mergeCell ref="L163:M163"/>
    <mergeCell ref="A138:B138"/>
    <mergeCell ref="E138:F138"/>
    <mergeCell ref="C104:H104"/>
    <mergeCell ref="A105:B105"/>
    <mergeCell ref="A126:E126"/>
    <mergeCell ref="G138:H138"/>
    <mergeCell ref="C132:D132"/>
    <mergeCell ref="E132:F132"/>
    <mergeCell ref="G132:H132"/>
    <mergeCell ref="A133:B133"/>
    <mergeCell ref="C133:D133"/>
    <mergeCell ref="E133:F133"/>
    <mergeCell ref="G133:H133"/>
    <mergeCell ref="A137:B137"/>
    <mergeCell ref="C137:D137"/>
    <mergeCell ref="E137:F137"/>
    <mergeCell ref="G137:H137"/>
    <mergeCell ref="F116:H116"/>
    <mergeCell ref="F121:H121"/>
    <mergeCell ref="A49:B49"/>
    <mergeCell ref="C49:H49"/>
    <mergeCell ref="B225:H225"/>
    <mergeCell ref="A107:B107"/>
    <mergeCell ref="A108:B108"/>
    <mergeCell ref="G92:H101"/>
    <mergeCell ref="A93:B93"/>
    <mergeCell ref="A94:B94"/>
    <mergeCell ref="A95:B95"/>
    <mergeCell ref="F118:H118"/>
    <mergeCell ref="A118:E118"/>
    <mergeCell ref="D142:D143"/>
    <mergeCell ref="A120:E120"/>
    <mergeCell ref="A111:B111"/>
    <mergeCell ref="A113:B113"/>
    <mergeCell ref="A114:B114"/>
    <mergeCell ref="A119:E119"/>
    <mergeCell ref="A116:E116"/>
    <mergeCell ref="F120:H120"/>
    <mergeCell ref="G105:H105"/>
    <mergeCell ref="A104:B104"/>
    <mergeCell ref="G142:G143"/>
    <mergeCell ref="A80:B80"/>
    <mergeCell ref="A79:B79"/>
    <mergeCell ref="A40:B40"/>
    <mergeCell ref="C40:H40"/>
    <mergeCell ref="F142:F143"/>
    <mergeCell ref="C131:D131"/>
    <mergeCell ref="E131:F131"/>
    <mergeCell ref="B142:B143"/>
    <mergeCell ref="A142:A143"/>
    <mergeCell ref="L158:M158"/>
    <mergeCell ref="L155:M155"/>
    <mergeCell ref="A156:B156"/>
    <mergeCell ref="G139:H139"/>
    <mergeCell ref="L156:M156"/>
    <mergeCell ref="A157:B157"/>
    <mergeCell ref="L157:M157"/>
    <mergeCell ref="C55:H55"/>
    <mergeCell ref="A158:B158"/>
    <mergeCell ref="A77:B77"/>
    <mergeCell ref="A76:B76"/>
    <mergeCell ref="A74:B74"/>
    <mergeCell ref="C74:H74"/>
    <mergeCell ref="A82:B82"/>
    <mergeCell ref="A69:C69"/>
    <mergeCell ref="D69:H69"/>
    <mergeCell ref="C76:H76"/>
    <mergeCell ref="A39:B39"/>
    <mergeCell ref="C39:H39"/>
    <mergeCell ref="A46:D46"/>
    <mergeCell ref="L148:M148"/>
    <mergeCell ref="L147:M147"/>
    <mergeCell ref="L146:M146"/>
    <mergeCell ref="L145:M145"/>
    <mergeCell ref="A85:B85"/>
    <mergeCell ref="C136:D136"/>
    <mergeCell ref="E136:F136"/>
    <mergeCell ref="G136:H136"/>
    <mergeCell ref="A117:E117"/>
    <mergeCell ref="A102:B102"/>
    <mergeCell ref="C102:H102"/>
    <mergeCell ref="A144:H144"/>
    <mergeCell ref="E142:E143"/>
    <mergeCell ref="A92:B92"/>
    <mergeCell ref="A47:D47"/>
    <mergeCell ref="A48:H48"/>
    <mergeCell ref="D64:H64"/>
    <mergeCell ref="A64:C64"/>
    <mergeCell ref="A84:B84"/>
    <mergeCell ref="C90:H90"/>
    <mergeCell ref="A45:D45"/>
    <mergeCell ref="A38:H38"/>
    <mergeCell ref="A37:B37"/>
    <mergeCell ref="C37:E37"/>
    <mergeCell ref="G106:H115"/>
    <mergeCell ref="A42:D42"/>
    <mergeCell ref="E42:H42"/>
    <mergeCell ref="A41:H41"/>
    <mergeCell ref="A67:C67"/>
    <mergeCell ref="A68:C68"/>
    <mergeCell ref="D67:H67"/>
    <mergeCell ref="E78:F87"/>
    <mergeCell ref="G78:H87"/>
    <mergeCell ref="A86:B86"/>
    <mergeCell ref="A87:B87"/>
    <mergeCell ref="D68:H68"/>
    <mergeCell ref="A44:D44"/>
    <mergeCell ref="E44:H44"/>
    <mergeCell ref="E45:H45"/>
    <mergeCell ref="E46:H46"/>
    <mergeCell ref="A91:B91"/>
    <mergeCell ref="E47:H47"/>
    <mergeCell ref="C57:H57"/>
    <mergeCell ref="C59:H59"/>
    <mergeCell ref="A90:B90"/>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81:B81"/>
    <mergeCell ref="E77:F77"/>
    <mergeCell ref="A70:C70"/>
    <mergeCell ref="D70:H70"/>
    <mergeCell ref="A73:C73"/>
    <mergeCell ref="D73:H73"/>
    <mergeCell ref="A71:C71"/>
    <mergeCell ref="D72:H72"/>
    <mergeCell ref="A78:B78"/>
    <mergeCell ref="G77:H77"/>
    <mergeCell ref="A243:H246"/>
    <mergeCell ref="A242:B242"/>
    <mergeCell ref="E242:F242"/>
    <mergeCell ref="C242:D242"/>
    <mergeCell ref="G242:H242"/>
    <mergeCell ref="A129:H129"/>
    <mergeCell ref="A127:E127"/>
    <mergeCell ref="F127:H127"/>
    <mergeCell ref="A128:E128"/>
    <mergeCell ref="F128:H128"/>
    <mergeCell ref="A136:B136"/>
    <mergeCell ref="A131:B131"/>
    <mergeCell ref="A238:H238"/>
    <mergeCell ref="A134:H134"/>
    <mergeCell ref="A241:H241"/>
    <mergeCell ref="A239:H239"/>
    <mergeCell ref="A235:H235"/>
    <mergeCell ref="G135:H135"/>
    <mergeCell ref="C142:C143"/>
    <mergeCell ref="A236:H236"/>
    <mergeCell ref="A155:B155"/>
    <mergeCell ref="A148:B148"/>
    <mergeCell ref="A147:B147"/>
    <mergeCell ref="A149:H149"/>
    <mergeCell ref="E91:F91"/>
    <mergeCell ref="G91:H91"/>
    <mergeCell ref="A122:E122"/>
    <mergeCell ref="F122:H122"/>
    <mergeCell ref="A124:E124"/>
    <mergeCell ref="F119:H119"/>
    <mergeCell ref="A123:E123"/>
    <mergeCell ref="A109:B109"/>
    <mergeCell ref="A110:B110"/>
    <mergeCell ref="E92:F101"/>
    <mergeCell ref="A99:B99"/>
    <mergeCell ref="A100:B100"/>
    <mergeCell ref="E105:F105"/>
    <mergeCell ref="E106:F115"/>
    <mergeCell ref="A121:E121"/>
    <mergeCell ref="A101:B101"/>
    <mergeCell ref="A106:B106"/>
    <mergeCell ref="E139:F139"/>
    <mergeCell ref="B228:H228"/>
    <mergeCell ref="B226:H226"/>
    <mergeCell ref="B222:H222"/>
    <mergeCell ref="B220:H220"/>
    <mergeCell ref="B221:H221"/>
    <mergeCell ref="B223:H223"/>
    <mergeCell ref="B224:H224"/>
    <mergeCell ref="A219:H219"/>
    <mergeCell ref="A152:H152"/>
    <mergeCell ref="A153:H153"/>
    <mergeCell ref="A159:B159"/>
    <mergeCell ref="A164:B164"/>
    <mergeCell ref="A195:B195"/>
    <mergeCell ref="A208:B208"/>
    <mergeCell ref="A169:B169"/>
    <mergeCell ref="A174:B174"/>
    <mergeCell ref="A167:H167"/>
    <mergeCell ref="A181:B181"/>
    <mergeCell ref="A186:B186"/>
    <mergeCell ref="A212:B212"/>
    <mergeCell ref="A217:B217"/>
    <mergeCell ref="A165:H165"/>
    <mergeCell ref="A166:B166"/>
    <mergeCell ref="A65:C66"/>
    <mergeCell ref="D65:H65"/>
    <mergeCell ref="D66:H66"/>
    <mergeCell ref="C51:E51"/>
    <mergeCell ref="A240:H240"/>
    <mergeCell ref="A237:H237"/>
    <mergeCell ref="A135:B135"/>
    <mergeCell ref="A96:B96"/>
    <mergeCell ref="A97:B97"/>
    <mergeCell ref="A98:B98"/>
    <mergeCell ref="A112:B112"/>
    <mergeCell ref="F117:H117"/>
    <mergeCell ref="G131:H131"/>
    <mergeCell ref="A115:B115"/>
    <mergeCell ref="F123:H123"/>
    <mergeCell ref="C130:D130"/>
    <mergeCell ref="C138:D138"/>
    <mergeCell ref="A154:H154"/>
    <mergeCell ref="E135:F135"/>
    <mergeCell ref="A140:H140"/>
    <mergeCell ref="A145:B145"/>
    <mergeCell ref="B229:H229"/>
    <mergeCell ref="A139:B139"/>
    <mergeCell ref="C139:D139"/>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2:E52"/>
    <mergeCell ref="I15:P15"/>
    <mergeCell ref="F126:H126"/>
    <mergeCell ref="F124:H124"/>
    <mergeCell ref="A141:H141"/>
    <mergeCell ref="G130:H130"/>
    <mergeCell ref="A125:E125"/>
    <mergeCell ref="A146:B146"/>
    <mergeCell ref="A60:B60"/>
    <mergeCell ref="C60:E60"/>
    <mergeCell ref="D62:H62"/>
    <mergeCell ref="F125:H125"/>
    <mergeCell ref="E130:F130"/>
    <mergeCell ref="A130:B130"/>
    <mergeCell ref="A132:B132"/>
    <mergeCell ref="C135:D135"/>
    <mergeCell ref="D71:H71"/>
    <mergeCell ref="A72:C72"/>
    <mergeCell ref="E43:H43"/>
    <mergeCell ref="A43:D43"/>
    <mergeCell ref="A88:B88"/>
    <mergeCell ref="C88:H88"/>
    <mergeCell ref="A83:B83"/>
    <mergeCell ref="A50:B50"/>
    <mergeCell ref="C50:E50"/>
    <mergeCell ref="L177:M177"/>
    <mergeCell ref="L178:M178"/>
    <mergeCell ref="A179:B179"/>
    <mergeCell ref="L179:M179"/>
    <mergeCell ref="A180:B180"/>
    <mergeCell ref="L180:M180"/>
    <mergeCell ref="A176:H176"/>
    <mergeCell ref="A177:B177"/>
    <mergeCell ref="A178:H178"/>
    <mergeCell ref="L181:M181"/>
    <mergeCell ref="A182:B182"/>
    <mergeCell ref="A183:B183"/>
    <mergeCell ref="A184:B184"/>
    <mergeCell ref="L184:M184"/>
    <mergeCell ref="A185:B185"/>
    <mergeCell ref="L185:M185"/>
    <mergeCell ref="L182:M182"/>
    <mergeCell ref="I183:N183"/>
    <mergeCell ref="L186:M186"/>
    <mergeCell ref="A205:B205"/>
    <mergeCell ref="L205:M205"/>
    <mergeCell ref="A206:H206"/>
    <mergeCell ref="A209:H209"/>
    <mergeCell ref="A210:B210"/>
    <mergeCell ref="L210:M210"/>
    <mergeCell ref="A211:B211"/>
    <mergeCell ref="L211:M211"/>
    <mergeCell ref="A204:B204"/>
    <mergeCell ref="L204:M204"/>
    <mergeCell ref="L206:M206"/>
    <mergeCell ref="A207:B207"/>
    <mergeCell ref="L207:M207"/>
    <mergeCell ref="A198:B198"/>
    <mergeCell ref="L217:M217"/>
    <mergeCell ref="A218:B218"/>
    <mergeCell ref="L218:M218"/>
    <mergeCell ref="L212:M212"/>
    <mergeCell ref="A213:B213"/>
    <mergeCell ref="L213:M213"/>
    <mergeCell ref="A214:B214"/>
    <mergeCell ref="L214:M214"/>
    <mergeCell ref="A215:B215"/>
    <mergeCell ref="L215:M215"/>
    <mergeCell ref="A216:H216"/>
    <mergeCell ref="L216:M216"/>
    <mergeCell ref="A150:A151"/>
    <mergeCell ref="C150:C151"/>
    <mergeCell ref="B150:B151"/>
    <mergeCell ref="D150:D151"/>
    <mergeCell ref="E150:E151"/>
    <mergeCell ref="F150:F151"/>
    <mergeCell ref="G150:G151"/>
    <mergeCell ref="B233:H233"/>
    <mergeCell ref="B234:H234"/>
    <mergeCell ref="B230:H230"/>
    <mergeCell ref="B227:H227"/>
  </mergeCells>
  <dataValidations count="15">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42:E143" xr:uid="{00000000-0002-0000-0000-000003000000}">
      <formula1>"Attached Loft area,Attached Otla area,Attached Mezzanine area"</formula1>
    </dataValidation>
    <dataValidation type="list" allowBlank="1" showInputMessage="1" showErrorMessage="1" sqref="G242:H242" xr:uid="{00000000-0002-0000-0000-000004000000}">
      <formula1>"Gaurav Panchal,Saurav Panse,Shruti Tathare, Kunal Kadam,Pranita Mhatre,Shruti Fule,Pooja Kawale,Mansee Mohite,Anjali Kamble, Hitakshi Mhatre, Sachin Sawant"</formula1>
    </dataValidation>
    <dataValidation type="list" allowBlank="1" showInputMessage="1" showErrorMessage="1" sqref="F116:H116" xr:uid="{00000000-0002-0000-0000-000005000000}">
      <formula1>"On Saleable Area,On Builtup Area,On Carpet Area,On Plot Area"</formula1>
    </dataValidation>
    <dataValidation type="list" allowBlank="1" showInputMessage="1" showErrorMessage="1" sqref="B142:B143" xr:uid="{00000000-0002-0000-0000-000006000000}">
      <formula1>"Shop No. (Sale Plan),Sale / Rehab,Sale / Mhada"</formula1>
    </dataValidation>
    <dataValidation type="list" allowBlank="1" showInputMessage="1" showErrorMessage="1" sqref="B150" xr:uid="{00000000-0002-0000-0000-000007000000}">
      <formula1>"Flat No. (Sale Plan),Sale / Rehab,Sale / Mhada"</formula1>
    </dataValidation>
    <dataValidation type="list" allowBlank="1" showInputMessage="1" showErrorMessage="1" sqref="C21:D21" xr:uid="{00000000-0002-0000-0000-000008000000}">
      <formula1>OFFSET($S$13,1,MATCH($G20,$S$13:$W$13,0)-1,15,1)</formula1>
    </dataValidation>
    <dataValidation type="list" allowBlank="1" showInputMessage="1" showErrorMessage="1" sqref="Y13" xr:uid="{00000000-0002-0000-0000-000009000000}">
      <formula1>$D$5:$H$5</formula1>
    </dataValidation>
    <dataValidation type="list" allowBlank="1" showInputMessage="1" showErrorMessage="1" sqref="E150" xr:uid="{00000000-0002-0000-0000-00000A000000}">
      <formula1>"Fungible area,Balcony Area,Chajja Area,Cornice Area,AP Area,WS Area"</formula1>
    </dataValidation>
    <dataValidation type="list" allowBlank="1" showInputMessage="1" showErrorMessage="1" sqref="H143 H151" xr:uid="{00000000-0002-0000-0000-00000B000000}">
      <formula1>".45,.50,.55,.60"</formula1>
    </dataValidation>
    <dataValidation type="list" allowBlank="1" showInputMessage="1" showErrorMessage="1" sqref="E4:H4" xr:uid="{00000000-0002-0000-0000-00000C000000}">
      <formula1>$L$3:$P$3</formula1>
    </dataValidation>
    <dataValidation type="list" allowBlank="1" showInputMessage="1" showErrorMessage="1" sqref="C49:H49" xr:uid="{00000000-0002-0000-0000-00000D000000}">
      <formula1>OFFSET($S$49,1,MATCH($G20,$S$49:$W$49,0)-1,15,1)</formula1>
    </dataValidation>
    <dataValidation type="list" allowBlank="1" showInputMessage="1" showErrorMessage="1" sqref="F127:H127" xr:uid="{00000000-0002-0000-0000-00000E000000}">
      <formula1>OFFSET($S$116,1,MATCH($G20,$S$116:$W$116,0)-1,15,1)</formula1>
    </dataValidation>
  </dataValidations>
  <hyperlinks>
    <hyperlink ref="C40" r:id="rId1" xr:uid="{00000000-0004-0000-0000-000000000000}"/>
    <hyperlink ref="J70" r:id="rId2" location="Amenities " xr:uid="{00000000-0004-0000-0000-000001000000}"/>
    <hyperlink ref="J69" r:id="rId3" location="amenities " xr:uid="{00000000-0004-0000-0000-000002000000}"/>
  </hyperlinks>
  <printOptions horizontalCentered="1"/>
  <pageMargins left="0.39370078740157483" right="0.39370078740157483" top="0.82677165354330717" bottom="0.78740157480314965" header="0.15748031496062992" footer="0.19685039370078741"/>
  <pageSetup paperSize="9" orientation="portrait" r:id="rId4"/>
  <headerFooter>
    <oddHeader>&amp;C&amp;G</oddHeader>
    <oddFooter>&amp;L&amp;"Times New Roman,Bold"&amp;12Ref No: &amp;F&amp;C&amp;G&amp;R&amp;"Times New Roman,Bold"&amp;12&amp;P</oddFooter>
  </headerFooter>
  <rowBreaks count="5" manualBreakCount="5">
    <brk id="73" max="16383" man="1"/>
    <brk id="234" max="7" man="1"/>
    <brk id="246" max="16383" man="1"/>
    <brk id="289" max="16383" man="1"/>
    <brk id="330" max="16383" man="1"/>
  </rowBreaks>
  <drawing r:id="rId5"/>
  <legacy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B15" sqref="B15"/>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1" t="s">
        <v>99</v>
      </c>
      <c r="C3" s="251"/>
      <c r="D3" s="251"/>
      <c r="E3" s="251"/>
      <c r="F3" s="251"/>
      <c r="G3" s="251"/>
      <c r="H3" s="251"/>
    </row>
    <row r="4" spans="1:9" x14ac:dyDescent="0.25">
      <c r="A4" s="2"/>
      <c r="B4" s="3" t="s">
        <v>100</v>
      </c>
      <c r="C4" s="3" t="s">
        <v>101</v>
      </c>
      <c r="D4" s="3" t="s">
        <v>65</v>
      </c>
      <c r="E4" s="3" t="s">
        <v>102</v>
      </c>
      <c r="F4" s="3" t="s">
        <v>108</v>
      </c>
      <c r="G4" s="3" t="s">
        <v>109</v>
      </c>
      <c r="H4" s="3" t="s">
        <v>103</v>
      </c>
    </row>
    <row r="5" spans="1:9" ht="15" customHeight="1" x14ac:dyDescent="0.25">
      <c r="A5" s="2"/>
      <c r="B5" s="5" t="s">
        <v>104</v>
      </c>
      <c r="C5" s="6"/>
      <c r="D5" s="5"/>
      <c r="E5" s="5"/>
      <c r="F5" s="7">
        <f>E5*1.6</f>
        <v>0</v>
      </c>
      <c r="G5" s="7" t="e">
        <f>H5/F5</f>
        <v>#DIV/0!</v>
      </c>
      <c r="H5" s="8"/>
    </row>
    <row r="6" spans="1:9" x14ac:dyDescent="0.25">
      <c r="A6" s="2"/>
      <c r="B6" s="5" t="s">
        <v>104</v>
      </c>
      <c r="C6" s="9"/>
      <c r="D6" s="5"/>
      <c r="E6" s="5"/>
      <c r="F6" s="7">
        <f t="shared" ref="F6:F11" si="0">E6*1.6</f>
        <v>0</v>
      </c>
      <c r="G6" s="7" t="e">
        <f t="shared" ref="G6:G11" si="1">H6/F6</f>
        <v>#DIV/0!</v>
      </c>
      <c r="H6" s="8"/>
    </row>
    <row r="7" spans="1:9" ht="15" customHeight="1" x14ac:dyDescent="0.25">
      <c r="A7" s="2"/>
      <c r="B7" s="5" t="s">
        <v>104</v>
      </c>
      <c r="C7" s="6"/>
      <c r="D7" s="5"/>
      <c r="E7" s="5"/>
      <c r="F7" s="7">
        <f t="shared" si="0"/>
        <v>0</v>
      </c>
      <c r="G7" s="7" t="e">
        <f t="shared" si="1"/>
        <v>#DIV/0!</v>
      </c>
      <c r="H7" s="8"/>
    </row>
    <row r="8" spans="1:9" x14ac:dyDescent="0.25">
      <c r="A8" s="2"/>
      <c r="B8" s="5" t="s">
        <v>104</v>
      </c>
      <c r="C8" s="9"/>
      <c r="D8" s="5"/>
      <c r="E8" s="5"/>
      <c r="F8" s="7">
        <f t="shared" si="0"/>
        <v>0</v>
      </c>
      <c r="G8" s="7" t="e">
        <f t="shared" si="1"/>
        <v>#DIV/0!</v>
      </c>
      <c r="H8" s="8"/>
    </row>
    <row r="9" spans="1:9" ht="15" customHeight="1" x14ac:dyDescent="0.25">
      <c r="A9" s="2"/>
      <c r="B9" s="5" t="s">
        <v>104</v>
      </c>
      <c r="C9" s="9"/>
      <c r="D9" s="5"/>
      <c r="E9" s="5"/>
      <c r="F9" s="7">
        <f t="shared" si="0"/>
        <v>0</v>
      </c>
      <c r="G9" s="7" t="e">
        <f t="shared" si="1"/>
        <v>#DIV/0!</v>
      </c>
      <c r="H9" s="8"/>
    </row>
    <row r="10" spans="1:9" ht="15" customHeight="1" x14ac:dyDescent="0.25">
      <c r="A10" s="2"/>
      <c r="B10" s="5" t="s">
        <v>105</v>
      </c>
      <c r="C10" s="6"/>
      <c r="D10" s="5"/>
      <c r="E10" s="5"/>
      <c r="F10" s="7">
        <f t="shared" si="0"/>
        <v>0</v>
      </c>
      <c r="G10" s="7" t="e">
        <f t="shared" si="1"/>
        <v>#DIV/0!</v>
      </c>
      <c r="H10" s="8"/>
    </row>
    <row r="11" spans="1:9" ht="15" customHeight="1" x14ac:dyDescent="0.25">
      <c r="A11" s="2"/>
      <c r="B11" s="5" t="s">
        <v>105</v>
      </c>
      <c r="C11" s="6"/>
      <c r="D11" s="5"/>
      <c r="E11" s="5"/>
      <c r="F11" s="7">
        <f t="shared" si="0"/>
        <v>0</v>
      </c>
      <c r="G11" s="7" t="e">
        <f t="shared" si="1"/>
        <v>#DIV/0!</v>
      </c>
      <c r="H11" s="8"/>
    </row>
    <row r="12" spans="1:9" ht="15" customHeight="1" x14ac:dyDescent="0.25">
      <c r="A12" s="2"/>
      <c r="B12" s="10" t="s">
        <v>106</v>
      </c>
      <c r="C12" s="5"/>
      <c r="D12" s="5"/>
      <c r="E12" s="5"/>
      <c r="F12" s="5"/>
      <c r="G12" s="11" t="e">
        <f>AVERAGE(G5:G11)</f>
        <v>#DIV/0!</v>
      </c>
      <c r="H12" s="5"/>
    </row>
    <row r="13" spans="1:9" ht="15" customHeight="1" x14ac:dyDescent="0.25">
      <c r="B13" s="10" t="s">
        <v>107</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7"/>
      <c r="C4" s="57" t="s">
        <v>11</v>
      </c>
      <c r="D4" s="58" t="s">
        <v>171</v>
      </c>
      <c r="E4" s="58" t="s">
        <v>181</v>
      </c>
      <c r="F4" s="58" t="s">
        <v>165</v>
      </c>
      <c r="G4" s="58" t="s">
        <v>186</v>
      </c>
      <c r="H4" s="58" t="s">
        <v>204</v>
      </c>
      <c r="J4" t="s">
        <v>186</v>
      </c>
      <c r="K4" t="s">
        <v>202</v>
      </c>
    </row>
    <row r="5" spans="2:11" x14ac:dyDescent="0.25">
      <c r="B5" s="57"/>
      <c r="C5" s="57"/>
      <c r="D5" s="58" t="s">
        <v>172</v>
      </c>
      <c r="E5" s="58" t="s">
        <v>179</v>
      </c>
      <c r="F5" s="58" t="s">
        <v>201</v>
      </c>
      <c r="G5" s="58" t="s">
        <v>187</v>
      </c>
      <c r="H5" s="58" t="s">
        <v>205</v>
      </c>
    </row>
    <row r="6" spans="2:11" x14ac:dyDescent="0.25">
      <c r="B6" s="57"/>
      <c r="C6" s="57"/>
      <c r="D6" s="58" t="s">
        <v>173</v>
      </c>
      <c r="E6" s="58" t="s">
        <v>180</v>
      </c>
      <c r="F6" s="58" t="s">
        <v>202</v>
      </c>
      <c r="G6" s="58" t="s">
        <v>188</v>
      </c>
      <c r="H6" s="58" t="s">
        <v>218</v>
      </c>
    </row>
    <row r="7" spans="2:11" x14ac:dyDescent="0.25">
      <c r="B7" s="57"/>
      <c r="C7" s="57"/>
      <c r="D7" s="58" t="s">
        <v>174</v>
      </c>
      <c r="E7" s="58" t="s">
        <v>182</v>
      </c>
      <c r="F7" s="58" t="s">
        <v>203</v>
      </c>
      <c r="G7" s="58" t="s">
        <v>189</v>
      </c>
      <c r="H7" s="58" t="s">
        <v>206</v>
      </c>
    </row>
    <row r="8" spans="2:11" x14ac:dyDescent="0.25">
      <c r="B8" s="57"/>
      <c r="C8" s="57"/>
      <c r="D8" s="58" t="s">
        <v>175</v>
      </c>
      <c r="E8" s="58" t="s">
        <v>183</v>
      </c>
      <c r="F8" s="58"/>
      <c r="G8" s="58" t="s">
        <v>190</v>
      </c>
      <c r="H8" s="58" t="s">
        <v>207</v>
      </c>
    </row>
    <row r="9" spans="2:11" x14ac:dyDescent="0.25">
      <c r="B9" s="57"/>
      <c r="C9" s="57"/>
      <c r="D9" s="58" t="s">
        <v>176</v>
      </c>
      <c r="E9" s="58" t="s">
        <v>181</v>
      </c>
      <c r="F9" s="58"/>
      <c r="G9" s="58" t="s">
        <v>191</v>
      </c>
      <c r="H9" s="58" t="s">
        <v>208</v>
      </c>
    </row>
    <row r="10" spans="2:11" x14ac:dyDescent="0.25">
      <c r="B10" s="57"/>
      <c r="C10" s="57"/>
      <c r="D10" s="58" t="s">
        <v>177</v>
      </c>
      <c r="E10" s="58" t="s">
        <v>184</v>
      </c>
      <c r="F10" s="58"/>
      <c r="G10" s="58" t="s">
        <v>192</v>
      </c>
      <c r="H10" s="58" t="s">
        <v>209</v>
      </c>
    </row>
    <row r="11" spans="2:11" x14ac:dyDescent="0.25">
      <c r="B11" s="57"/>
      <c r="C11" s="57"/>
      <c r="D11" s="58" t="s">
        <v>178</v>
      </c>
      <c r="E11" s="58" t="s">
        <v>185</v>
      </c>
      <c r="F11" s="58"/>
      <c r="G11" s="58" t="s">
        <v>193</v>
      </c>
      <c r="H11" s="58" t="s">
        <v>210</v>
      </c>
    </row>
    <row r="12" spans="2:11" x14ac:dyDescent="0.25">
      <c r="B12" s="57"/>
      <c r="C12" s="57"/>
      <c r="D12" s="58"/>
      <c r="E12" s="58"/>
      <c r="F12" s="58"/>
      <c r="G12" s="58" t="s">
        <v>194</v>
      </c>
      <c r="H12" s="58" t="s">
        <v>211</v>
      </c>
    </row>
    <row r="13" spans="2:11" x14ac:dyDescent="0.25">
      <c r="B13" s="57"/>
      <c r="C13" s="57"/>
      <c r="D13" s="58"/>
      <c r="E13" s="58"/>
      <c r="F13" s="58"/>
      <c r="G13" s="58" t="s">
        <v>195</v>
      </c>
      <c r="H13" s="58" t="s">
        <v>212</v>
      </c>
    </row>
    <row r="14" spans="2:11" x14ac:dyDescent="0.25">
      <c r="B14" s="57"/>
      <c r="C14" s="57"/>
      <c r="D14" s="58"/>
      <c r="E14" s="58"/>
      <c r="F14" s="58"/>
      <c r="G14" s="58" t="s">
        <v>196</v>
      </c>
      <c r="H14" s="58" t="s">
        <v>213</v>
      </c>
    </row>
    <row r="15" spans="2:11" x14ac:dyDescent="0.25">
      <c r="B15" s="57"/>
      <c r="C15" s="57"/>
      <c r="D15" s="58"/>
      <c r="E15" s="58"/>
      <c r="F15" s="58"/>
      <c r="G15" s="58" t="s">
        <v>197</v>
      </c>
      <c r="H15" s="58" t="s">
        <v>214</v>
      </c>
    </row>
    <row r="16" spans="2:11" x14ac:dyDescent="0.25">
      <c r="B16" s="57"/>
      <c r="C16" s="57"/>
      <c r="D16" s="58"/>
      <c r="E16" s="58"/>
      <c r="F16" s="58"/>
      <c r="G16" s="58" t="s">
        <v>198</v>
      </c>
      <c r="H16" s="58" t="s">
        <v>215</v>
      </c>
    </row>
    <row r="17" spans="2:8" x14ac:dyDescent="0.25">
      <c r="B17" s="57"/>
      <c r="C17" s="57"/>
      <c r="D17" s="58"/>
      <c r="E17" s="58"/>
      <c r="F17" s="58"/>
      <c r="G17" s="58" t="s">
        <v>199</v>
      </c>
      <c r="H17" s="58" t="s">
        <v>216</v>
      </c>
    </row>
    <row r="18" spans="2:8" x14ac:dyDescent="0.25">
      <c r="B18" s="57"/>
      <c r="C18" s="57"/>
      <c r="D18" s="58"/>
      <c r="E18" s="58"/>
      <c r="F18" s="58"/>
      <c r="G18" s="58" t="s">
        <v>200</v>
      </c>
      <c r="H18" s="58" t="s">
        <v>217</v>
      </c>
    </row>
    <row r="24" spans="2:8" x14ac:dyDescent="0.25">
      <c r="C24" t="s">
        <v>162</v>
      </c>
    </row>
    <row r="25" spans="2:8" x14ac:dyDescent="0.25">
      <c r="C25" t="s">
        <v>219</v>
      </c>
    </row>
    <row r="26" spans="2:8" x14ac:dyDescent="0.25">
      <c r="C26" t="s">
        <v>220</v>
      </c>
    </row>
    <row r="27" spans="2:8" x14ac:dyDescent="0.25">
      <c r="C27" t="s">
        <v>221</v>
      </c>
    </row>
    <row r="28" spans="2:8" x14ac:dyDescent="0.25">
      <c r="C28" t="s">
        <v>222</v>
      </c>
    </row>
    <row r="29" spans="2:8" x14ac:dyDescent="0.25">
      <c r="C29" t="s">
        <v>223</v>
      </c>
    </row>
    <row r="30" spans="2:8" x14ac:dyDescent="0.25">
      <c r="C30" t="s">
        <v>162</v>
      </c>
    </row>
    <row r="33" spans="3:11" x14ac:dyDescent="0.25">
      <c r="J33">
        <v>1</v>
      </c>
      <c r="K33">
        <v>2</v>
      </c>
    </row>
    <row r="34" spans="3:11" x14ac:dyDescent="0.25">
      <c r="C34" s="63" t="s">
        <v>229</v>
      </c>
      <c r="D34" s="58" t="s">
        <v>227</v>
      </c>
      <c r="E34" s="58" t="s">
        <v>232</v>
      </c>
      <c r="F34" s="58" t="s">
        <v>230</v>
      </c>
      <c r="G34" s="58" t="s">
        <v>231</v>
      </c>
      <c r="H34" s="58" t="s">
        <v>233</v>
      </c>
      <c r="J34" t="s">
        <v>186</v>
      </c>
      <c r="K34" t="s">
        <v>202</v>
      </c>
    </row>
    <row r="35" spans="3:11" x14ac:dyDescent="0.25">
      <c r="C35" s="57" t="s">
        <v>228</v>
      </c>
      <c r="D35" s="58" t="s">
        <v>163</v>
      </c>
      <c r="E35" s="58" t="s">
        <v>237</v>
      </c>
      <c r="F35" s="58" t="s">
        <v>239</v>
      </c>
      <c r="G35" s="58" t="s">
        <v>241</v>
      </c>
      <c r="H35" s="58"/>
    </row>
    <row r="36" spans="3:11" x14ac:dyDescent="0.25">
      <c r="C36" s="57"/>
      <c r="D36" s="58" t="s">
        <v>234</v>
      </c>
      <c r="E36" s="58" t="s">
        <v>238</v>
      </c>
      <c r="F36" s="58" t="s">
        <v>240</v>
      </c>
      <c r="G36" s="58" t="s">
        <v>242</v>
      </c>
      <c r="H36" s="58"/>
    </row>
    <row r="37" spans="3:11" x14ac:dyDescent="0.25">
      <c r="C37" s="57"/>
      <c r="D37" s="58" t="s">
        <v>235</v>
      </c>
      <c r="E37" s="58"/>
      <c r="F37" s="58"/>
      <c r="G37" s="58" t="s">
        <v>243</v>
      </c>
      <c r="H37" s="58"/>
    </row>
    <row r="38" spans="3:11" x14ac:dyDescent="0.25">
      <c r="C38" s="57"/>
      <c r="D38" s="58" t="s">
        <v>236</v>
      </c>
      <c r="E38" s="58"/>
      <c r="F38" s="58"/>
      <c r="G38" s="58" t="s">
        <v>243</v>
      </c>
      <c r="H38" s="58"/>
    </row>
    <row r="39" spans="3:11" x14ac:dyDescent="0.25">
      <c r="C39" s="57"/>
      <c r="D39" s="58"/>
      <c r="E39" s="58"/>
      <c r="F39" s="58"/>
      <c r="G39" s="58" t="s">
        <v>244</v>
      </c>
      <c r="H39" s="58"/>
    </row>
    <row r="40" spans="3:11" x14ac:dyDescent="0.25">
      <c r="C40" s="57"/>
      <c r="D40" s="58"/>
      <c r="E40" s="58"/>
      <c r="F40" s="58"/>
      <c r="G40" s="58" t="s">
        <v>245</v>
      </c>
      <c r="H40" s="58"/>
    </row>
    <row r="41" spans="3:11" x14ac:dyDescent="0.25">
      <c r="C41" s="57"/>
      <c r="D41" s="58"/>
      <c r="E41" s="58"/>
      <c r="F41" s="58"/>
      <c r="G41" s="58"/>
      <c r="H41" s="58"/>
    </row>
    <row r="43" spans="3:11" x14ac:dyDescent="0.25">
      <c r="C43" t="s">
        <v>246</v>
      </c>
    </row>
    <row r="44" spans="3:11" x14ac:dyDescent="0.25">
      <c r="C44" t="s">
        <v>165</v>
      </c>
      <c r="D44" t="s">
        <v>247</v>
      </c>
    </row>
    <row r="45" spans="3:11" x14ac:dyDescent="0.25">
      <c r="D45" t="s">
        <v>248</v>
      </c>
    </row>
    <row r="46" spans="3:11" x14ac:dyDescent="0.25">
      <c r="D46" t="s">
        <v>249</v>
      </c>
    </row>
    <row r="47" spans="3:11" x14ac:dyDescent="0.25">
      <c r="D47" t="s">
        <v>250</v>
      </c>
    </row>
    <row r="48" spans="3:11" x14ac:dyDescent="0.25">
      <c r="D48" t="s">
        <v>251</v>
      </c>
    </row>
    <row r="49" spans="3:4" x14ac:dyDescent="0.25">
      <c r="C49" t="s">
        <v>171</v>
      </c>
      <c r="D49" t="s">
        <v>252</v>
      </c>
    </row>
    <row r="50" spans="3:4" x14ac:dyDescent="0.25">
      <c r="D50" t="s">
        <v>253</v>
      </c>
    </row>
    <row r="51" spans="3:4" x14ac:dyDescent="0.25">
      <c r="D51" t="s">
        <v>254</v>
      </c>
    </row>
    <row r="52" spans="3:4" x14ac:dyDescent="0.25">
      <c r="D52" t="s">
        <v>257</v>
      </c>
    </row>
    <row r="53" spans="3:4" x14ac:dyDescent="0.25">
      <c r="D53" t="s">
        <v>255</v>
      </c>
    </row>
    <row r="54" spans="3:4" x14ac:dyDescent="0.25">
      <c r="D54" t="s">
        <v>256</v>
      </c>
    </row>
    <row r="55" spans="3:4" x14ac:dyDescent="0.25">
      <c r="D55" t="s">
        <v>258</v>
      </c>
    </row>
    <row r="56" spans="3:4" x14ac:dyDescent="0.25">
      <c r="D56" t="s">
        <v>259</v>
      </c>
    </row>
    <row r="57" spans="3:4" x14ac:dyDescent="0.25">
      <c r="D57" t="s">
        <v>260</v>
      </c>
    </row>
    <row r="58" spans="3:4" x14ac:dyDescent="0.25">
      <c r="D58" t="s">
        <v>262</v>
      </c>
    </row>
    <row r="59" spans="3:4" x14ac:dyDescent="0.25">
      <c r="D59" t="s">
        <v>271</v>
      </c>
    </row>
    <row r="60" spans="3:4" x14ac:dyDescent="0.25">
      <c r="C60" t="s">
        <v>186</v>
      </c>
      <c r="D60" t="s">
        <v>263</v>
      </c>
    </row>
    <row r="61" spans="3:4" x14ac:dyDescent="0.25">
      <c r="D61" t="s">
        <v>261</v>
      </c>
    </row>
    <row r="62" spans="3:4" x14ac:dyDescent="0.25">
      <c r="D62" t="s">
        <v>251</v>
      </c>
    </row>
    <row r="63" spans="3:4" x14ac:dyDescent="0.25">
      <c r="D63" t="s">
        <v>264</v>
      </c>
    </row>
    <row r="64" spans="3:4" x14ac:dyDescent="0.25">
      <c r="D64" t="s">
        <v>265</v>
      </c>
    </row>
    <row r="65" spans="3:4" x14ac:dyDescent="0.25">
      <c r="D65" t="s">
        <v>266</v>
      </c>
    </row>
    <row r="66" spans="3:4" x14ac:dyDescent="0.25">
      <c r="D66" t="s">
        <v>267</v>
      </c>
    </row>
    <row r="67" spans="3:4" x14ac:dyDescent="0.25">
      <c r="C67" t="s">
        <v>181</v>
      </c>
      <c r="D67" t="s">
        <v>268</v>
      </c>
    </row>
    <row r="68" spans="3:4" x14ac:dyDescent="0.25">
      <c r="D68" t="s">
        <v>269</v>
      </c>
    </row>
    <row r="69" spans="3:4" x14ac:dyDescent="0.25">
      <c r="D69" t="s">
        <v>270</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8"/>
  <sheetViews>
    <sheetView topLeftCell="A4" workbookViewId="0">
      <selection activeCell="C16" sqref="C16"/>
    </sheetView>
  </sheetViews>
  <sheetFormatPr defaultRowHeight="15" x14ac:dyDescent="0.25"/>
  <cols>
    <col min="2" max="2" width="3" bestFit="1" customWidth="1"/>
    <col min="3" max="3" width="167.140625" customWidth="1"/>
  </cols>
  <sheetData>
    <row r="2" spans="2:3" ht="15" customHeight="1" x14ac:dyDescent="0.25">
      <c r="B2" s="64">
        <v>1</v>
      </c>
      <c r="C2" s="67" t="s">
        <v>277</v>
      </c>
    </row>
    <row r="3" spans="2:3" x14ac:dyDescent="0.25">
      <c r="B3" s="64">
        <v>2</v>
      </c>
      <c r="C3" s="65" t="s">
        <v>278</v>
      </c>
    </row>
    <row r="4" spans="2:3" x14ac:dyDescent="0.25">
      <c r="B4" s="64">
        <v>3</v>
      </c>
      <c r="C4" s="66" t="s">
        <v>279</v>
      </c>
    </row>
    <row r="5" spans="2:3" x14ac:dyDescent="0.25">
      <c r="B5" s="64">
        <v>4</v>
      </c>
      <c r="C5" s="65" t="s">
        <v>280</v>
      </c>
    </row>
    <row r="6" spans="2:3" x14ac:dyDescent="0.25">
      <c r="B6" s="64">
        <v>5</v>
      </c>
      <c r="C6" s="66" t="s">
        <v>281</v>
      </c>
    </row>
    <row r="7" spans="2:3" ht="30" x14ac:dyDescent="0.25">
      <c r="B7" s="64">
        <v>6</v>
      </c>
      <c r="C7" s="65" t="s">
        <v>282</v>
      </c>
    </row>
    <row r="8" spans="2:3" ht="75" x14ac:dyDescent="0.25">
      <c r="B8" s="64">
        <v>7</v>
      </c>
      <c r="C8" s="65" t="s">
        <v>283</v>
      </c>
    </row>
    <row r="9" spans="2:3" x14ac:dyDescent="0.25">
      <c r="B9" s="64">
        <v>8</v>
      </c>
      <c r="C9" s="66" t="s">
        <v>284</v>
      </c>
    </row>
    <row r="10" spans="2:3" x14ac:dyDescent="0.25">
      <c r="B10" s="64">
        <v>9</v>
      </c>
      <c r="C10" s="66" t="s">
        <v>285</v>
      </c>
    </row>
    <row r="11" spans="2:3" x14ac:dyDescent="0.25">
      <c r="B11" s="64">
        <v>10</v>
      </c>
      <c r="C11" s="66" t="s">
        <v>286</v>
      </c>
    </row>
    <row r="12" spans="2:3" x14ac:dyDescent="0.25">
      <c r="B12" s="64">
        <v>11</v>
      </c>
      <c r="C12" s="66" t="s">
        <v>287</v>
      </c>
    </row>
    <row r="13" spans="2:3" x14ac:dyDescent="0.25">
      <c r="B13" s="64">
        <v>12</v>
      </c>
      <c r="C13" s="66" t="s">
        <v>288</v>
      </c>
    </row>
    <row r="14" spans="2:3" x14ac:dyDescent="0.25">
      <c r="B14" s="64">
        <v>13</v>
      </c>
      <c r="C14" s="66" t="s">
        <v>289</v>
      </c>
    </row>
    <row r="15" spans="2:3" x14ac:dyDescent="0.25">
      <c r="B15" s="64">
        <v>14</v>
      </c>
      <c r="C15" s="66" t="s">
        <v>291</v>
      </c>
    </row>
    <row r="16" spans="2:3" x14ac:dyDescent="0.25">
      <c r="B16" s="64">
        <v>15</v>
      </c>
      <c r="C16" s="66" t="s">
        <v>292</v>
      </c>
    </row>
    <row r="17" spans="2:3" x14ac:dyDescent="0.25">
      <c r="B17" s="64">
        <v>16</v>
      </c>
      <c r="C17" s="68" t="s">
        <v>293</v>
      </c>
    </row>
    <row r="18" spans="2:3" x14ac:dyDescent="0.25">
      <c r="B18" s="64">
        <v>15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2025-07-15T11:36:18Z</cp:lastPrinted>
  <dcterms:created xsi:type="dcterms:W3CDTF">2019-07-16T09:29:46Z</dcterms:created>
  <dcterms:modified xsi:type="dcterms:W3CDTF">2025-07-15T11:40:28Z</dcterms:modified>
</cp:coreProperties>
</file>