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July 25\Dump\"/>
    </mc:Choice>
  </mc:AlternateContent>
  <xr:revisionPtr revIDLastSave="0" documentId="13_ncr:1_{DA189A90-C398-48E2-B8DD-B99B68E50943}" xr6:coauthVersionLast="47" xr6:coauthVersionMax="47" xr10:uidLastSave="{00000000-0000-0000-0000-000000000000}"/>
  <bookViews>
    <workbookView xWindow="-120" yWindow="-120" windowWidth="20730" windowHeight="11160" xr2:uid="{00000000-000D-0000-FFFF-FFFF00000000}"/>
  </bookViews>
  <sheets>
    <sheet name="Report" sheetId="1" r:id="rId1"/>
    <sheet name="Flat detail" sheetId="3" r:id="rId2"/>
    <sheet name="Note" sheetId="4" r:id="rId3"/>
    <sheet name="valuation" sheetId="5" r:id="rId4"/>
  </sheets>
  <definedNames>
    <definedName name="_xlnm.Print_Area" localSheetId="0">Report!$A$1:$H$235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6" i="1" l="1"/>
  <c r="H60" i="1"/>
  <c r="C68" i="1" l="1"/>
  <c r="E3" i="1"/>
  <c r="G112" i="1" l="1"/>
  <c r="J70" i="1" l="1"/>
  <c r="J69" i="1"/>
  <c r="J68" i="1"/>
  <c r="J67" i="1"/>
  <c r="D65" i="1" l="1"/>
  <c r="J63" i="1"/>
  <c r="D72" i="1"/>
  <c r="D70" i="1"/>
  <c r="D68" i="1"/>
  <c r="D66" i="1"/>
  <c r="J64" i="1"/>
  <c r="C63" i="1" s="1"/>
  <c r="D63" i="1" s="1"/>
  <c r="J62" i="1"/>
  <c r="D71" i="1"/>
  <c r="D67" i="1"/>
  <c r="J65" i="1"/>
  <c r="D69" i="1"/>
  <c r="G134" i="1"/>
  <c r="D143" i="1"/>
  <c r="F143" i="1" s="1"/>
  <c r="D140" i="1"/>
  <c r="F140" i="1" s="1"/>
  <c r="D139" i="1"/>
  <c r="F139" i="1" s="1"/>
  <c r="D138" i="1"/>
  <c r="F138" i="1" s="1"/>
  <c r="D137" i="1"/>
  <c r="F137" i="1" s="1"/>
  <c r="D136" i="1"/>
  <c r="F136" i="1" s="1"/>
  <c r="D135" i="1"/>
  <c r="F135" i="1" s="1"/>
  <c r="D134" i="1"/>
  <c r="F134" i="1" s="1"/>
  <c r="D131" i="1"/>
  <c r="F131" i="1" s="1"/>
  <c r="D130" i="1"/>
  <c r="F130" i="1" s="1"/>
  <c r="I130" i="1" s="1"/>
  <c r="D129" i="1"/>
  <c r="F129" i="1" s="1"/>
  <c r="I129" i="1" s="1"/>
  <c r="D128" i="1"/>
  <c r="F128" i="1" s="1"/>
  <c r="D127" i="1"/>
  <c r="F127" i="1" s="1"/>
  <c r="I127" i="1" s="1"/>
  <c r="D122" i="1"/>
  <c r="D126" i="1"/>
  <c r="F126" i="1" s="1"/>
  <c r="D125" i="1"/>
  <c r="F125" i="1" s="1"/>
  <c r="I125" i="1" s="1"/>
  <c r="D124" i="1"/>
  <c r="F124" i="1" s="1"/>
  <c r="I124" i="1" s="1"/>
  <c r="D123" i="1"/>
  <c r="F123" i="1" s="1"/>
  <c r="I123" i="1" s="1"/>
  <c r="D119" i="1"/>
  <c r="F119" i="1" s="1"/>
  <c r="D118" i="1"/>
  <c r="F118" i="1" s="1"/>
  <c r="D117" i="1"/>
  <c r="F117" i="1" s="1"/>
  <c r="D116" i="1"/>
  <c r="F116" i="1" s="1"/>
  <c r="D115" i="1"/>
  <c r="F115" i="1" s="1"/>
  <c r="D114" i="1"/>
  <c r="F114" i="1" s="1"/>
  <c r="D113" i="1"/>
  <c r="F113" i="1" s="1"/>
  <c r="D112" i="1"/>
  <c r="F112" i="1" s="1"/>
  <c r="J112" i="1" s="1"/>
  <c r="D108" i="1"/>
  <c r="F108" i="1" s="1"/>
  <c r="D110" i="1"/>
  <c r="F110" i="1" s="1"/>
  <c r="D109" i="1"/>
  <c r="F109" i="1" s="1"/>
  <c r="D107" i="1"/>
  <c r="F107" i="1" s="1"/>
  <c r="D106" i="1"/>
  <c r="F106" i="1" s="1"/>
  <c r="J106" i="1" s="1"/>
  <c r="D105" i="1"/>
  <c r="F105" i="1" s="1"/>
  <c r="D104" i="1"/>
  <c r="F104" i="1" s="1"/>
  <c r="D103" i="1"/>
  <c r="F103" i="1" s="1"/>
  <c r="D102" i="1"/>
  <c r="F102" i="1" s="1"/>
  <c r="D101" i="1"/>
  <c r="F101" i="1" s="1"/>
  <c r="J66" i="1" l="1"/>
  <c r="C92" i="1"/>
  <c r="D92" i="1"/>
  <c r="F92" i="1"/>
  <c r="D95" i="1"/>
  <c r="C95" i="1"/>
  <c r="F122" i="1"/>
  <c r="G8" i="5"/>
  <c r="F6" i="5"/>
  <c r="G6" i="5" s="1"/>
  <c r="F7" i="5"/>
  <c r="G7" i="5" s="1"/>
  <c r="F8" i="5"/>
  <c r="F9" i="5"/>
  <c r="G9" i="5" s="1"/>
  <c r="F10" i="5"/>
  <c r="G10" i="5" s="1"/>
  <c r="F11" i="5"/>
  <c r="G11" i="5" s="1"/>
  <c r="C96" i="1" l="1"/>
  <c r="D96" i="1"/>
  <c r="J71" i="1"/>
  <c r="J72" i="1" s="1"/>
  <c r="C64" i="1" s="1"/>
  <c r="E63" i="1" s="1"/>
  <c r="F95" i="1"/>
  <c r="F96" i="1" s="1"/>
  <c r="I122" i="1"/>
  <c r="G12" i="5"/>
  <c r="I59" i="1" l="1"/>
  <c r="C61" i="1" s="1"/>
  <c r="D64" i="1"/>
  <c r="G63" i="1"/>
  <c r="E7" i="1"/>
  <c r="E40" i="1" l="1"/>
  <c r="E41" i="1" s="1"/>
  <c r="D157" i="1" l="1"/>
  <c r="F89" i="1"/>
  <c r="G46" i="1"/>
  <c r="C46" i="1"/>
  <c r="D5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<sst xmlns="http://schemas.openxmlformats.org/spreadsheetml/2006/main" count="344" uniqueCount="238">
  <si>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</si>
  <si>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</si>
  <si>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</si>
  <si>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</si>
  <si>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</si>
  <si>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</si>
  <si>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</si>
  <si>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</si>
  <si>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</si>
  <si>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</si>
  <si>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</si>
  <si>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</si>
  <si>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</si>
  <si>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</si>
  <si>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</si>
  <si>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</si>
  <si>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</si>
  <si>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</si>
  <si>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</si>
  <si>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</si>
  <si>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</si>
  <si>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</si>
  <si>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</si>
  <si>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</si>
  <si>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</si>
  <si>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</si>
  <si>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</si>
  <si>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</si>
  <si>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</si>
  <si>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</si>
  <si>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</si>
  <si>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</si>
  <si>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</si>
  <si>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</si>
  <si>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</si>
  <si>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</si>
  <si>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</si>
  <si>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</si>
  <si>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</si>
  <si>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</si>
  <si>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</si>
  <si>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</si>
  <si>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</si>
  <si>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</si>
  <si>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</si>
  <si>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</si>
  <si>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</si>
  <si>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</si>
  <si>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</si>
  <si>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</si>
  <si>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</si>
  <si>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</si>
  <si>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</si>
  <si>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</si>
  <si>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</si>
  <si>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</si>
  <si>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</si>
  <si>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</si>
  <si>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</si>
  <si>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</si>
  <si>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</si>
  <si>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</si>
  <si>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</si>
  <si>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</si>
  <si>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</si>
  <si>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</si>
  <si>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</si>
  <si>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</si>
  <si>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</si>
  <si>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</si>
  <si>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</si>
  <si>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</si>
  <si>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</si>
  <si>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</si>
  <si>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</si>
  <si>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</si>
  <si>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</si>
  <si>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</si>
  <si>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</si>
  <si>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</si>
  <si>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</si>
  <si>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</si>
  <si>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</si>
  <si>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</si>
  <si>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</si>
  <si>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</si>
  <si>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</si>
  <si>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</si>
  <si>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</si>
  <si>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</si>
  <si>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</si>
  <si>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</si>
  <si>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</si>
  <si>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</si>
  <si>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</si>
  <si>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</si>
  <si>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</si>
  <si>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</si>
  <si>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</si>
  <si>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</si>
  <si>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</si>
  <si>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</si>
  <si>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</si>
  <si>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</si>
  <si>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</si>
  <si>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</si>
  <si>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</si>
  <si>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</si>
  <si>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</si>
  <si>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</si>
  <si>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</si>
  <si>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</si>
  <si>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</si>
  <si>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</si>
  <si>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</si>
  <si>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</si>
  <si>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</si>
  <si>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</si>
  <si>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</si>
  <si>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</si>
  <si>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</si>
  <si>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</si>
  <si>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</si>
  <si>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</si>
  <si>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</si>
  <si>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</si>
  <si>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</si>
  <si>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</si>
  <si>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</si>
  <si>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</si>
  <si>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</si>
  <si>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</si>
  <si>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</si>
  <si>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</si>
  <si>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</si>
  <si>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</si>
  <si>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</si>
  <si>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</si>
  <si>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</si>
  <si>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</si>
  <si>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</si>
  <si>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</si>
  <si>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</si>
  <si>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</si>
  <si>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</si>
  <si>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</si>
  <si>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</si>
  <si>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</si>
  <si>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</si>
  <si>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</si>
  <si>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</si>
  <si>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</si>
  <si>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</si>
  <si>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</si>
  <si>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</si>
  <si>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</si>
  <si>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</si>
  <si>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</si>
  <si>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</si>
  <si>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</si>
  <si>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</si>
  <si>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</si>
  <si>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</si>
  <si>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Axis Sanpada</t>
  </si>
  <si>
    <t>Contact Details ( Name &amp; Contect No.)</t>
  </si>
  <si>
    <t>P51700025980</t>
  </si>
  <si>
    <t>206 Hissa no.5, 6, 7(Part) &amp; 209 Hissa no.5</t>
  </si>
  <si>
    <t>Thane</t>
  </si>
  <si>
    <t>Middle Class</t>
  </si>
  <si>
    <t>Developing</t>
  </si>
  <si>
    <t>As per RERA - 01/03/2030.</t>
  </si>
  <si>
    <t>16/04/2019.</t>
  </si>
  <si>
    <t xml:space="preserve">Cement, Aggregate, Steel, etc </t>
  </si>
  <si>
    <t>Shop</t>
  </si>
  <si>
    <t>Ground Floor</t>
  </si>
  <si>
    <t xml:space="preserve">1st Floor </t>
  </si>
  <si>
    <t>1BHK</t>
  </si>
  <si>
    <t>2BHK</t>
  </si>
  <si>
    <t>11th &amp; 12th, 14th to 17th, 19th to 22nd, 14th to 27th, 29th &amp; 30th Floor</t>
  </si>
  <si>
    <t>Refuge Area</t>
  </si>
  <si>
    <t xml:space="preserve">    13th, 18th, 23rd &amp; 28th (Part Refuge Floor)</t>
  </si>
  <si>
    <t>Fire Check Floor Between 23rd &amp; 24th Floor</t>
  </si>
  <si>
    <t>Wheather the construction is as per approved Building plan : Under Construction</t>
  </si>
  <si>
    <t>5Km from Thane Railway Station</t>
  </si>
  <si>
    <t>Savtribai Thirane school</t>
  </si>
  <si>
    <t>Pokhran Road No.1</t>
  </si>
  <si>
    <t>Sangram CHS</t>
  </si>
  <si>
    <t>Open plot</t>
  </si>
  <si>
    <t>Savitribai Thirane School</t>
  </si>
  <si>
    <t>Vartak Nagar</t>
  </si>
  <si>
    <t>Superio Grand Central</t>
  </si>
  <si>
    <t>M/s. Fortune Infracreators Private Limited</t>
  </si>
  <si>
    <t>Survey No</t>
  </si>
  <si>
    <t>Ground Floor for Commercial (Part area for 12 Rehab Shops)</t>
  </si>
  <si>
    <t>Sale</t>
  </si>
  <si>
    <t>2nd to 10th Floor for Podium Parking</t>
  </si>
  <si>
    <t>Flats - 192, Shops - 18</t>
  </si>
  <si>
    <t>Recommended rate of the Shop at 1st Floor 
Per Sq. Ft. (on Saleable area)</t>
  </si>
  <si>
    <t>Recommended rate of the shop at Ground Foor 
Per Sq. Ft. (on Saleable area)</t>
  </si>
  <si>
    <t>500000/-</t>
  </si>
  <si>
    <t>Approved Plans, CC</t>
  </si>
  <si>
    <t>Superio Grand Central is Revelopment of Vrtak Nagar Vikas CHS (Building No. 24) &amp; Vartak Nagar Janakdevi CHS (Building No.31) part of housing layout of Vartak Nagar S.no.206/3(pt) to 7(pt), 209/5(pt), 7(pt) &amp; 10(pt) at village-Majiwada, Thane.</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</si>
  <si>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</si>
  <si>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</si>
  <si>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</si>
  <si>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</si>
  <si>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</si>
  <si>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</si>
  <si>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</si>
  <si>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</si>
  <si>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</si>
  <si>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</si>
  <si>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</si>
  <si>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</si>
  <si>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</si>
  <si>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</si>
  <si>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</si>
  <si>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</si>
  <si>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</si>
  <si>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</si>
  <si>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11th &amp; 12th, 14th to 17th, 19th to 22nd, 24th to 27th, 29th &amp; 30th Floor for Residential</t>
  </si>
  <si>
    <t>1 Building (Existing Building No.24 &amp; 31)</t>
  </si>
  <si>
    <t>1 Building</t>
  </si>
  <si>
    <t>Gr + 1st Floor + 2nd to 10th (P) + 11th to 30th Floor</t>
  </si>
  <si>
    <t>Latitude, Longitude</t>
  </si>
  <si>
    <t>Location Link</t>
  </si>
  <si>
    <t>https://goo.gl/maps/sRveZG46qZLsNQjb7?coh=178572&amp;entry=tt</t>
  </si>
  <si>
    <t>19.21447735, 72.96100027</t>
  </si>
  <si>
    <t xml:space="preserve">Office No. 1031, Wing J, Akshar Business Park, Plot No. 03 Sector 25, Near APMC Market, 
Vashi, Navi Mumbai, Maharashtra 400703 TEL: 022-46090378/79/8                                   
E mail : vsjcapf@gmail.com. Web site : www.vsjadon.com </t>
  </si>
  <si>
    <t>V.P.NO.S04/0145/18/TMC/TDD/4139/22</t>
  </si>
  <si>
    <t>Ajay Songare</t>
  </si>
  <si>
    <t>1B + Gr + 1st Floor + 2nd to 10th (P) + 11th to 32nd Floor</t>
  </si>
  <si>
    <t>19/07/2022.</t>
  </si>
  <si>
    <t xml:space="preserve">1. Construction work was in process at the time of visit. Internal photographs was not allowed.
2. We considered  Saleable area  as per our calculation.
3. We considered Carpet area as per Approved Plan.
4. We considered Gross carpet area = Net carpet + Enclose balcony + C.B Area.
5. We have considered rate by verifying it from market inquire.
6. Car parking is subjected to authentic documentation.
7. Recommended rate should be considered as all inclusive rate if other charges are not mentioned. (Excluding GST &amp; other government Taxes).
8. On Site, we meet Mr. Vikrant : 9920695454.
9. We have updated latest CC from Rera (On 14/10/2024).
10. Construction Work Goes beyond approved no. of floor. Please provide revised approved plans.
</t>
  </si>
  <si>
    <t xml:space="preserve"> Gr + 1st Floor + 2nd to 10th (Po) + 11th to 31st Floor</t>
  </si>
  <si>
    <t>VPS04/0145/18/TMC/TD-DP/
TPS/3051/19</t>
  </si>
  <si>
    <t>Valid Up to:  1B + Gr (Part Comm. + Common facilities, meter room, common toilet, electrical services) + 1st Floor (Part Commercial) + 2nd to 30th floor + 31st floor (Part Fitness Centre)</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</si>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</sst>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0" fontId="21" fillId="0" borderId="0" applyNumberFormat="0" applyFill="0" applyBorder="0" applyAlignment="0" applyProtection="0"/>
  </cellStyleXfs>
  <cellXfs count="152">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4" fillId="0" borderId="1"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protection locked="0"/>
    </xf>
    <xf numFmtId="0" fontId="7" fillId="0" borderId="13" xfId="1" applyFont="1" applyBorder="1" applyProtection="1">
      <protection hidden="1"/>
    </xf>
    <xf numFmtId="0" fontId="7" fillId="0" borderId="14" xfId="1" applyFont="1" applyBorder="1" applyProtection="1">
      <protection hidden="1"/>
    </xf>
    <xf numFmtId="0" fontId="7" fillId="0" borderId="14" xfId="1" applyFont="1" applyBorder="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2" fillId="2" borderId="1" xfId="1" applyFont="1" applyFill="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0" fontId="12" fillId="0" borderId="6" xfId="1" applyFont="1" applyBorder="1" applyAlignment="1" applyProtection="1">
      <alignment horizontal="center" vertical="top"/>
      <protection locked="0"/>
    </xf>
    <xf numFmtId="1" fontId="6" fillId="0" borderId="10"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2" fillId="0" borderId="8" xfId="1" applyFont="1" applyBorder="1" applyAlignment="1" applyProtection="1">
      <alignment horizontal="center" wrapText="1"/>
      <protection locked="0"/>
    </xf>
    <xf numFmtId="9" fontId="12" fillId="2" borderId="8"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vertical="center" wrapText="1"/>
      <protection locked="0"/>
    </xf>
    <xf numFmtId="1" fontId="7" fillId="0" borderId="0" xfId="1" applyNumberFormat="1" applyFont="1" applyAlignment="1">
      <alignment horizontal="center" vertical="center"/>
    </xf>
    <xf numFmtId="0" fontId="7" fillId="0" borderId="12" xfId="1" applyFont="1" applyBorder="1" applyProtection="1">
      <protection hidden="1"/>
    </xf>
    <xf numFmtId="0" fontId="17" fillId="0" borderId="0" xfId="0" applyFont="1" applyProtection="1">
      <protection hidden="1"/>
    </xf>
    <xf numFmtId="0" fontId="17" fillId="0" borderId="14" xfId="0" applyFont="1" applyBorder="1" applyProtection="1">
      <protection hidden="1"/>
    </xf>
    <xf numFmtId="1" fontId="0" fillId="0" borderId="14" xfId="0" applyNumberFormat="1" applyBorder="1"/>
    <xf numFmtId="1" fontId="0" fillId="0" borderId="14" xfId="0" applyNumberFormat="1" applyBorder="1" applyAlignment="1">
      <alignment horizontal="right"/>
    </xf>
    <xf numFmtId="0" fontId="17" fillId="0" borderId="15" xfId="0" applyFont="1" applyBorder="1" applyProtection="1">
      <protection hidden="1"/>
    </xf>
    <xf numFmtId="1" fontId="0" fillId="0" borderId="16" xfId="0" applyNumberFormat="1" applyBorder="1"/>
    <xf numFmtId="1" fontId="7" fillId="0" borderId="3" xfId="0" applyNumberFormat="1" applyFont="1" applyBorder="1" applyAlignment="1" applyProtection="1">
      <alignment horizontal="center" vertical="center"/>
      <protection locked="0"/>
    </xf>
    <xf numFmtId="1" fontId="10" fillId="0" borderId="31" xfId="0" applyNumberFormat="1" applyFont="1" applyBorder="1" applyAlignment="1" applyProtection="1">
      <alignment horizontal="center" vertical="center"/>
      <protection locked="0"/>
    </xf>
    <xf numFmtId="0" fontId="13"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2" borderId="1" xfId="1" applyFont="1" applyFill="1" applyBorder="1" applyAlignment="1" applyProtection="1">
      <alignment horizontal="left" vertical="top" wrapText="1"/>
      <protection locked="0"/>
    </xf>
    <xf numFmtId="14"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165"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2" borderId="1" xfId="1" applyFont="1" applyFill="1" applyBorder="1" applyAlignment="1" applyProtection="1">
      <alignment horizontal="left" vertical="top" wrapText="1"/>
      <protection locked="0"/>
    </xf>
    <xf numFmtId="1" fontId="7" fillId="0" borderId="3" xfId="0"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0" fontId="8" fillId="0" borderId="4"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protection locked="0"/>
    </xf>
    <xf numFmtId="14" fontId="12" fillId="2" borderId="1" xfId="1" applyNumberFormat="1" applyFont="1" applyFill="1" applyBorder="1" applyAlignment="1" applyProtection="1">
      <alignment horizontal="left" vertical="top"/>
      <protection locked="0"/>
    </xf>
    <xf numFmtId="0" fontId="12" fillId="0" borderId="5"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9" fontId="12" fillId="2" borderId="6" xfId="1" applyNumberFormat="1" applyFont="1" applyFill="1" applyBorder="1" applyAlignment="1" applyProtection="1">
      <alignment horizontal="center" vertical="center" wrapText="1"/>
      <protection hidden="1"/>
    </xf>
    <xf numFmtId="9" fontId="12" fillId="2" borderId="9" xfId="1" applyNumberFormat="1" applyFont="1" applyFill="1" applyBorder="1" applyAlignment="1" applyProtection="1">
      <alignment horizontal="center" vertical="center" wrapText="1"/>
      <protection hidden="1"/>
    </xf>
    <xf numFmtId="2" fontId="6" fillId="0" borderId="1" xfId="1" applyNumberFormat="1" applyFont="1" applyBorder="1" applyAlignment="1" applyProtection="1">
      <alignment horizontal="left" vertical="top"/>
      <protection locked="0"/>
    </xf>
    <xf numFmtId="0" fontId="13" fillId="0" borderId="10"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8" fillId="0" borderId="1" xfId="1" applyFont="1" applyBorder="1" applyAlignment="1" applyProtection="1">
      <alignment vertical="top"/>
      <protection locked="0"/>
    </xf>
    <xf numFmtId="0" fontId="12" fillId="2" borderId="10" xfId="1" applyFont="1" applyFill="1" applyBorder="1" applyAlignment="1" applyProtection="1">
      <alignment horizontal="left" vertical="top" wrapText="1"/>
      <protection locked="0"/>
    </xf>
    <xf numFmtId="0" fontId="12" fillId="2" borderId="29" xfId="1" applyFont="1" applyFill="1" applyBorder="1" applyAlignment="1" applyProtection="1">
      <alignment horizontal="left" vertical="top" wrapText="1"/>
      <protection locked="0"/>
    </xf>
    <xf numFmtId="0" fontId="12" fillId="2" borderId="11" xfId="1" applyFont="1" applyFill="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0" fontId="13" fillId="0" borderId="28" xfId="1" applyFont="1" applyBorder="1" applyAlignment="1" applyProtection="1">
      <alignment horizontal="left" vertical="top" wrapText="1"/>
      <protection locked="0"/>
    </xf>
    <xf numFmtId="0" fontId="13" fillId="0" borderId="6"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6" xfId="1" applyFont="1" applyBorder="1" applyAlignment="1" applyProtection="1">
      <alignment horizontal="center" vertical="top" wrapText="1"/>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12" fillId="0" borderId="10" xfId="1" applyFont="1" applyBorder="1" applyAlignment="1" applyProtection="1">
      <alignment horizontal="left"/>
      <protection locked="0"/>
    </xf>
    <xf numFmtId="0" fontId="12" fillId="0" borderId="29" xfId="1" applyFont="1" applyBorder="1" applyAlignment="1" applyProtection="1">
      <alignment horizontal="left"/>
      <protection locked="0"/>
    </xf>
    <xf numFmtId="0" fontId="12" fillId="0" borderId="11" xfId="1" applyFont="1" applyBorder="1" applyAlignment="1" applyProtection="1">
      <alignment horizontal="left"/>
      <protection locked="0"/>
    </xf>
    <xf numFmtId="0" fontId="21" fillId="0" borderId="10" xfId="8" applyBorder="1" applyAlignment="1" applyProtection="1">
      <alignment horizontal="left"/>
      <protection locked="0"/>
    </xf>
    <xf numFmtId="1" fontId="8" fillId="0" borderId="30" xfId="0" applyNumberFormat="1" applyFont="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1" fontId="10" fillId="0" borderId="31" xfId="0"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9">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582705</xdr:colOff>
      <xdr:row>212</xdr:row>
      <xdr:rowOff>163232</xdr:rowOff>
    </xdr:from>
    <xdr:to>
      <xdr:col>7</xdr:col>
      <xdr:colOff>33618</xdr:colOff>
      <xdr:row>231</xdr:row>
      <xdr:rowOff>72763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82705" y="47115879"/>
          <a:ext cx="5423648" cy="3741941"/>
        </a:xfrm>
        <a:prstGeom prst="rect">
          <a:avLst/>
        </a:prstGeom>
        <a:ln>
          <a:solidFill>
            <a:schemeClr val="tx1"/>
          </a:solidFill>
        </a:ln>
      </xdr:spPr>
    </xdr:pic>
    <xdr:clientData/>
  </xdr:twoCellAnchor>
  <xdr:twoCellAnchor editAs="oneCell">
    <xdr:from>
      <xdr:col>0</xdr:col>
      <xdr:colOff>593912</xdr:colOff>
      <xdr:row>193</xdr:row>
      <xdr:rowOff>145675</xdr:rowOff>
    </xdr:from>
    <xdr:to>
      <xdr:col>7</xdr:col>
      <xdr:colOff>44824</xdr:colOff>
      <xdr:row>212</xdr:row>
      <xdr:rowOff>55201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93912" y="43265910"/>
          <a:ext cx="5423647" cy="3741940"/>
        </a:xfrm>
        <a:prstGeom prst="rect">
          <a:avLst/>
        </a:prstGeom>
        <a:ln>
          <a:solidFill>
            <a:schemeClr val="tx1"/>
          </a:solidFill>
        </a:ln>
      </xdr:spPr>
    </xdr:pic>
    <xdr:clientData/>
  </xdr:twoCellAnchor>
  <xdr:twoCellAnchor editAs="oneCell">
    <xdr:from>
      <xdr:col>12</xdr:col>
      <xdr:colOff>193285</xdr:colOff>
      <xdr:row>178</xdr:row>
      <xdr:rowOff>181670</xdr:rowOff>
    </xdr:from>
    <xdr:to>
      <xdr:col>14</xdr:col>
      <xdr:colOff>525723</xdr:colOff>
      <xdr:row>189</xdr:row>
      <xdr:rowOff>176320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813535" y="38996045"/>
          <a:ext cx="1551638" cy="2194925"/>
        </a:xfrm>
        <a:prstGeom prst="rect">
          <a:avLst/>
        </a:prstGeom>
        <a:ln>
          <a:solidFill>
            <a:schemeClr val="tx1"/>
          </a:solidFill>
        </a:ln>
      </xdr:spPr>
    </xdr:pic>
    <xdr:clientData/>
  </xdr:twoCellAnchor>
  <xdr:twoCellAnchor editAs="oneCell">
    <xdr:from>
      <xdr:col>8</xdr:col>
      <xdr:colOff>495300</xdr:colOff>
      <xdr:row>158</xdr:row>
      <xdr:rowOff>22225</xdr:rowOff>
    </xdr:from>
    <xdr:to>
      <xdr:col>12</xdr:col>
      <xdr:colOff>106232</xdr:colOff>
      <xdr:row>178</xdr:row>
      <xdr:rowOff>51574</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877050" y="34845625"/>
          <a:ext cx="2849432" cy="4020325"/>
        </a:xfrm>
        <a:prstGeom prst="rect">
          <a:avLst/>
        </a:prstGeom>
        <a:ln>
          <a:solidFill>
            <a:schemeClr val="tx1"/>
          </a:solidFill>
        </a:ln>
      </xdr:spPr>
    </xdr:pic>
    <xdr:clientData/>
  </xdr:twoCellAnchor>
  <xdr:twoCellAnchor editAs="oneCell">
    <xdr:from>
      <xdr:col>12</xdr:col>
      <xdr:colOff>193285</xdr:colOff>
      <xdr:row>158</xdr:row>
      <xdr:rowOff>22225</xdr:rowOff>
    </xdr:from>
    <xdr:to>
      <xdr:col>16</xdr:col>
      <xdr:colOff>607492</xdr:colOff>
      <xdr:row>178</xdr:row>
      <xdr:rowOff>51574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813535" y="34845625"/>
          <a:ext cx="2852607" cy="4020325"/>
        </a:xfrm>
        <a:prstGeom prst="rect">
          <a:avLst/>
        </a:prstGeom>
        <a:ln>
          <a:solidFill>
            <a:schemeClr val="tx1"/>
          </a:solidFill>
        </a:ln>
      </xdr:spPr>
    </xdr:pic>
    <xdr:clientData/>
  </xdr:twoCellAnchor>
  <xdr:twoCellAnchor editAs="oneCell">
    <xdr:from>
      <xdr:col>9</xdr:col>
      <xdr:colOff>405619</xdr:colOff>
      <xdr:row>178</xdr:row>
      <xdr:rowOff>181670</xdr:rowOff>
    </xdr:from>
    <xdr:to>
      <xdr:col>12</xdr:col>
      <xdr:colOff>106232</xdr:colOff>
      <xdr:row>189</xdr:row>
      <xdr:rowOff>176320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149444" y="38996045"/>
          <a:ext cx="1577038" cy="2194925"/>
        </a:xfrm>
        <a:prstGeom prst="rect">
          <a:avLst/>
        </a:prstGeom>
        <a:ln>
          <a:solidFill>
            <a:schemeClr val="tx1"/>
          </a:solidFill>
        </a:ln>
      </xdr:spPr>
    </xdr:pic>
    <xdr:clientData/>
  </xdr:twoCellAnchor>
  <xdr:twoCellAnchor>
    <xdr:from>
      <xdr:col>8</xdr:col>
      <xdr:colOff>306705</xdr:colOff>
      <xdr:row>156</xdr:row>
      <xdr:rowOff>99060</xdr:rowOff>
    </xdr:from>
    <xdr:to>
      <xdr:col>16</xdr:col>
      <xdr:colOff>474789</xdr:colOff>
      <xdr:row>189</xdr:row>
      <xdr:rowOff>127320</xdr:rowOff>
    </xdr:to>
    <xdr:grpSp>
      <xdr:nvGrpSpPr>
        <xdr:cNvPr id="4" name="Group 3">
          <a:extLst>
            <a:ext uri="{FF2B5EF4-FFF2-40B4-BE49-F238E27FC236}">
              <a16:creationId xmlns:a16="http://schemas.microsoft.com/office/drawing/2014/main" id="{2EF984DF-E92D-0B1A-8910-4696B43CBDD7}"/>
            </a:ext>
          </a:extLst>
        </xdr:cNvPr>
        <xdr:cNvGrpSpPr/>
      </xdr:nvGrpSpPr>
      <xdr:grpSpPr>
        <a:xfrm>
          <a:off x="6688455" y="35008185"/>
          <a:ext cx="5844984" cy="6619560"/>
          <a:chOff x="271611" y="245266"/>
          <a:chExt cx="5991669" cy="6558600"/>
        </a:xfrm>
      </xdr:grpSpPr>
      <xdr:grpSp>
        <xdr:nvGrpSpPr>
          <xdr:cNvPr id="5" name="Group 4">
            <a:extLst>
              <a:ext uri="{FF2B5EF4-FFF2-40B4-BE49-F238E27FC236}">
                <a16:creationId xmlns:a16="http://schemas.microsoft.com/office/drawing/2014/main" id="{67349BD3-5CC6-4312-9B9B-F11C3003C781}"/>
              </a:ext>
            </a:extLst>
          </xdr:cNvPr>
          <xdr:cNvGrpSpPr/>
        </xdr:nvGrpSpPr>
        <xdr:grpSpPr>
          <a:xfrm>
            <a:off x="526464" y="4283866"/>
            <a:ext cx="5481963" cy="2520000"/>
            <a:chOff x="-210652" y="4268626"/>
            <a:chExt cx="5481963" cy="2520000"/>
          </a:xfrm>
        </xdr:grpSpPr>
        <xdr:pic>
          <xdr:nvPicPr>
            <xdr:cNvPr id="17" name="Picture 16">
              <a:extLst>
                <a:ext uri="{FF2B5EF4-FFF2-40B4-BE49-F238E27FC236}">
                  <a16:creationId xmlns:a16="http://schemas.microsoft.com/office/drawing/2014/main" id="{56BC87E3-1874-54ED-2267-926A89D8EC59}"/>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383280" y="4268626"/>
              <a:ext cx="1888031"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0B33540B-FA6B-57DE-7045-117E1515D87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10652" y="4268626"/>
              <a:ext cx="3356889" cy="25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237EDD27-7DDB-E8E2-982E-DE4E05C9DA2E}"/>
              </a:ext>
            </a:extLst>
          </xdr:cNvPr>
          <xdr:cNvGrpSpPr/>
        </xdr:nvGrpSpPr>
        <xdr:grpSpPr>
          <a:xfrm>
            <a:off x="271611" y="245266"/>
            <a:ext cx="5991669" cy="3844005"/>
            <a:chOff x="271611" y="245266"/>
            <a:chExt cx="5991669" cy="3844005"/>
          </a:xfrm>
        </xdr:grpSpPr>
        <xdr:pic>
          <xdr:nvPicPr>
            <xdr:cNvPr id="7" name="Picture 6">
              <a:extLst>
                <a:ext uri="{FF2B5EF4-FFF2-40B4-BE49-F238E27FC236}">
                  <a16:creationId xmlns:a16="http://schemas.microsoft.com/office/drawing/2014/main" id="{28703F8B-DC9C-4EFE-8258-E053501EE6E1}"/>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71611" y="245266"/>
              <a:ext cx="2880000" cy="3844005"/>
            </a:xfrm>
            <a:prstGeom prst="rect">
              <a:avLst/>
            </a:prstGeom>
            <a:ln>
              <a:solidFill>
                <a:schemeClr val="tx1"/>
              </a:solidFill>
            </a:ln>
          </xdr:spPr>
        </xdr:pic>
        <xdr:pic>
          <xdr:nvPicPr>
            <xdr:cNvPr id="16" name="Picture 15">
              <a:extLst>
                <a:ext uri="{FF2B5EF4-FFF2-40B4-BE49-F238E27FC236}">
                  <a16:creationId xmlns:a16="http://schemas.microsoft.com/office/drawing/2014/main" id="{41EAF906-1FD7-447E-26BC-F39E4EE8B2A4}"/>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383280" y="245266"/>
              <a:ext cx="2880000" cy="3844005"/>
            </a:xfrm>
            <a:prstGeom prst="rect">
              <a:avLst/>
            </a:prstGeom>
            <a:ln>
              <a:solidFill>
                <a:schemeClr val="tx1"/>
              </a:solidFill>
            </a:ln>
          </xdr:spPr>
        </xdr:pic>
      </xdr:grpSp>
    </xdr:grpSp>
    <xdr:clientData/>
  </xdr:twoCellAnchor>
  <xdr:twoCellAnchor>
    <xdr:from>
      <xdr:col>0</xdr:col>
      <xdr:colOff>257175</xdr:colOff>
      <xdr:row>157</xdr:row>
      <xdr:rowOff>161925</xdr:rowOff>
    </xdr:from>
    <xdr:to>
      <xdr:col>7</xdr:col>
      <xdr:colOff>552449</xdr:colOff>
      <xdr:row>189</xdr:row>
      <xdr:rowOff>133350</xdr:rowOff>
    </xdr:to>
    <xdr:grpSp>
      <xdr:nvGrpSpPr>
        <xdr:cNvPr id="15" name="Group 14">
          <a:extLst>
            <a:ext uri="{FF2B5EF4-FFF2-40B4-BE49-F238E27FC236}">
              <a16:creationId xmlns:a16="http://schemas.microsoft.com/office/drawing/2014/main" id="{1E2EE127-2643-4B58-93F2-68D697DBC346}"/>
            </a:ext>
          </a:extLst>
        </xdr:cNvPr>
        <xdr:cNvGrpSpPr/>
      </xdr:nvGrpSpPr>
      <xdr:grpSpPr>
        <a:xfrm>
          <a:off x="257175" y="35271075"/>
          <a:ext cx="5848349" cy="6362700"/>
          <a:chOff x="841076" y="573741"/>
          <a:chExt cx="5015393" cy="5574289"/>
        </a:xfrm>
      </xdr:grpSpPr>
      <xdr:pic>
        <xdr:nvPicPr>
          <xdr:cNvPr id="19" name="Picture 18">
            <a:extLst>
              <a:ext uri="{FF2B5EF4-FFF2-40B4-BE49-F238E27FC236}">
                <a16:creationId xmlns:a16="http://schemas.microsoft.com/office/drawing/2014/main" id="{781B651C-4633-4CB1-8D0C-AE2A1D7467C9}"/>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41076" y="573741"/>
            <a:ext cx="2427469" cy="3240000"/>
          </a:xfrm>
          <a:prstGeom prst="rect">
            <a:avLst/>
          </a:prstGeom>
          <a:ln>
            <a:solidFill>
              <a:schemeClr val="tx1"/>
            </a:solidFill>
          </a:ln>
        </xdr:spPr>
      </xdr:pic>
      <xdr:pic>
        <xdr:nvPicPr>
          <xdr:cNvPr id="20" name="Picture 19">
            <a:extLst>
              <a:ext uri="{FF2B5EF4-FFF2-40B4-BE49-F238E27FC236}">
                <a16:creationId xmlns:a16="http://schemas.microsoft.com/office/drawing/2014/main" id="{C4B1750D-0E7A-4376-9C6E-50C652AEB0E9}"/>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429000" y="573741"/>
            <a:ext cx="2427469" cy="3240000"/>
          </a:xfrm>
          <a:prstGeom prst="rect">
            <a:avLst/>
          </a:prstGeom>
          <a:ln>
            <a:solidFill>
              <a:schemeClr val="tx1"/>
            </a:solidFill>
          </a:ln>
        </xdr:spPr>
      </xdr:pic>
      <xdr:pic>
        <xdr:nvPicPr>
          <xdr:cNvPr id="21" name="Picture 20">
            <a:extLst>
              <a:ext uri="{FF2B5EF4-FFF2-40B4-BE49-F238E27FC236}">
                <a16:creationId xmlns:a16="http://schemas.microsoft.com/office/drawing/2014/main" id="{2F77F25B-5075-4A79-9D8F-CB6AF0F1A777}"/>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075767" y="3988030"/>
            <a:ext cx="2877333"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B044731C-4F5B-4FFF-8B63-6A5A275A5C5F}"/>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4056347" y="3988030"/>
            <a:ext cx="1618312"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14</xdr:row>
      <xdr:rowOff>0</xdr:rowOff>
    </xdr:from>
    <xdr:to>
      <xdr:col>6</xdr:col>
      <xdr:colOff>352490</xdr:colOff>
      <xdr:row>32</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9784" y="2675283"/>
          <a:ext cx="675494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sRveZG46qZLsNQjb7?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3"/>
  <sheetViews>
    <sheetView tabSelected="1" view="pageBreakPreview" zoomScaleNormal="100" zoomScaleSheetLayoutView="100" zoomScalePageLayoutView="85" workbookViewId="0">
      <selection activeCell="I8" sqref="I8"/>
    </sheetView>
  </sheetViews>
  <sheetFormatPr defaultColWidth="9.140625" defaultRowHeight="15.75" x14ac:dyDescent="0.25"/>
  <cols>
    <col min="1" max="1" width="11.42578125" style="20" customWidth="1"/>
    <col min="2" max="2" width="11.140625" style="20" customWidth="1"/>
    <col min="3" max="3" width="12.7109375" style="20" customWidth="1"/>
    <col min="4" max="4" width="12.85546875" style="20" customWidth="1"/>
    <col min="5" max="7" width="11.7109375" style="20" customWidth="1"/>
    <col min="8" max="8" width="12.42578125" style="20"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8" ht="46.5" customHeight="1" x14ac:dyDescent="0.25">
      <c r="A1" s="88" t="s">
        <v>228</v>
      </c>
      <c r="B1" s="88"/>
      <c r="C1" s="88"/>
      <c r="D1" s="88"/>
      <c r="E1" s="88"/>
      <c r="F1" s="88"/>
      <c r="G1" s="88"/>
      <c r="H1" s="88"/>
    </row>
    <row r="2" spans="1:8" ht="16.5" customHeight="1" x14ac:dyDescent="0.25">
      <c r="A2" s="73" t="s">
        <v>0</v>
      </c>
      <c r="B2" s="73"/>
      <c r="C2" s="73"/>
      <c r="D2" s="73"/>
      <c r="E2" s="73"/>
      <c r="F2" s="73"/>
      <c r="G2" s="73"/>
      <c r="H2" s="73"/>
    </row>
    <row r="3" spans="1:8" x14ac:dyDescent="0.25">
      <c r="A3" s="67" t="s">
        <v>1</v>
      </c>
      <c r="B3" s="67"/>
      <c r="C3" s="67"/>
      <c r="D3" s="67"/>
      <c r="E3" s="87" t="str">
        <f ca="1">TEXT(TODAY(),"DD/MM/YYYY")</f>
        <v>15/07/2025</v>
      </c>
      <c r="F3" s="87"/>
      <c r="G3" s="87"/>
      <c r="H3" s="87"/>
    </row>
    <row r="4" spans="1:8" ht="15" customHeight="1" x14ac:dyDescent="0.25">
      <c r="A4" s="67" t="s">
        <v>2</v>
      </c>
      <c r="B4" s="67"/>
      <c r="C4" s="67"/>
      <c r="D4" s="67"/>
      <c r="E4" s="90" t="s">
        <v>163</v>
      </c>
      <c r="F4" s="90"/>
      <c r="G4" s="90"/>
      <c r="H4" s="90"/>
    </row>
    <row r="5" spans="1:8" x14ac:dyDescent="0.25">
      <c r="A5" s="67" t="s">
        <v>3</v>
      </c>
      <c r="B5" s="67"/>
      <c r="C5" s="67"/>
      <c r="D5" s="67"/>
      <c r="E5" s="87">
        <v>45848</v>
      </c>
      <c r="F5" s="87"/>
      <c r="G5" s="87"/>
      <c r="H5" s="87"/>
    </row>
    <row r="6" spans="1:8" ht="16.5" customHeight="1" x14ac:dyDescent="0.25">
      <c r="A6" s="67" t="s">
        <v>4</v>
      </c>
      <c r="B6" s="67"/>
      <c r="C6" s="67"/>
      <c r="D6" s="67"/>
      <c r="E6" s="68" t="s">
        <v>191</v>
      </c>
      <c r="F6" s="68"/>
      <c r="G6" s="68"/>
      <c r="H6" s="68"/>
    </row>
    <row r="7" spans="1:8" ht="15" customHeight="1" x14ac:dyDescent="0.25">
      <c r="A7" s="67" t="s">
        <v>5</v>
      </c>
      <c r="B7" s="67"/>
      <c r="C7" s="67"/>
      <c r="D7" s="67"/>
      <c r="E7" s="68" t="str">
        <f>E6</f>
        <v>M/s. Fortune Infracreators Private Limited</v>
      </c>
      <c r="F7" s="68"/>
      <c r="G7" s="68"/>
      <c r="H7" s="68"/>
    </row>
    <row r="8" spans="1:8" x14ac:dyDescent="0.25">
      <c r="A8" s="67" t="s">
        <v>6</v>
      </c>
      <c r="B8" s="67"/>
      <c r="C8" s="67"/>
      <c r="D8" s="67"/>
      <c r="E8" s="89" t="s">
        <v>190</v>
      </c>
      <c r="F8" s="89"/>
      <c r="G8" s="89"/>
      <c r="H8" s="89"/>
    </row>
    <row r="9" spans="1:8" x14ac:dyDescent="0.25">
      <c r="A9" s="67" t="s">
        <v>164</v>
      </c>
      <c r="B9" s="67"/>
      <c r="C9" s="67"/>
      <c r="D9" s="67"/>
      <c r="E9" s="67">
        <v>9820108795</v>
      </c>
      <c r="F9" s="67"/>
      <c r="G9" s="67"/>
      <c r="H9" s="67"/>
    </row>
    <row r="10" spans="1:8" x14ac:dyDescent="0.25">
      <c r="A10" s="84" t="s">
        <v>7</v>
      </c>
      <c r="B10" s="84"/>
      <c r="C10" s="84"/>
      <c r="D10" s="84"/>
      <c r="E10" s="84" t="s">
        <v>221</v>
      </c>
      <c r="F10" s="84"/>
      <c r="G10" s="84"/>
      <c r="H10" s="84"/>
    </row>
    <row r="11" spans="1:8" s="11" customFormat="1" x14ac:dyDescent="0.25">
      <c r="A11" s="84" t="s">
        <v>8</v>
      </c>
      <c r="B11" s="84"/>
      <c r="C11" s="84"/>
      <c r="D11" s="84"/>
      <c r="E11" s="85" t="s">
        <v>200</v>
      </c>
      <c r="F11" s="85"/>
      <c r="G11" s="85"/>
      <c r="H11" s="85"/>
    </row>
    <row r="12" spans="1:8" x14ac:dyDescent="0.25">
      <c r="A12" s="67" t="s">
        <v>9</v>
      </c>
      <c r="B12" s="67"/>
      <c r="C12" s="67"/>
      <c r="D12" s="67"/>
      <c r="E12" s="84" t="s">
        <v>165</v>
      </c>
      <c r="F12" s="84"/>
      <c r="G12" s="84"/>
      <c r="H12" s="84"/>
    </row>
    <row r="13" spans="1:8" ht="49.15" customHeight="1" x14ac:dyDescent="0.25">
      <c r="A13" s="68" t="s">
        <v>10</v>
      </c>
      <c r="B13" s="68"/>
      <c r="C13" s="68" t="s">
        <v>201</v>
      </c>
      <c r="D13" s="68"/>
      <c r="E13" s="68"/>
      <c r="F13" s="68"/>
      <c r="G13" s="68"/>
      <c r="H13" s="68"/>
    </row>
    <row r="14" spans="1:8" ht="15.75" customHeight="1" x14ac:dyDescent="0.25">
      <c r="A14" s="85" t="s">
        <v>192</v>
      </c>
      <c r="B14" s="85"/>
      <c r="C14" s="85" t="s">
        <v>166</v>
      </c>
      <c r="D14" s="85"/>
      <c r="E14" s="85"/>
      <c r="F14" s="85"/>
      <c r="G14" s="85"/>
      <c r="H14" s="85"/>
    </row>
    <row r="15" spans="1:8" ht="15.75" customHeight="1" x14ac:dyDescent="0.25">
      <c r="A15" s="68" t="s">
        <v>11</v>
      </c>
      <c r="B15" s="68"/>
      <c r="C15" s="84" t="s">
        <v>185</v>
      </c>
      <c r="D15" s="84"/>
      <c r="E15" s="68" t="s">
        <v>107</v>
      </c>
      <c r="F15" s="68"/>
      <c r="G15" s="85" t="s">
        <v>189</v>
      </c>
      <c r="H15" s="85"/>
    </row>
    <row r="16" spans="1:8" x14ac:dyDescent="0.25">
      <c r="A16" s="67" t="s">
        <v>13</v>
      </c>
      <c r="B16" s="67"/>
      <c r="C16" s="85" t="s">
        <v>167</v>
      </c>
      <c r="D16" s="85"/>
      <c r="E16" s="68" t="s">
        <v>12</v>
      </c>
      <c r="F16" s="68"/>
      <c r="G16" s="91" t="s">
        <v>167</v>
      </c>
      <c r="H16" s="91"/>
    </row>
    <row r="17" spans="1:8" x14ac:dyDescent="0.25">
      <c r="A17" s="67" t="s">
        <v>108</v>
      </c>
      <c r="B17" s="67"/>
      <c r="C17" s="85" t="s">
        <v>167</v>
      </c>
      <c r="D17" s="85"/>
      <c r="E17" s="68" t="s">
        <v>14</v>
      </c>
      <c r="F17" s="68"/>
      <c r="G17" s="85">
        <v>400606</v>
      </c>
      <c r="H17" s="85"/>
    </row>
    <row r="18" spans="1:8" ht="32.25" customHeight="1" x14ac:dyDescent="0.25">
      <c r="A18" s="67" t="s">
        <v>15</v>
      </c>
      <c r="B18" s="67"/>
      <c r="C18" s="86" t="s">
        <v>184</v>
      </c>
      <c r="D18" s="86"/>
      <c r="E18" s="68" t="s">
        <v>16</v>
      </c>
      <c r="F18" s="68"/>
      <c r="G18" s="85" t="s">
        <v>183</v>
      </c>
      <c r="H18" s="85"/>
    </row>
    <row r="19" spans="1:8" ht="15" customHeight="1" x14ac:dyDescent="0.25">
      <c r="A19" s="68" t="s">
        <v>114</v>
      </c>
      <c r="B19" s="68"/>
      <c r="C19" s="68"/>
      <c r="D19" s="68"/>
      <c r="E19" s="84" t="s">
        <v>17</v>
      </c>
      <c r="F19" s="84"/>
      <c r="G19" s="84"/>
      <c r="H19" s="84"/>
    </row>
    <row r="20" spans="1:8" ht="18.75" customHeight="1" x14ac:dyDescent="0.25">
      <c r="A20" s="68"/>
      <c r="B20" s="68"/>
      <c r="C20" s="68"/>
      <c r="D20" s="68"/>
      <c r="E20" s="84"/>
      <c r="F20" s="84"/>
      <c r="G20" s="84"/>
      <c r="H20" s="84"/>
    </row>
    <row r="21" spans="1:8" ht="15" customHeight="1" x14ac:dyDescent="0.25">
      <c r="A21" s="68" t="s">
        <v>18</v>
      </c>
      <c r="B21" s="68"/>
      <c r="C21" s="68"/>
      <c r="D21" s="68"/>
      <c r="E21" s="85" t="s">
        <v>19</v>
      </c>
      <c r="F21" s="85"/>
      <c r="G21" s="85"/>
      <c r="H21" s="85"/>
    </row>
    <row r="22" spans="1:8" ht="15" customHeight="1" x14ac:dyDescent="0.25">
      <c r="A22" s="67" t="s">
        <v>20</v>
      </c>
      <c r="B22" s="67"/>
      <c r="C22" s="67"/>
      <c r="D22" s="67"/>
      <c r="E22" s="85" t="s">
        <v>168</v>
      </c>
      <c r="F22" s="85"/>
      <c r="G22" s="85"/>
      <c r="H22" s="85"/>
    </row>
    <row r="23" spans="1:8" x14ac:dyDescent="0.25">
      <c r="A23" s="67" t="s">
        <v>21</v>
      </c>
      <c r="B23" s="67"/>
      <c r="C23" s="67"/>
      <c r="D23" s="67"/>
      <c r="E23" s="85" t="s">
        <v>22</v>
      </c>
      <c r="F23" s="85"/>
      <c r="G23" s="85"/>
      <c r="H23" s="85"/>
    </row>
    <row r="24" spans="1:8" x14ac:dyDescent="0.25">
      <c r="A24" s="67" t="s">
        <v>23</v>
      </c>
      <c r="B24" s="67"/>
      <c r="C24" s="67"/>
      <c r="D24" s="67"/>
      <c r="E24" s="85" t="s">
        <v>169</v>
      </c>
      <c r="F24" s="85"/>
      <c r="G24" s="85"/>
      <c r="H24" s="85"/>
    </row>
    <row r="25" spans="1:8" x14ac:dyDescent="0.25">
      <c r="A25" s="67" t="s">
        <v>24</v>
      </c>
      <c r="B25" s="67"/>
      <c r="C25" s="67"/>
      <c r="D25" s="67"/>
      <c r="E25" s="85" t="s">
        <v>25</v>
      </c>
      <c r="F25" s="85"/>
      <c r="G25" s="85"/>
      <c r="H25" s="85"/>
    </row>
    <row r="26" spans="1:8" x14ac:dyDescent="0.25">
      <c r="A26" s="67" t="s">
        <v>120</v>
      </c>
      <c r="B26" s="67"/>
      <c r="C26" s="67"/>
      <c r="D26" s="67"/>
      <c r="E26" s="85" t="s">
        <v>121</v>
      </c>
      <c r="F26" s="85"/>
      <c r="G26" s="85"/>
      <c r="H26" s="85"/>
    </row>
    <row r="27" spans="1:8" ht="15" customHeight="1" x14ac:dyDescent="0.25">
      <c r="A27" s="68" t="s">
        <v>34</v>
      </c>
      <c r="B27" s="68"/>
      <c r="C27" s="68"/>
      <c r="D27" s="68"/>
      <c r="E27" s="90" t="s">
        <v>118</v>
      </c>
      <c r="F27" s="90"/>
      <c r="G27" s="90"/>
      <c r="H27" s="90"/>
    </row>
    <row r="28" spans="1:8" x14ac:dyDescent="0.25">
      <c r="A28" s="68" t="s">
        <v>133</v>
      </c>
      <c r="B28" s="68"/>
      <c r="C28" s="68"/>
      <c r="D28" s="68"/>
      <c r="E28" s="68" t="s">
        <v>35</v>
      </c>
      <c r="F28" s="68"/>
      <c r="G28" s="68"/>
      <c r="H28" s="68"/>
    </row>
    <row r="29" spans="1:8" s="12" customFormat="1" x14ac:dyDescent="0.25">
      <c r="A29" s="110" t="s">
        <v>134</v>
      </c>
      <c r="B29" s="110"/>
      <c r="C29" s="96" t="s">
        <v>30</v>
      </c>
      <c r="D29" s="96"/>
      <c r="E29" s="96"/>
      <c r="F29" s="96" t="s">
        <v>32</v>
      </c>
      <c r="G29" s="96"/>
      <c r="H29" s="96"/>
    </row>
    <row r="30" spans="1:8" s="12" customFormat="1" x14ac:dyDescent="0.25">
      <c r="A30" s="93" t="s">
        <v>26</v>
      </c>
      <c r="B30" s="93" t="s">
        <v>31</v>
      </c>
      <c r="C30" s="95" t="s">
        <v>31</v>
      </c>
      <c r="D30" s="95"/>
      <c r="E30" s="95"/>
      <c r="F30" s="95" t="s">
        <v>187</v>
      </c>
      <c r="G30" s="95"/>
      <c r="H30" s="95"/>
    </row>
    <row r="31" spans="1:8" x14ac:dyDescent="0.25">
      <c r="A31" s="93" t="s">
        <v>27</v>
      </c>
      <c r="B31" s="93" t="s">
        <v>31</v>
      </c>
      <c r="C31" s="95" t="s">
        <v>31</v>
      </c>
      <c r="D31" s="95"/>
      <c r="E31" s="95"/>
      <c r="F31" s="95" t="s">
        <v>187</v>
      </c>
      <c r="G31" s="95"/>
      <c r="H31" s="95"/>
    </row>
    <row r="32" spans="1:8" s="12" customFormat="1" x14ac:dyDescent="0.25">
      <c r="A32" s="93" t="s">
        <v>29</v>
      </c>
      <c r="B32" s="93" t="s">
        <v>31</v>
      </c>
      <c r="C32" s="95" t="s">
        <v>31</v>
      </c>
      <c r="D32" s="95"/>
      <c r="E32" s="95"/>
      <c r="F32" s="95" t="s">
        <v>186</v>
      </c>
      <c r="G32" s="95"/>
      <c r="H32" s="95"/>
    </row>
    <row r="33" spans="1:8" x14ac:dyDescent="0.25">
      <c r="A33" s="93" t="s">
        <v>28</v>
      </c>
      <c r="B33" s="93" t="s">
        <v>31</v>
      </c>
      <c r="C33" s="95" t="s">
        <v>31</v>
      </c>
      <c r="D33" s="95"/>
      <c r="E33" s="95"/>
      <c r="F33" s="95" t="s">
        <v>188</v>
      </c>
      <c r="G33" s="95"/>
      <c r="H33" s="95"/>
    </row>
    <row r="34" spans="1:8" x14ac:dyDescent="0.25">
      <c r="A34" s="67" t="s">
        <v>33</v>
      </c>
      <c r="B34" s="67"/>
      <c r="C34" s="67"/>
      <c r="D34" s="67"/>
      <c r="E34" s="67"/>
      <c r="F34" s="67"/>
      <c r="G34" s="67"/>
      <c r="H34" s="67"/>
    </row>
    <row r="35" spans="1:8" ht="15.75" customHeight="1" x14ac:dyDescent="0.25">
      <c r="A35" s="73" t="s">
        <v>224</v>
      </c>
      <c r="B35" s="73"/>
      <c r="C35" s="139" t="s">
        <v>227</v>
      </c>
      <c r="D35" s="140"/>
      <c r="E35" s="140"/>
      <c r="F35" s="140"/>
      <c r="G35" s="140"/>
      <c r="H35" s="141"/>
    </row>
    <row r="36" spans="1:8" ht="15.75" customHeight="1" x14ac:dyDescent="0.25">
      <c r="A36" s="73" t="s">
        <v>225</v>
      </c>
      <c r="B36" s="73"/>
      <c r="C36" s="142" t="s">
        <v>226</v>
      </c>
      <c r="D36" s="140"/>
      <c r="E36" s="140"/>
      <c r="F36" s="140"/>
      <c r="G36" s="140"/>
      <c r="H36" s="141"/>
    </row>
    <row r="37" spans="1:8" x14ac:dyDescent="0.25">
      <c r="A37" s="89" t="s">
        <v>36</v>
      </c>
      <c r="B37" s="89"/>
      <c r="C37" s="89"/>
      <c r="D37" s="89"/>
      <c r="E37" s="89"/>
      <c r="F37" s="89"/>
      <c r="G37" s="89"/>
      <c r="H37" s="89"/>
    </row>
    <row r="38" spans="1:8" x14ac:dyDescent="0.25">
      <c r="A38" s="67" t="s">
        <v>37</v>
      </c>
      <c r="B38" s="67"/>
      <c r="C38" s="67"/>
      <c r="D38" s="67"/>
      <c r="E38" s="94">
        <v>1902.35</v>
      </c>
      <c r="F38" s="94"/>
      <c r="G38" s="94"/>
      <c r="H38" s="94"/>
    </row>
    <row r="39" spans="1:8" x14ac:dyDescent="0.25">
      <c r="A39" s="67" t="s">
        <v>38</v>
      </c>
      <c r="B39" s="67"/>
      <c r="C39" s="67"/>
      <c r="D39" s="67"/>
      <c r="E39" s="92">
        <v>2</v>
      </c>
      <c r="F39" s="92"/>
      <c r="G39" s="92"/>
      <c r="H39" s="92"/>
    </row>
    <row r="40" spans="1:8" x14ac:dyDescent="0.25">
      <c r="A40" s="67" t="s">
        <v>39</v>
      </c>
      <c r="B40" s="67"/>
      <c r="C40" s="67"/>
      <c r="D40" s="67"/>
      <c r="E40" s="92">
        <f>E42/E38-E39</f>
        <v>2.393807658948143</v>
      </c>
      <c r="F40" s="92"/>
      <c r="G40" s="92"/>
      <c r="H40" s="92"/>
    </row>
    <row r="41" spans="1:8" x14ac:dyDescent="0.25">
      <c r="A41" s="67" t="s">
        <v>40</v>
      </c>
      <c r="B41" s="67"/>
      <c r="C41" s="67"/>
      <c r="D41" s="67"/>
      <c r="E41" s="92">
        <f>E39+E40</f>
        <v>4.393807658948143</v>
      </c>
      <c r="F41" s="92"/>
      <c r="G41" s="92"/>
      <c r="H41" s="92"/>
    </row>
    <row r="42" spans="1:8" x14ac:dyDescent="0.25">
      <c r="A42" s="67" t="s">
        <v>132</v>
      </c>
      <c r="B42" s="67"/>
      <c r="C42" s="67"/>
      <c r="D42" s="67"/>
      <c r="E42" s="119">
        <v>8358.56</v>
      </c>
      <c r="F42" s="119"/>
      <c r="G42" s="119"/>
      <c r="H42" s="119"/>
    </row>
    <row r="43" spans="1:8" x14ac:dyDescent="0.25">
      <c r="A43" s="84" t="s">
        <v>41</v>
      </c>
      <c r="B43" s="84"/>
      <c r="C43" s="84"/>
      <c r="D43" s="84"/>
      <c r="E43" s="84" t="s">
        <v>222</v>
      </c>
      <c r="F43" s="84"/>
      <c r="G43" s="84"/>
      <c r="H43" s="84"/>
    </row>
    <row r="44" spans="1:8" x14ac:dyDescent="0.25">
      <c r="A44" s="116" t="s">
        <v>42</v>
      </c>
      <c r="B44" s="116"/>
      <c r="C44" s="116"/>
      <c r="D44" s="116"/>
      <c r="E44" s="116"/>
      <c r="F44" s="116"/>
      <c r="G44" s="116"/>
      <c r="H44" s="116"/>
    </row>
    <row r="45" spans="1:8" ht="34.5" customHeight="1" x14ac:dyDescent="0.25">
      <c r="A45" s="85" t="s">
        <v>43</v>
      </c>
      <c r="B45" s="85"/>
      <c r="C45" s="100" t="s">
        <v>235</v>
      </c>
      <c r="D45" s="100"/>
      <c r="E45" s="100"/>
      <c r="F45" s="41" t="s">
        <v>44</v>
      </c>
      <c r="G45" s="85" t="s">
        <v>171</v>
      </c>
      <c r="H45" s="85"/>
    </row>
    <row r="46" spans="1:8" ht="31.5" customHeight="1" x14ac:dyDescent="0.25">
      <c r="A46" s="85" t="s">
        <v>45</v>
      </c>
      <c r="B46" s="85"/>
      <c r="C46" s="100" t="str">
        <f>C45</f>
        <v>VPS04/0145/18/TMC/TD-DP/
TPS/3051/19</v>
      </c>
      <c r="D46" s="100"/>
      <c r="E46" s="100"/>
      <c r="F46" s="41" t="s">
        <v>44</v>
      </c>
      <c r="G46" s="85" t="str">
        <f>G45</f>
        <v>16/04/2019.</v>
      </c>
      <c r="H46" s="85"/>
    </row>
    <row r="47" spans="1:8" s="11" customFormat="1" x14ac:dyDescent="0.25">
      <c r="A47" s="85" t="s">
        <v>46</v>
      </c>
      <c r="B47" s="85"/>
      <c r="C47" s="100" t="s">
        <v>229</v>
      </c>
      <c r="D47" s="64"/>
      <c r="E47" s="64"/>
      <c r="F47" s="14" t="s">
        <v>44</v>
      </c>
      <c r="G47" s="111" t="s">
        <v>232</v>
      </c>
      <c r="H47" s="64"/>
    </row>
    <row r="48" spans="1:8" s="11" customFormat="1" ht="46.9" customHeight="1" x14ac:dyDescent="0.25">
      <c r="A48" s="85"/>
      <c r="B48" s="85"/>
      <c r="C48" s="126" t="s">
        <v>236</v>
      </c>
      <c r="D48" s="127"/>
      <c r="E48" s="127"/>
      <c r="F48" s="127"/>
      <c r="G48" s="127"/>
      <c r="H48" s="128"/>
    </row>
    <row r="49" spans="1:11" x14ac:dyDescent="0.25">
      <c r="A49" s="122" t="s">
        <v>47</v>
      </c>
      <c r="B49" s="122"/>
      <c r="C49" s="123" t="s">
        <v>150</v>
      </c>
      <c r="D49" s="124"/>
      <c r="E49" s="124" t="s">
        <v>48</v>
      </c>
      <c r="F49" s="42" t="s">
        <v>44</v>
      </c>
      <c r="G49" s="120" t="s">
        <v>31</v>
      </c>
      <c r="H49" s="121"/>
    </row>
    <row r="50" spans="1:11" x14ac:dyDescent="0.25">
      <c r="A50" s="125" t="s">
        <v>50</v>
      </c>
      <c r="B50" s="125"/>
      <c r="C50" s="125"/>
      <c r="D50" s="125"/>
      <c r="E50" s="125"/>
      <c r="F50" s="125"/>
      <c r="G50" s="125"/>
      <c r="H50" s="125"/>
    </row>
    <row r="51" spans="1:11" x14ac:dyDescent="0.25">
      <c r="A51" s="68" t="s">
        <v>131</v>
      </c>
      <c r="B51" s="68"/>
      <c r="C51" s="68"/>
      <c r="D51" s="67">
        <f>E42</f>
        <v>8358.56</v>
      </c>
      <c r="E51" s="67"/>
      <c r="F51" s="67"/>
      <c r="G51" s="67"/>
      <c r="H51" s="67"/>
    </row>
    <row r="52" spans="1:11" x14ac:dyDescent="0.25">
      <c r="A52" s="85" t="s">
        <v>51</v>
      </c>
      <c r="B52" s="84"/>
      <c r="C52" s="84"/>
      <c r="D52" s="84" t="s">
        <v>196</v>
      </c>
      <c r="E52" s="84"/>
      <c r="F52" s="84"/>
      <c r="G52" s="84"/>
      <c r="H52" s="84"/>
    </row>
    <row r="53" spans="1:11" x14ac:dyDescent="0.25">
      <c r="A53" s="85" t="s">
        <v>52</v>
      </c>
      <c r="B53" s="84"/>
      <c r="C53" s="84"/>
      <c r="D53" s="84" t="s">
        <v>223</v>
      </c>
      <c r="E53" s="84"/>
      <c r="F53" s="84"/>
      <c r="G53" s="84"/>
      <c r="H53" s="84"/>
    </row>
    <row r="54" spans="1:11" x14ac:dyDescent="0.25">
      <c r="A54" s="85" t="s">
        <v>129</v>
      </c>
      <c r="B54" s="84"/>
      <c r="C54" s="84"/>
      <c r="D54" s="84" t="s">
        <v>231</v>
      </c>
      <c r="E54" s="84"/>
      <c r="F54" s="84"/>
      <c r="G54" s="84"/>
      <c r="H54" s="84"/>
    </row>
    <row r="55" spans="1:11" ht="15.75" customHeight="1" x14ac:dyDescent="0.25">
      <c r="A55" s="67" t="s">
        <v>49</v>
      </c>
      <c r="B55" s="67"/>
      <c r="C55" s="67"/>
      <c r="D55" s="68" t="s">
        <v>170</v>
      </c>
      <c r="E55" s="68"/>
      <c r="F55" s="68"/>
      <c r="G55" s="68"/>
      <c r="H55" s="68"/>
    </row>
    <row r="56" spans="1:11" ht="15.75" customHeight="1" x14ac:dyDescent="0.25">
      <c r="A56" s="67" t="s">
        <v>126</v>
      </c>
      <c r="B56" s="67"/>
      <c r="C56" s="67"/>
      <c r="D56" s="68" t="s">
        <v>127</v>
      </c>
      <c r="E56" s="68"/>
      <c r="F56" s="68"/>
      <c r="G56" s="68"/>
      <c r="H56" s="68"/>
    </row>
    <row r="57" spans="1:11" ht="15.75" customHeight="1" x14ac:dyDescent="0.25">
      <c r="A57" s="67" t="s">
        <v>128</v>
      </c>
      <c r="B57" s="67"/>
      <c r="C57" s="67"/>
      <c r="D57" s="68" t="s">
        <v>25</v>
      </c>
      <c r="E57" s="68"/>
      <c r="F57" s="68"/>
      <c r="G57" s="68"/>
      <c r="H57" s="68"/>
      <c r="J57" s="22"/>
      <c r="K57" s="22"/>
    </row>
    <row r="58" spans="1:11" ht="17.25" customHeight="1" thickBot="1" x14ac:dyDescent="0.3">
      <c r="A58" s="133" t="s">
        <v>125</v>
      </c>
      <c r="B58" s="133"/>
      <c r="C58" s="133"/>
      <c r="D58" s="134" t="s">
        <v>172</v>
      </c>
      <c r="E58" s="134"/>
      <c r="F58" s="134"/>
      <c r="G58" s="134"/>
      <c r="H58" s="134"/>
      <c r="J58" s="22"/>
      <c r="K58" s="22"/>
    </row>
    <row r="59" spans="1:11" ht="17.25" customHeight="1" x14ac:dyDescent="0.25">
      <c r="A59" s="136" t="s">
        <v>202</v>
      </c>
      <c r="B59" s="137"/>
      <c r="C59" s="129" t="s">
        <v>234</v>
      </c>
      <c r="D59" s="130"/>
      <c r="E59" s="130"/>
      <c r="F59" s="130"/>
      <c r="G59" s="130"/>
      <c r="H59" s="131"/>
      <c r="I59" s="54"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Excavation work Completed. Plinth work completed, RCC Slab, Brickwork, Internal Plaster upto 27 Floor, External Plaster upto 27 Floor, Flooring upto 9 Floor Completed</v>
      </c>
      <c r="J59" s="26"/>
      <c r="K59" s="22"/>
    </row>
    <row r="60" spans="1:11" x14ac:dyDescent="0.25">
      <c r="A60" s="25" t="s">
        <v>104</v>
      </c>
      <c r="B60" s="45">
        <v>0</v>
      </c>
      <c r="C60" s="45" t="s">
        <v>106</v>
      </c>
      <c r="D60" s="45">
        <v>1</v>
      </c>
      <c r="E60" s="45" t="s">
        <v>105</v>
      </c>
      <c r="F60" s="45">
        <v>0</v>
      </c>
      <c r="G60" s="45" t="s">
        <v>119</v>
      </c>
      <c r="H60" s="43">
        <f ca="1">--TRIM(RIGHT(SUBSTITUTE(LEFT(C59,_xlfn.AGGREGATE(16,6,FIND({0,1,2,3,4,5,6,7,8,9},C59,ROW(INDIRECT("1:"&amp;LEN(C59)))),1))," ",REPT(" ",LEN(C59))),LEN(C59)))</f>
        <v>31</v>
      </c>
      <c r="I60" s="22"/>
      <c r="J60" s="27"/>
      <c r="K60" s="22"/>
    </row>
    <row r="61" spans="1:11" ht="50.25" customHeight="1" x14ac:dyDescent="0.25">
      <c r="A61" s="138" t="s">
        <v>130</v>
      </c>
      <c r="B61" s="116"/>
      <c r="C61" s="63" t="str">
        <f ca="1">I59</f>
        <v>Excavation work Completed. Plinth work completed, RCC Slab, Brickwork, Internal Plaster upto 27 Floor, External Plaster upto 27 Floor, Flooring upto 9 Floor Completed</v>
      </c>
      <c r="D61" s="63"/>
      <c r="E61" s="63"/>
      <c r="F61" s="63"/>
      <c r="G61" s="63"/>
      <c r="H61" s="132"/>
      <c r="I61" s="22" t="s">
        <v>149</v>
      </c>
      <c r="J61" s="27"/>
      <c r="K61" s="22"/>
    </row>
    <row r="62" spans="1:11" x14ac:dyDescent="0.25">
      <c r="A62" s="112" t="s">
        <v>53</v>
      </c>
      <c r="B62" s="113"/>
      <c r="C62" s="46" t="s">
        <v>203</v>
      </c>
      <c r="D62" s="46" t="s">
        <v>122</v>
      </c>
      <c r="E62" s="113" t="s">
        <v>124</v>
      </c>
      <c r="F62" s="113"/>
      <c r="G62" s="113" t="s">
        <v>123</v>
      </c>
      <c r="H62" s="135"/>
      <c r="I62" s="55" t="s">
        <v>204</v>
      </c>
      <c r="J62" s="28">
        <f ca="1">H60*25%</f>
        <v>7.75</v>
      </c>
      <c r="K62" s="22"/>
    </row>
    <row r="63" spans="1:11" x14ac:dyDescent="0.25">
      <c r="A63" s="112" t="s">
        <v>205</v>
      </c>
      <c r="B63" s="113"/>
      <c r="C63" s="47">
        <f ca="1">J64</f>
        <v>31</v>
      </c>
      <c r="D63" s="48">
        <f ca="1">((100/H60)*C63)/100</f>
        <v>1</v>
      </c>
      <c r="E63" s="65">
        <f ca="1">(((C64/H60*10)+(40/(D60+F60+H60)*C65)+(7.5/(H60)*C66)+(7.5/(H60)*C67)+(10/H60*C68)+(10/H60*C69)+(5/H60*C70)+(5/H60*C71)+(5/H60*C72))/100)</f>
        <v>0.75645161290322571</v>
      </c>
      <c r="F63" s="65"/>
      <c r="G63" s="65">
        <f ca="1">((((C63/H60)*20)+((C64/H60)*25)+(30/(H60+F60+D60)*C65)+(5/H60*C66)+(5/H60*C67)+(5/H60*C68)+(5/H60*C69)+(0/H60*C70)+(0/H60*C71)+(5/H60*C72))/100)</f>
        <v>0.90161290322580656</v>
      </c>
      <c r="H63" s="117"/>
      <c r="I63" s="55" t="s">
        <v>143</v>
      </c>
      <c r="J63" s="56">
        <f ca="1">H60*50%</f>
        <v>15.5</v>
      </c>
      <c r="K63" s="22"/>
    </row>
    <row r="64" spans="1:11" x14ac:dyDescent="0.25">
      <c r="A64" s="112" t="s">
        <v>54</v>
      </c>
      <c r="B64" s="113"/>
      <c r="C64" s="49">
        <f ca="1">J72</f>
        <v>31</v>
      </c>
      <c r="D64" s="48">
        <f ca="1">((100/H60)*C64)/100</f>
        <v>1</v>
      </c>
      <c r="E64" s="65"/>
      <c r="F64" s="65"/>
      <c r="G64" s="65"/>
      <c r="H64" s="117"/>
      <c r="I64" s="55" t="s">
        <v>144</v>
      </c>
      <c r="J64" s="56">
        <f ca="1">H60</f>
        <v>31</v>
      </c>
      <c r="K64" s="22"/>
    </row>
    <row r="65" spans="1:11" x14ac:dyDescent="0.25">
      <c r="A65" s="112" t="s">
        <v>206</v>
      </c>
      <c r="B65" s="113"/>
      <c r="C65" s="49">
        <v>32</v>
      </c>
      <c r="D65" s="48">
        <f ca="1">((100/(D60+F60+H60))*C65)/100</f>
        <v>1</v>
      </c>
      <c r="E65" s="65"/>
      <c r="F65" s="65"/>
      <c r="G65" s="65"/>
      <c r="H65" s="117"/>
      <c r="I65" s="55" t="s">
        <v>145</v>
      </c>
      <c r="J65" s="57">
        <f ca="1">(IF(B60&gt;1,(H60/(B60+2)),H60/4))</f>
        <v>7.75</v>
      </c>
      <c r="K65" s="22"/>
    </row>
    <row r="66" spans="1:11" x14ac:dyDescent="0.25">
      <c r="A66" s="112" t="s">
        <v>207</v>
      </c>
      <c r="B66" s="113" t="s">
        <v>208</v>
      </c>
      <c r="C66" s="49">
        <f>C65-1</f>
        <v>31</v>
      </c>
      <c r="D66" s="48">
        <f ca="1">((100/H60)*C66)/100</f>
        <v>1</v>
      </c>
      <c r="E66" s="65"/>
      <c r="F66" s="65"/>
      <c r="G66" s="65"/>
      <c r="H66" s="117"/>
      <c r="I66" s="55" t="s">
        <v>146</v>
      </c>
      <c r="J66" s="57">
        <f ca="1">(IF(B60&gt;1,(H60/(B60+2)+J65),H60/4+J65))</f>
        <v>15.5</v>
      </c>
      <c r="K66" s="22"/>
    </row>
    <row r="67" spans="1:11" x14ac:dyDescent="0.25">
      <c r="A67" s="112" t="s">
        <v>209</v>
      </c>
      <c r="B67" s="113" t="s">
        <v>208</v>
      </c>
      <c r="C67" s="49">
        <v>27</v>
      </c>
      <c r="D67" s="48">
        <f ca="1">((100/H60)*C67)/100</f>
        <v>0.87096774193548387</v>
      </c>
      <c r="E67" s="65"/>
      <c r="F67" s="65"/>
      <c r="G67" s="65"/>
      <c r="H67" s="117"/>
      <c r="I67" s="55" t="s">
        <v>210</v>
      </c>
      <c r="J67" s="57">
        <f>(IF(B60&gt;1,(H60/(B60+2)+J66),0))</f>
        <v>0</v>
      </c>
      <c r="K67" s="22"/>
    </row>
    <row r="68" spans="1:11" x14ac:dyDescent="0.25">
      <c r="A68" s="112" t="s">
        <v>211</v>
      </c>
      <c r="B68" s="113" t="s">
        <v>212</v>
      </c>
      <c r="C68" s="49">
        <f>C67</f>
        <v>27</v>
      </c>
      <c r="D68" s="48">
        <f ca="1">((100/(H60))*C68)/100</f>
        <v>0.87096774193548387</v>
      </c>
      <c r="E68" s="65"/>
      <c r="F68" s="65"/>
      <c r="G68" s="65"/>
      <c r="H68" s="117"/>
      <c r="I68" s="55" t="s">
        <v>213</v>
      </c>
      <c r="J68" s="57">
        <f>(IF(B60&gt;2,(H60/(B60+2)+J67),0))</f>
        <v>0</v>
      </c>
      <c r="K68" s="22"/>
    </row>
    <row r="69" spans="1:11" x14ac:dyDescent="0.25">
      <c r="A69" s="112" t="s">
        <v>214</v>
      </c>
      <c r="B69" s="113" t="s">
        <v>214</v>
      </c>
      <c r="C69" s="47">
        <v>9</v>
      </c>
      <c r="D69" s="48">
        <f ca="1">((100/H60)*C69)/100</f>
        <v>0.29032258064516125</v>
      </c>
      <c r="E69" s="65"/>
      <c r="F69" s="65"/>
      <c r="G69" s="65"/>
      <c r="H69" s="117"/>
      <c r="I69" s="55" t="s">
        <v>215</v>
      </c>
      <c r="J69" s="58">
        <f>(IF(B60&gt;3,(H60/(B60+2)+J68),0))</f>
        <v>0</v>
      </c>
      <c r="K69" s="22"/>
    </row>
    <row r="70" spans="1:11" x14ac:dyDescent="0.25">
      <c r="A70" s="112" t="s">
        <v>216</v>
      </c>
      <c r="B70" s="113"/>
      <c r="C70" s="47">
        <v>0</v>
      </c>
      <c r="D70" s="48">
        <f ca="1">((100/H60)*C70)/100</f>
        <v>0</v>
      </c>
      <c r="E70" s="65"/>
      <c r="F70" s="65"/>
      <c r="G70" s="65"/>
      <c r="H70" s="117"/>
      <c r="I70" s="55" t="s">
        <v>217</v>
      </c>
      <c r="J70" s="57">
        <f>(IF(B60&gt;4,(H60/(B60+2)+J69),0))</f>
        <v>0</v>
      </c>
      <c r="K70" s="22"/>
    </row>
    <row r="71" spans="1:11" x14ac:dyDescent="0.25">
      <c r="A71" s="112" t="s">
        <v>218</v>
      </c>
      <c r="B71" s="113" t="s">
        <v>218</v>
      </c>
      <c r="C71" s="47">
        <v>0</v>
      </c>
      <c r="D71" s="48">
        <f ca="1">((100/(H60))*C71)/100</f>
        <v>0</v>
      </c>
      <c r="E71" s="65"/>
      <c r="F71" s="65"/>
      <c r="G71" s="65"/>
      <c r="H71" s="117"/>
      <c r="I71" s="55" t="s">
        <v>147</v>
      </c>
      <c r="J71" s="57">
        <f ca="1">(IF(B60=1,(H60/(B60+3)+J66),IF(B60=0,(H60/4+J66),IF(B60&gt;1,0))))</f>
        <v>23.25</v>
      </c>
      <c r="K71" s="22"/>
    </row>
    <row r="72" spans="1:11" ht="16.5" thickBot="1" x14ac:dyDescent="0.3">
      <c r="A72" s="114" t="s">
        <v>219</v>
      </c>
      <c r="B72" s="115"/>
      <c r="C72" s="50">
        <v>0</v>
      </c>
      <c r="D72" s="51">
        <f ca="1">((100/(H60))*C72)/100</f>
        <v>0</v>
      </c>
      <c r="E72" s="66"/>
      <c r="F72" s="66"/>
      <c r="G72" s="66"/>
      <c r="H72" s="118"/>
      <c r="I72" s="59" t="s">
        <v>148</v>
      </c>
      <c r="J72" s="60">
        <f ca="1">(IF(B60&gt;1.5,(H60/(B60+2)+J66+MAX(0,J67-J66)+MAX(0,J68-J67)+MAX(0,J69-J68)+MAX(0,J70-J69)+MAX(0,J71-J70)),IF(B60=1,(H60/(B60+3)+J71),IF(B60=0,H60/4+J71))))</f>
        <v>31</v>
      </c>
      <c r="K72" s="22"/>
    </row>
    <row r="73" spans="1:11" x14ac:dyDescent="0.25">
      <c r="A73" s="148" t="s">
        <v>182</v>
      </c>
      <c r="B73" s="148"/>
      <c r="C73" s="148"/>
      <c r="D73" s="148"/>
      <c r="E73" s="148"/>
      <c r="F73" s="148"/>
      <c r="G73" s="148"/>
      <c r="H73" s="148"/>
    </row>
    <row r="74" spans="1:11" x14ac:dyDescent="0.25">
      <c r="A74" s="67" t="s">
        <v>55</v>
      </c>
      <c r="B74" s="67"/>
      <c r="C74" s="67"/>
      <c r="D74" s="67"/>
      <c r="E74" s="67"/>
      <c r="F74" s="67"/>
      <c r="G74" s="67"/>
      <c r="H74" s="67"/>
    </row>
    <row r="75" spans="1:11" ht="15" hidden="1" customHeight="1" x14ac:dyDescent="0.25">
      <c r="A75" s="116" t="s">
        <v>109</v>
      </c>
      <c r="B75" s="116"/>
      <c r="C75" s="63" t="s">
        <v>110</v>
      </c>
      <c r="D75" s="63"/>
      <c r="E75" s="63"/>
      <c r="F75" s="63"/>
      <c r="G75" s="63"/>
      <c r="H75" s="63"/>
    </row>
    <row r="76" spans="1:11" x14ac:dyDescent="0.25">
      <c r="A76" s="89" t="s">
        <v>56</v>
      </c>
      <c r="B76" s="89"/>
      <c r="C76" s="89"/>
      <c r="D76" s="89"/>
      <c r="E76" s="89"/>
      <c r="F76" s="89"/>
      <c r="G76" s="89"/>
      <c r="H76" s="89"/>
    </row>
    <row r="77" spans="1:11" x14ac:dyDescent="0.25">
      <c r="A77" s="67" t="s">
        <v>111</v>
      </c>
      <c r="B77" s="67"/>
      <c r="C77" s="67"/>
      <c r="D77" s="67"/>
      <c r="E77" s="67"/>
      <c r="F77" s="124">
        <v>13000</v>
      </c>
      <c r="G77" s="124"/>
      <c r="H77" s="124"/>
    </row>
    <row r="78" spans="1:11" ht="32.25" customHeight="1" x14ac:dyDescent="0.25">
      <c r="A78" s="68" t="s">
        <v>198</v>
      </c>
      <c r="B78" s="68"/>
      <c r="C78" s="68"/>
      <c r="D78" s="68"/>
      <c r="E78" s="68"/>
      <c r="F78" s="64">
        <v>25000</v>
      </c>
      <c r="G78" s="64"/>
      <c r="H78" s="64"/>
    </row>
    <row r="79" spans="1:11" ht="32.25" customHeight="1" x14ac:dyDescent="0.25">
      <c r="A79" s="68" t="s">
        <v>197</v>
      </c>
      <c r="B79" s="68"/>
      <c r="C79" s="68"/>
      <c r="D79" s="68"/>
      <c r="E79" s="68"/>
      <c r="F79" s="64">
        <v>22000</v>
      </c>
      <c r="G79" s="64"/>
      <c r="H79" s="64"/>
    </row>
    <row r="80" spans="1:11" s="13" customFormat="1" hidden="1" x14ac:dyDescent="0.25">
      <c r="A80" s="67" t="s">
        <v>135</v>
      </c>
      <c r="B80" s="67"/>
      <c r="C80" s="67"/>
      <c r="D80" s="67"/>
      <c r="E80" s="67"/>
      <c r="F80" s="64" t="s">
        <v>31</v>
      </c>
      <c r="G80" s="64"/>
      <c r="H80" s="64"/>
    </row>
    <row r="81" spans="1:8" s="13" customFormat="1" hidden="1" x14ac:dyDescent="0.25">
      <c r="A81" s="67" t="s">
        <v>136</v>
      </c>
      <c r="B81" s="67"/>
      <c r="C81" s="67"/>
      <c r="D81" s="67"/>
      <c r="E81" s="67"/>
      <c r="F81" s="64" t="s">
        <v>31</v>
      </c>
      <c r="G81" s="64"/>
      <c r="H81" s="64"/>
    </row>
    <row r="82" spans="1:8" s="13" customFormat="1" hidden="1" x14ac:dyDescent="0.25">
      <c r="A82" s="67" t="s">
        <v>137</v>
      </c>
      <c r="B82" s="67"/>
      <c r="C82" s="67"/>
      <c r="D82" s="67"/>
      <c r="E82" s="67"/>
      <c r="F82" s="64" t="s">
        <v>31</v>
      </c>
      <c r="G82" s="64"/>
      <c r="H82" s="64"/>
    </row>
    <row r="83" spans="1:8" s="13" customFormat="1" hidden="1" x14ac:dyDescent="0.25">
      <c r="A83" s="67" t="s">
        <v>138</v>
      </c>
      <c r="B83" s="67"/>
      <c r="C83" s="67"/>
      <c r="D83" s="67"/>
      <c r="E83" s="67"/>
      <c r="F83" s="64" t="s">
        <v>31</v>
      </c>
      <c r="G83" s="64"/>
      <c r="H83" s="64"/>
    </row>
    <row r="84" spans="1:8" s="13" customFormat="1" hidden="1" x14ac:dyDescent="0.25">
      <c r="A84" s="67" t="s">
        <v>139</v>
      </c>
      <c r="B84" s="67"/>
      <c r="C84" s="67"/>
      <c r="D84" s="67"/>
      <c r="E84" s="67"/>
      <c r="F84" s="64" t="s">
        <v>31</v>
      </c>
      <c r="G84" s="64"/>
      <c r="H84" s="64"/>
    </row>
    <row r="85" spans="1:8" s="13" customFormat="1" hidden="1" x14ac:dyDescent="0.25">
      <c r="A85" s="67" t="s">
        <v>140</v>
      </c>
      <c r="B85" s="67"/>
      <c r="C85" s="67"/>
      <c r="D85" s="67"/>
      <c r="E85" s="67"/>
      <c r="F85" s="64" t="s">
        <v>31</v>
      </c>
      <c r="G85" s="64"/>
      <c r="H85" s="64"/>
    </row>
    <row r="86" spans="1:8" s="13" customFormat="1" hidden="1" x14ac:dyDescent="0.25">
      <c r="A86" s="67" t="s">
        <v>141</v>
      </c>
      <c r="B86" s="67"/>
      <c r="C86" s="67"/>
      <c r="D86" s="67"/>
      <c r="E86" s="67"/>
      <c r="F86" s="64" t="s">
        <v>31</v>
      </c>
      <c r="G86" s="64"/>
      <c r="H86" s="64"/>
    </row>
    <row r="87" spans="1:8" s="13" customFormat="1" hidden="1" x14ac:dyDescent="0.25">
      <c r="A87" s="67" t="s">
        <v>142</v>
      </c>
      <c r="B87" s="67"/>
      <c r="C87" s="67"/>
      <c r="D87" s="67"/>
      <c r="E87" s="67"/>
      <c r="F87" s="64" t="s">
        <v>31</v>
      </c>
      <c r="G87" s="64"/>
      <c r="H87" s="64"/>
    </row>
    <row r="88" spans="1:8" x14ac:dyDescent="0.25">
      <c r="A88" s="67" t="s">
        <v>57</v>
      </c>
      <c r="B88" s="67"/>
      <c r="C88" s="67"/>
      <c r="D88" s="67"/>
      <c r="E88" s="67"/>
      <c r="F88" s="100" t="s">
        <v>199</v>
      </c>
      <c r="G88" s="100"/>
      <c r="H88" s="100"/>
    </row>
    <row r="89" spans="1:8" s="9" customFormat="1" x14ac:dyDescent="0.25">
      <c r="A89" s="89" t="s">
        <v>58</v>
      </c>
      <c r="B89" s="89"/>
      <c r="C89" s="89"/>
      <c r="D89" s="89"/>
      <c r="E89" s="89"/>
      <c r="F89" s="64">
        <f>F77*0.8</f>
        <v>10400</v>
      </c>
      <c r="G89" s="64"/>
      <c r="H89" s="64"/>
    </row>
    <row r="90" spans="1:8" s="1" customFormat="1" ht="15.75" customHeight="1" x14ac:dyDescent="0.25">
      <c r="A90" s="99" t="s">
        <v>112</v>
      </c>
      <c r="B90" s="99"/>
      <c r="C90" s="99"/>
      <c r="D90" s="99"/>
      <c r="E90" s="99"/>
      <c r="F90" s="99"/>
      <c r="G90" s="99"/>
      <c r="H90" s="99"/>
    </row>
    <row r="91" spans="1:8" s="1" customFormat="1" ht="15.75" customHeight="1" x14ac:dyDescent="0.25">
      <c r="A91" s="83" t="s">
        <v>59</v>
      </c>
      <c r="B91" s="83"/>
      <c r="C91" s="15" t="s">
        <v>116</v>
      </c>
      <c r="D91" s="106" t="s">
        <v>60</v>
      </c>
      <c r="E91" s="106"/>
      <c r="F91" s="83" t="s">
        <v>61</v>
      </c>
      <c r="G91" s="83"/>
      <c r="H91" s="83"/>
    </row>
    <row r="92" spans="1:8" s="1" customFormat="1" x14ac:dyDescent="0.25">
      <c r="A92" s="107" t="s">
        <v>173</v>
      </c>
      <c r="B92" s="107"/>
      <c r="C92" s="16">
        <f>COUNT(D101:D110)+COUNT(D112:D119)</f>
        <v>18</v>
      </c>
      <c r="D92" s="108">
        <f>SUM(D101:D110)+SUM(D112:D119)</f>
        <v>6093.6995339999994</v>
      </c>
      <c r="E92" s="108"/>
      <c r="F92" s="109">
        <f>SUM(F101:F110)+SUM(F112:F119)</f>
        <v>9749.9192543999998</v>
      </c>
      <c r="G92" s="109"/>
      <c r="H92" s="109"/>
    </row>
    <row r="93" spans="1:8" s="1" customFormat="1" x14ac:dyDescent="0.25">
      <c r="A93" s="99" t="s">
        <v>103</v>
      </c>
      <c r="B93" s="99"/>
      <c r="C93" s="99"/>
      <c r="D93" s="99"/>
      <c r="E93" s="99"/>
      <c r="F93" s="99"/>
      <c r="G93" s="99"/>
      <c r="H93" s="99"/>
    </row>
    <row r="94" spans="1:8" s="1" customFormat="1" x14ac:dyDescent="0.25">
      <c r="A94" s="83" t="s">
        <v>59</v>
      </c>
      <c r="B94" s="83"/>
      <c r="C94" s="15" t="s">
        <v>116</v>
      </c>
      <c r="D94" s="106" t="s">
        <v>60</v>
      </c>
      <c r="E94" s="106"/>
      <c r="F94" s="83" t="s">
        <v>61</v>
      </c>
      <c r="G94" s="83"/>
      <c r="H94" s="83"/>
    </row>
    <row r="95" spans="1:8" s="1" customFormat="1" ht="16.5" thickBot="1" x14ac:dyDescent="0.3">
      <c r="A95" s="104" t="s">
        <v>82</v>
      </c>
      <c r="B95" s="104"/>
      <c r="C95" s="61">
        <f>COUNT(D122:D131)*16+COUNT(D134:D140)*4+COUNT(D143)*4</f>
        <v>192</v>
      </c>
      <c r="D95" s="101">
        <f>SUM(D122:D131)*16+SUM(D134:D140)*4+SUM(D143)*4</f>
        <v>77213.896343999993</v>
      </c>
      <c r="E95" s="101"/>
      <c r="F95" s="102">
        <f>SUM(F122:F131)*16+SUM(F134:F140)*4+SUM(F143)*4</f>
        <v>115820.84451600001</v>
      </c>
      <c r="G95" s="102"/>
      <c r="H95" s="102"/>
    </row>
    <row r="96" spans="1:8" s="1" customFormat="1" ht="16.5" thickBot="1" x14ac:dyDescent="0.3">
      <c r="A96" s="143" t="s">
        <v>63</v>
      </c>
      <c r="B96" s="144"/>
      <c r="C96" s="62">
        <f>C92+C95</f>
        <v>210</v>
      </c>
      <c r="D96" s="145">
        <f>D92+D95</f>
        <v>83307.595877999993</v>
      </c>
      <c r="E96" s="145"/>
      <c r="F96" s="146">
        <f>F92+F95</f>
        <v>125570.76377040001</v>
      </c>
      <c r="G96" s="146"/>
      <c r="H96" s="147"/>
    </row>
    <row r="97" spans="1:10" s="9" customFormat="1" x14ac:dyDescent="0.25">
      <c r="A97" s="105" t="s">
        <v>64</v>
      </c>
      <c r="B97" s="105"/>
      <c r="C97" s="105"/>
      <c r="D97" s="105"/>
      <c r="E97" s="105"/>
      <c r="F97" s="105"/>
      <c r="G97" s="105"/>
      <c r="H97" s="105"/>
    </row>
    <row r="98" spans="1:10" x14ac:dyDescent="0.25">
      <c r="A98" s="73" t="s">
        <v>65</v>
      </c>
      <c r="B98" s="73"/>
      <c r="C98" s="73"/>
      <c r="D98" s="73"/>
      <c r="E98" s="73"/>
      <c r="F98" s="73"/>
      <c r="G98" s="73"/>
      <c r="H98" s="73"/>
    </row>
    <row r="99" spans="1:10" ht="47.25" customHeight="1" x14ac:dyDescent="0.25">
      <c r="A99" s="103" t="s">
        <v>113</v>
      </c>
      <c r="B99" s="103"/>
      <c r="C99" s="24" t="s">
        <v>66</v>
      </c>
      <c r="D99" s="24" t="s">
        <v>67</v>
      </c>
      <c r="E99" s="17" t="s">
        <v>68</v>
      </c>
      <c r="F99" s="24" t="s">
        <v>69</v>
      </c>
      <c r="G99" s="103" t="s">
        <v>70</v>
      </c>
      <c r="H99" s="103"/>
    </row>
    <row r="100" spans="1:10" s="2" customFormat="1" x14ac:dyDescent="0.25">
      <c r="A100" s="82" t="s">
        <v>193</v>
      </c>
      <c r="B100" s="82"/>
      <c r="C100" s="82"/>
      <c r="D100" s="82"/>
      <c r="E100" s="82"/>
      <c r="F100" s="82"/>
      <c r="G100" s="82"/>
      <c r="H100" s="82"/>
    </row>
    <row r="101" spans="1:10" s="2" customFormat="1" x14ac:dyDescent="0.25">
      <c r="A101" s="23" t="s">
        <v>194</v>
      </c>
      <c r="B101" s="23">
        <v>1</v>
      </c>
      <c r="C101" s="23" t="s">
        <v>173</v>
      </c>
      <c r="D101" s="23">
        <f>(7.75*5.14)*10.764</f>
        <v>428.78393999999997</v>
      </c>
      <c r="E101" s="23">
        <v>0</v>
      </c>
      <c r="F101" s="23">
        <f>D101*1.6+E101</f>
        <v>686.054304</v>
      </c>
      <c r="G101" s="74" t="s">
        <v>174</v>
      </c>
      <c r="H101" s="75"/>
    </row>
    <row r="102" spans="1:10" s="2" customFormat="1" x14ac:dyDescent="0.25">
      <c r="A102" s="23" t="s">
        <v>194</v>
      </c>
      <c r="B102" s="23">
        <v>2</v>
      </c>
      <c r="C102" s="23" t="s">
        <v>173</v>
      </c>
      <c r="D102" s="23">
        <f>7.65*8.7*10.764</f>
        <v>716.39801999999986</v>
      </c>
      <c r="E102" s="23">
        <v>0</v>
      </c>
      <c r="F102" s="23">
        <f t="shared" ref="F102:F110" si="0">D102*1.6+E102</f>
        <v>1146.2368319999998</v>
      </c>
      <c r="G102" s="76"/>
      <c r="H102" s="77"/>
    </row>
    <row r="103" spans="1:10" s="2" customFormat="1" x14ac:dyDescent="0.25">
      <c r="A103" s="23" t="s">
        <v>194</v>
      </c>
      <c r="B103" s="23">
        <v>3</v>
      </c>
      <c r="C103" s="23" t="s">
        <v>173</v>
      </c>
      <c r="D103" s="23">
        <f>(3.35*8.7)*10.764</f>
        <v>313.71677999999997</v>
      </c>
      <c r="E103" s="23">
        <v>0</v>
      </c>
      <c r="F103" s="23">
        <f t="shared" si="0"/>
        <v>501.94684799999999</v>
      </c>
      <c r="G103" s="76"/>
      <c r="H103" s="77"/>
    </row>
    <row r="104" spans="1:10" s="2" customFormat="1" x14ac:dyDescent="0.25">
      <c r="A104" s="23" t="s">
        <v>194</v>
      </c>
      <c r="B104" s="23">
        <v>4</v>
      </c>
      <c r="C104" s="23" t="s">
        <v>173</v>
      </c>
      <c r="D104" s="23">
        <f>(4.05*8.7)*10.764</f>
        <v>379.26953999999989</v>
      </c>
      <c r="E104" s="23">
        <v>0</v>
      </c>
      <c r="F104" s="23">
        <f t="shared" si="0"/>
        <v>606.83126399999981</v>
      </c>
      <c r="G104" s="76"/>
      <c r="H104" s="77"/>
    </row>
    <row r="105" spans="1:10" s="2" customFormat="1" x14ac:dyDescent="0.25">
      <c r="A105" s="23" t="s">
        <v>194</v>
      </c>
      <c r="B105" s="23">
        <v>5</v>
      </c>
      <c r="C105" s="23" t="s">
        <v>173</v>
      </c>
      <c r="D105" s="52">
        <f>(4.35*8.7)*10.764</f>
        <v>407.3635799999999</v>
      </c>
      <c r="E105" s="23">
        <v>0</v>
      </c>
      <c r="F105" s="23">
        <f t="shared" si="0"/>
        <v>651.78172799999993</v>
      </c>
      <c r="G105" s="76"/>
      <c r="H105" s="77"/>
    </row>
    <row r="106" spans="1:10" s="2" customFormat="1" x14ac:dyDescent="0.25">
      <c r="A106" s="23" t="s">
        <v>194</v>
      </c>
      <c r="B106" s="23">
        <v>6</v>
      </c>
      <c r="C106" s="23" t="s">
        <v>173</v>
      </c>
      <c r="D106" s="52">
        <f>(2.9*4.7)*10.764</f>
        <v>146.71332000000001</v>
      </c>
      <c r="E106" s="23">
        <v>0</v>
      </c>
      <c r="F106" s="23">
        <f t="shared" si="0"/>
        <v>234.74131200000002</v>
      </c>
      <c r="G106" s="76"/>
      <c r="H106" s="77"/>
      <c r="J106" s="2">
        <f>13000000/F106</f>
        <v>55380.111362758333</v>
      </c>
    </row>
    <row r="107" spans="1:10" s="2" customFormat="1" x14ac:dyDescent="0.25">
      <c r="A107" s="23" t="s">
        <v>194</v>
      </c>
      <c r="B107" s="23">
        <v>7</v>
      </c>
      <c r="C107" s="23" t="s">
        <v>173</v>
      </c>
      <c r="D107" s="52">
        <f>(7.8*4.7)*10.764</f>
        <v>394.60824000000002</v>
      </c>
      <c r="E107" s="23">
        <v>0</v>
      </c>
      <c r="F107" s="23">
        <f t="shared" si="0"/>
        <v>631.37318400000004</v>
      </c>
      <c r="G107" s="76"/>
      <c r="H107" s="77"/>
    </row>
    <row r="108" spans="1:10" s="2" customFormat="1" x14ac:dyDescent="0.25">
      <c r="A108" s="23" t="s">
        <v>194</v>
      </c>
      <c r="B108" s="23">
        <v>8</v>
      </c>
      <c r="C108" s="23" t="s">
        <v>173</v>
      </c>
      <c r="D108" s="52">
        <f>(10.85*6.15)*10.764</f>
        <v>718.25481000000002</v>
      </c>
      <c r="E108" s="23">
        <v>0</v>
      </c>
      <c r="F108" s="23">
        <f t="shared" si="0"/>
        <v>1149.2076960000002</v>
      </c>
      <c r="G108" s="76"/>
      <c r="H108" s="77"/>
    </row>
    <row r="109" spans="1:10" s="2" customFormat="1" x14ac:dyDescent="0.25">
      <c r="A109" s="23" t="s">
        <v>194</v>
      </c>
      <c r="B109" s="23">
        <v>9</v>
      </c>
      <c r="C109" s="23" t="s">
        <v>173</v>
      </c>
      <c r="D109" s="52">
        <f>(10.85*4.15)*10.764</f>
        <v>484.67601000000002</v>
      </c>
      <c r="E109" s="23">
        <v>0</v>
      </c>
      <c r="F109" s="23">
        <f t="shared" si="0"/>
        <v>775.48161600000003</v>
      </c>
      <c r="G109" s="76"/>
      <c r="H109" s="77"/>
    </row>
    <row r="110" spans="1:10" s="2" customFormat="1" x14ac:dyDescent="0.25">
      <c r="A110" s="23" t="s">
        <v>194</v>
      </c>
      <c r="B110" s="44">
        <v>10</v>
      </c>
      <c r="C110" s="23" t="s">
        <v>173</v>
      </c>
      <c r="D110" s="52">
        <f>(10.85*4.6)*10.764</f>
        <v>537.23123999999996</v>
      </c>
      <c r="E110" s="23">
        <v>0</v>
      </c>
      <c r="F110" s="23">
        <f t="shared" si="0"/>
        <v>859.56998399999998</v>
      </c>
      <c r="G110" s="78"/>
      <c r="H110" s="79"/>
    </row>
    <row r="111" spans="1:10" s="2" customFormat="1" x14ac:dyDescent="0.25">
      <c r="A111" s="82" t="s">
        <v>175</v>
      </c>
      <c r="B111" s="82"/>
      <c r="C111" s="82"/>
      <c r="D111" s="82"/>
      <c r="E111" s="82"/>
      <c r="F111" s="82"/>
      <c r="G111" s="82"/>
      <c r="H111" s="82"/>
    </row>
    <row r="112" spans="1:10" s="2" customFormat="1" x14ac:dyDescent="0.25">
      <c r="A112" s="23" t="s">
        <v>194</v>
      </c>
      <c r="B112" s="23">
        <v>11</v>
      </c>
      <c r="C112" s="23" t="s">
        <v>173</v>
      </c>
      <c r="D112" s="23">
        <f>2.62*4.85*10.764</f>
        <v>136.77814799999999</v>
      </c>
      <c r="E112" s="23">
        <v>0</v>
      </c>
      <c r="F112" s="23">
        <f t="shared" ref="F112:F119" si="1">D112*1.6+E112</f>
        <v>218.8450368</v>
      </c>
      <c r="G112" s="76" t="str">
        <f>A111</f>
        <v xml:space="preserve">1st Floor </v>
      </c>
      <c r="H112" s="77"/>
      <c r="J112" s="2">
        <f>13000000/F112</f>
        <v>59402.763663681129</v>
      </c>
    </row>
    <row r="113" spans="1:9" s="2" customFormat="1" x14ac:dyDescent="0.25">
      <c r="A113" s="23" t="s">
        <v>194</v>
      </c>
      <c r="B113" s="23">
        <v>12</v>
      </c>
      <c r="C113" s="23" t="s">
        <v>173</v>
      </c>
      <c r="D113" s="23">
        <f>4.72*4.85*10.764</f>
        <v>246.40948799999995</v>
      </c>
      <c r="E113" s="23">
        <v>0</v>
      </c>
      <c r="F113" s="23">
        <f t="shared" si="1"/>
        <v>394.25518079999995</v>
      </c>
      <c r="G113" s="76"/>
      <c r="H113" s="77"/>
    </row>
    <row r="114" spans="1:9" s="2" customFormat="1" x14ac:dyDescent="0.25">
      <c r="A114" s="23" t="s">
        <v>194</v>
      </c>
      <c r="B114" s="23">
        <v>13</v>
      </c>
      <c r="C114" s="23" t="s">
        <v>173</v>
      </c>
      <c r="D114" s="23">
        <f>3.2*4.85*10.764</f>
        <v>167.05727999999999</v>
      </c>
      <c r="E114" s="23">
        <v>0</v>
      </c>
      <c r="F114" s="23">
        <f t="shared" si="1"/>
        <v>267.29164800000001</v>
      </c>
      <c r="G114" s="76"/>
      <c r="H114" s="77"/>
    </row>
    <row r="115" spans="1:9" s="2" customFormat="1" x14ac:dyDescent="0.25">
      <c r="A115" s="23" t="s">
        <v>194</v>
      </c>
      <c r="B115" s="23">
        <v>14</v>
      </c>
      <c r="C115" s="23" t="s">
        <v>173</v>
      </c>
      <c r="D115" s="23">
        <f>3.75*4.85*10.764</f>
        <v>195.77024999999998</v>
      </c>
      <c r="E115" s="23">
        <v>0</v>
      </c>
      <c r="F115" s="23">
        <f t="shared" si="1"/>
        <v>313.23239999999998</v>
      </c>
      <c r="G115" s="76"/>
      <c r="H115" s="77"/>
    </row>
    <row r="116" spans="1:9" s="2" customFormat="1" x14ac:dyDescent="0.25">
      <c r="A116" s="23" t="s">
        <v>194</v>
      </c>
      <c r="B116" s="23">
        <v>15</v>
      </c>
      <c r="C116" s="23" t="s">
        <v>173</v>
      </c>
      <c r="D116" s="23">
        <f>3.75*4.85*10.764</f>
        <v>195.77024999999998</v>
      </c>
      <c r="E116" s="23">
        <v>0</v>
      </c>
      <c r="F116" s="23">
        <f t="shared" si="1"/>
        <v>313.23239999999998</v>
      </c>
      <c r="G116" s="76"/>
      <c r="H116" s="77"/>
    </row>
    <row r="117" spans="1:9" s="2" customFormat="1" x14ac:dyDescent="0.25">
      <c r="A117" s="23" t="s">
        <v>194</v>
      </c>
      <c r="B117" s="23">
        <v>16</v>
      </c>
      <c r="C117" s="23" t="s">
        <v>173</v>
      </c>
      <c r="D117" s="23">
        <f>3.75*4.85*10.764</f>
        <v>195.77024999999998</v>
      </c>
      <c r="E117" s="23">
        <v>0</v>
      </c>
      <c r="F117" s="23">
        <f t="shared" si="1"/>
        <v>313.23239999999998</v>
      </c>
      <c r="G117" s="76"/>
      <c r="H117" s="77"/>
    </row>
    <row r="118" spans="1:9" s="2" customFormat="1" x14ac:dyDescent="0.25">
      <c r="A118" s="23" t="s">
        <v>194</v>
      </c>
      <c r="B118" s="23">
        <v>17</v>
      </c>
      <c r="C118" s="23" t="s">
        <v>173</v>
      </c>
      <c r="D118" s="23">
        <f>3.35*4.85*10.764</f>
        <v>174.88808999999998</v>
      </c>
      <c r="E118" s="23">
        <v>0</v>
      </c>
      <c r="F118" s="23">
        <f t="shared" si="1"/>
        <v>279.820944</v>
      </c>
      <c r="G118" s="76"/>
      <c r="H118" s="77"/>
    </row>
    <row r="119" spans="1:9" s="2" customFormat="1" x14ac:dyDescent="0.25">
      <c r="A119" s="23" t="s">
        <v>194</v>
      </c>
      <c r="B119" s="23">
        <v>18</v>
      </c>
      <c r="C119" s="23" t="s">
        <v>173</v>
      </c>
      <c r="D119" s="23">
        <f>4.87*4.85*10.764</f>
        <v>254.24029799999997</v>
      </c>
      <c r="E119" s="23">
        <v>0</v>
      </c>
      <c r="F119" s="23">
        <f t="shared" si="1"/>
        <v>406.78447679999999</v>
      </c>
      <c r="G119" s="78"/>
      <c r="H119" s="79"/>
    </row>
    <row r="120" spans="1:9" s="2" customFormat="1" x14ac:dyDescent="0.25">
      <c r="A120" s="82" t="s">
        <v>195</v>
      </c>
      <c r="B120" s="82"/>
      <c r="C120" s="82"/>
      <c r="D120" s="82"/>
      <c r="E120" s="82"/>
      <c r="F120" s="82"/>
      <c r="G120" s="82"/>
      <c r="H120" s="82"/>
    </row>
    <row r="121" spans="1:9" s="2" customFormat="1" x14ac:dyDescent="0.25">
      <c r="A121" s="82" t="s">
        <v>220</v>
      </c>
      <c r="B121" s="82"/>
      <c r="C121" s="82"/>
      <c r="D121" s="82"/>
      <c r="E121" s="82"/>
      <c r="F121" s="82"/>
      <c r="G121" s="82"/>
      <c r="H121" s="82"/>
    </row>
    <row r="122" spans="1:9" s="2" customFormat="1" x14ac:dyDescent="0.25">
      <c r="A122" s="72">
        <v>1</v>
      </c>
      <c r="B122" s="72"/>
      <c r="C122" s="23" t="s">
        <v>176</v>
      </c>
      <c r="D122" s="23">
        <f>((3.9*2.9+0.3*2.7+1.1*0.8+2.1*1.65+2.75*2.9+1.6*0.6*0.6+1.6*1.1+1.65*2.15)+(1.2*2+(2+2.1+2.1)*0.6))*10.764</f>
        <v>392.27783399999998</v>
      </c>
      <c r="E122" s="23">
        <v>0</v>
      </c>
      <c r="F122" s="23">
        <f>D122*1.5+E122</f>
        <v>588.41675099999998</v>
      </c>
      <c r="G122" s="74" t="s">
        <v>178</v>
      </c>
      <c r="H122" s="75"/>
      <c r="I122" s="53">
        <f>7400000/F122</f>
        <v>12576.120559830902</v>
      </c>
    </row>
    <row r="123" spans="1:9" s="2" customFormat="1" x14ac:dyDescent="0.25">
      <c r="A123" s="72">
        <v>2</v>
      </c>
      <c r="B123" s="72"/>
      <c r="C123" s="23" t="s">
        <v>177</v>
      </c>
      <c r="D123" s="23">
        <f>((2.9*4.2+1.3*2.42+2.37*2.75+2.97*3.17+1.92*1.17+1.82*1.8)+(0.9*3+(1.4+2.1+2.1+1)*0.6))*10.764</f>
        <v>467.59677120000009</v>
      </c>
      <c r="E123" s="23">
        <v>0</v>
      </c>
      <c r="F123" s="23">
        <f t="shared" ref="F123:F131" si="2">D123*1.5+E123</f>
        <v>701.39515680000011</v>
      </c>
      <c r="G123" s="76"/>
      <c r="H123" s="77"/>
      <c r="I123" s="53">
        <f>9700000/F123</f>
        <v>13829.579383260432</v>
      </c>
    </row>
    <row r="124" spans="1:9" s="2" customFormat="1" x14ac:dyDescent="0.25">
      <c r="A124" s="72">
        <v>3</v>
      </c>
      <c r="B124" s="72"/>
      <c r="C124" s="23" t="s">
        <v>176</v>
      </c>
      <c r="D124" s="23">
        <f>((2.9*4.2+1.35*2.42+2.75*2.72+1.7*1.32+1.1*1.6)+(0.9*2.1+(0.8+2.1+0.9)*0.6))*10.764</f>
        <v>334.77116399999994</v>
      </c>
      <c r="E124" s="23">
        <v>0</v>
      </c>
      <c r="F124" s="23">
        <f t="shared" si="2"/>
        <v>502.15674599999988</v>
      </c>
      <c r="G124" s="76"/>
      <c r="H124" s="77"/>
      <c r="I124" s="53">
        <f t="shared" ref="I124:I125" si="3">7400000/F124</f>
        <v>14736.434507642762</v>
      </c>
    </row>
    <row r="125" spans="1:9" s="2" customFormat="1" x14ac:dyDescent="0.25">
      <c r="A125" s="72">
        <v>4</v>
      </c>
      <c r="B125" s="72"/>
      <c r="C125" s="23" t="s">
        <v>176</v>
      </c>
      <c r="D125" s="23">
        <f>((2.9*4.2+1.35*2.42+2.75*2.72+1.7*1.32+1.1*1.6)+(0.9*2.1+(0.8+2.1+0.9)*0.6))*10.764</f>
        <v>334.77116399999994</v>
      </c>
      <c r="E125" s="23">
        <v>0</v>
      </c>
      <c r="F125" s="23">
        <f t="shared" si="2"/>
        <v>502.15674599999988</v>
      </c>
      <c r="G125" s="76"/>
      <c r="H125" s="77"/>
      <c r="I125" s="53">
        <f t="shared" si="3"/>
        <v>14736.434507642762</v>
      </c>
    </row>
    <row r="126" spans="1:9" s="2" customFormat="1" x14ac:dyDescent="0.25">
      <c r="A126" s="72">
        <v>5</v>
      </c>
      <c r="B126" s="72"/>
      <c r="C126" s="23" t="s">
        <v>177</v>
      </c>
      <c r="D126" s="23">
        <f>((2.9*4.2+1.3*2.42+2.37*2.75+2.97*3.17+1.92*1.17+1.82*1.8)+(0.9*3+(1.4+2.1+2.1+1)*0.6))*10.764</f>
        <v>467.59677120000009</v>
      </c>
      <c r="E126" s="23">
        <v>0</v>
      </c>
      <c r="F126" s="23">
        <f t="shared" si="2"/>
        <v>701.39515680000011</v>
      </c>
      <c r="G126" s="76"/>
      <c r="H126" s="77"/>
    </row>
    <row r="127" spans="1:9" s="2" customFormat="1" x14ac:dyDescent="0.25">
      <c r="A127" s="72">
        <v>6</v>
      </c>
      <c r="B127" s="72"/>
      <c r="C127" s="23" t="s">
        <v>176</v>
      </c>
      <c r="D127" s="23">
        <f>((3.9*2.9+0.3*2.7+1.1*0.8+2.1*1.65+2.75*2.9+1.6*0.6*0.6+1.6*1.1+1.65*2.15)+(1.2*2+(2+2.1+2.1)*0.6))*10.764</f>
        <v>392.27783399999998</v>
      </c>
      <c r="E127" s="23">
        <v>0</v>
      </c>
      <c r="F127" s="23">
        <f t="shared" si="2"/>
        <v>588.41675099999998</v>
      </c>
      <c r="G127" s="76"/>
      <c r="H127" s="77"/>
      <c r="I127" s="53">
        <f>7400000/F127</f>
        <v>12576.120559830902</v>
      </c>
    </row>
    <row r="128" spans="1:9" s="2" customFormat="1" x14ac:dyDescent="0.25">
      <c r="A128" s="72">
        <v>7</v>
      </c>
      <c r="B128" s="72"/>
      <c r="C128" s="23" t="s">
        <v>177</v>
      </c>
      <c r="D128" s="23">
        <f>((2.9*4.2+1.22*2.45+2.32*2.9+2.97*3.17+1.92*1.17+1.82*1.8)+(0.9*3+(1.4+2.1+2.1+1)*0.6))*10.764</f>
        <v>468.17264520000009</v>
      </c>
      <c r="E128" s="23">
        <v>0</v>
      </c>
      <c r="F128" s="23">
        <f t="shared" si="2"/>
        <v>702.25896780000016</v>
      </c>
      <c r="G128" s="76"/>
      <c r="H128" s="77"/>
    </row>
    <row r="129" spans="1:9" s="2" customFormat="1" x14ac:dyDescent="0.25">
      <c r="A129" s="72">
        <v>8</v>
      </c>
      <c r="B129" s="72"/>
      <c r="C129" s="23" t="s">
        <v>176</v>
      </c>
      <c r="D129" s="23">
        <f>((2.9*4.2+1.35*2.42+2.75*2.72+1.7*1.32+1.1*1.6)+(0.9*2.1+(0.8+2.1+0.9)*0.6))*10.764</f>
        <v>334.77116399999994</v>
      </c>
      <c r="E129" s="23">
        <v>0</v>
      </c>
      <c r="F129" s="23">
        <f t="shared" si="2"/>
        <v>502.15674599999988</v>
      </c>
      <c r="G129" s="76"/>
      <c r="H129" s="77"/>
      <c r="I129" s="53">
        <f t="shared" ref="I129:I130" si="4">7400000/F129</f>
        <v>14736.434507642762</v>
      </c>
    </row>
    <row r="130" spans="1:9" s="2" customFormat="1" x14ac:dyDescent="0.25">
      <c r="A130" s="72">
        <v>9</v>
      </c>
      <c r="B130" s="72"/>
      <c r="C130" s="23" t="s">
        <v>176</v>
      </c>
      <c r="D130" s="23">
        <f>((2.9*4.2+1.35*2.42+2.75*2.72+1.7*1.32+1.1*1.6)+(0.9*2.1+(0.8+2.1+0.9)*0.6))*10.764</f>
        <v>334.77116399999994</v>
      </c>
      <c r="E130" s="23">
        <v>0</v>
      </c>
      <c r="F130" s="23">
        <f t="shared" si="2"/>
        <v>502.15674599999988</v>
      </c>
      <c r="G130" s="76"/>
      <c r="H130" s="77"/>
      <c r="I130" s="53">
        <f t="shared" si="4"/>
        <v>14736.434507642762</v>
      </c>
    </row>
    <row r="131" spans="1:9" s="2" customFormat="1" x14ac:dyDescent="0.25">
      <c r="A131" s="72">
        <v>10</v>
      </c>
      <c r="B131" s="72"/>
      <c r="C131" s="23" t="s">
        <v>177</v>
      </c>
      <c r="D131" s="23">
        <f>((2.9*4.2+1.3*2.42+2.37*2.75+2.97*3.17+1.92*1.17+1.82*1.8)+(0.9*3+(1.4+2.1+2.1+1)*0.6))*10.764</f>
        <v>467.59677120000009</v>
      </c>
      <c r="E131" s="23">
        <v>0</v>
      </c>
      <c r="F131" s="23">
        <f t="shared" si="2"/>
        <v>701.39515680000011</v>
      </c>
      <c r="G131" s="78"/>
      <c r="H131" s="79"/>
    </row>
    <row r="132" spans="1:9" s="2" customFormat="1" x14ac:dyDescent="0.25">
      <c r="A132" s="82" t="s">
        <v>181</v>
      </c>
      <c r="B132" s="82"/>
      <c r="C132" s="82"/>
      <c r="D132" s="82"/>
      <c r="E132" s="82"/>
      <c r="F132" s="82"/>
      <c r="G132" s="82"/>
      <c r="H132" s="82"/>
    </row>
    <row r="133" spans="1:9" s="2" customFormat="1" x14ac:dyDescent="0.25">
      <c r="A133" s="82" t="s">
        <v>180</v>
      </c>
      <c r="B133" s="82"/>
      <c r="C133" s="82"/>
      <c r="D133" s="82"/>
      <c r="E133" s="82"/>
      <c r="F133" s="82"/>
      <c r="G133" s="82"/>
      <c r="H133" s="82"/>
    </row>
    <row r="134" spans="1:9" s="2" customFormat="1" x14ac:dyDescent="0.25">
      <c r="A134" s="72">
        <v>1</v>
      </c>
      <c r="B134" s="72"/>
      <c r="C134" s="23" t="s">
        <v>176</v>
      </c>
      <c r="D134" s="23">
        <f>((3.9*2.9+0.3*2.7+1.1*0.8+2.1*1.65+2.75*2.9+1.6*0.6*0.6+1.6*1.1+1.65*2.15)+(1.2*2+(2+2.1+2.1)*0.6))*10.764</f>
        <v>392.27783399999998</v>
      </c>
      <c r="E134" s="23">
        <v>0</v>
      </c>
      <c r="F134" s="23">
        <f>D134*1.5+E134</f>
        <v>588.41675099999998</v>
      </c>
      <c r="G134" s="74" t="str">
        <f>A133</f>
        <v xml:space="preserve">    13th, 18th, 23rd &amp; 28th (Part Refuge Floor)</v>
      </c>
      <c r="H134" s="75"/>
    </row>
    <row r="135" spans="1:9" s="2" customFormat="1" x14ac:dyDescent="0.25">
      <c r="A135" s="72">
        <v>2</v>
      </c>
      <c r="B135" s="72"/>
      <c r="C135" s="23" t="s">
        <v>177</v>
      </c>
      <c r="D135" s="23">
        <f>((2.9*4.2+1.3*2.42+2.37*2.75+2.97*3.17+1.92*1.17+1.82*1.8)+(0.9*3+(1.4+2.1+2.1+1)*0.6))*10.764</f>
        <v>467.59677120000009</v>
      </c>
      <c r="E135" s="23">
        <v>0</v>
      </c>
      <c r="F135" s="23">
        <f t="shared" ref="F135:F143" si="5">D135*1.5+E135</f>
        <v>701.39515680000011</v>
      </c>
      <c r="G135" s="76"/>
      <c r="H135" s="77"/>
    </row>
    <row r="136" spans="1:9" s="2" customFormat="1" x14ac:dyDescent="0.25">
      <c r="A136" s="72">
        <v>3</v>
      </c>
      <c r="B136" s="72"/>
      <c r="C136" s="23" t="s">
        <v>176</v>
      </c>
      <c r="D136" s="23">
        <f>((2.9*4.2+1.35*2.42+2.75*2.72+1.7*1.32+1.1*1.6)+(0.9*2.1+(0.8+2.1+0.9)*0.6))*10.764</f>
        <v>334.77116399999994</v>
      </c>
      <c r="E136" s="23">
        <v>0</v>
      </c>
      <c r="F136" s="23">
        <f t="shared" si="5"/>
        <v>502.15674599999988</v>
      </c>
      <c r="G136" s="76"/>
      <c r="H136" s="77"/>
    </row>
    <row r="137" spans="1:9" s="2" customFormat="1" x14ac:dyDescent="0.25">
      <c r="A137" s="72">
        <v>4</v>
      </c>
      <c r="B137" s="72"/>
      <c r="C137" s="23" t="s">
        <v>176</v>
      </c>
      <c r="D137" s="23">
        <f>((2.9*4.2+1.35*2.42+2.75*2.72+1.7*1.32+1.1*1.6)+(0.9*2.1+(0.8+2.1+0.9)*0.6))*10.764</f>
        <v>334.77116399999994</v>
      </c>
      <c r="E137" s="23">
        <v>0</v>
      </c>
      <c r="F137" s="23">
        <f t="shared" si="5"/>
        <v>502.15674599999988</v>
      </c>
      <c r="G137" s="76"/>
      <c r="H137" s="77"/>
    </row>
    <row r="138" spans="1:9" s="2" customFormat="1" x14ac:dyDescent="0.25">
      <c r="A138" s="72">
        <v>5</v>
      </c>
      <c r="B138" s="72"/>
      <c r="C138" s="23" t="s">
        <v>177</v>
      </c>
      <c r="D138" s="23">
        <f>((2.9*4.2+1.3*2.42+2.37*2.75+2.97*3.17+1.92*1.17+1.82*1.8)+(0.9*3+(1.4+2.1+2.1+1)*0.6))*10.764</f>
        <v>467.59677120000009</v>
      </c>
      <c r="E138" s="23">
        <v>0</v>
      </c>
      <c r="F138" s="23">
        <f t="shared" si="5"/>
        <v>701.39515680000011</v>
      </c>
      <c r="G138" s="76"/>
      <c r="H138" s="77"/>
    </row>
    <row r="139" spans="1:9" s="2" customFormat="1" x14ac:dyDescent="0.25">
      <c r="A139" s="72">
        <v>6</v>
      </c>
      <c r="B139" s="72"/>
      <c r="C139" s="23" t="s">
        <v>176</v>
      </c>
      <c r="D139" s="23">
        <f>((3.9*2.9+0.3*2.7+1.1*0.8+2.1*1.65+2.75*2.9+1.6*0.6*0.6+1.6*1.1+1.65*2.15)+(1.2*2+(2+2.1+2.1)*0.6))*10.764</f>
        <v>392.27783399999998</v>
      </c>
      <c r="E139" s="23">
        <v>0</v>
      </c>
      <c r="F139" s="23">
        <f t="shared" si="5"/>
        <v>588.41675099999998</v>
      </c>
      <c r="G139" s="76"/>
      <c r="H139" s="77"/>
    </row>
    <row r="140" spans="1:9" s="2" customFormat="1" x14ac:dyDescent="0.25">
      <c r="A140" s="72">
        <v>7</v>
      </c>
      <c r="B140" s="72"/>
      <c r="C140" s="23" t="s">
        <v>177</v>
      </c>
      <c r="D140" s="23">
        <f>((2.9*4.2+1.22*2.45+2.32*2.9+2.97*3.17+1.92*1.17+1.82*1.8)+(0.9*3+(1.4+2.1+2.1+1)*0.6))*10.764</f>
        <v>468.17264520000009</v>
      </c>
      <c r="E140" s="23">
        <v>0</v>
      </c>
      <c r="F140" s="23">
        <f t="shared" si="5"/>
        <v>702.25896780000016</v>
      </c>
      <c r="G140" s="76"/>
      <c r="H140" s="77"/>
    </row>
    <row r="141" spans="1:9" s="2" customFormat="1" x14ac:dyDescent="0.25">
      <c r="A141" s="72">
        <v>8</v>
      </c>
      <c r="B141" s="72"/>
      <c r="C141" s="74" t="s">
        <v>179</v>
      </c>
      <c r="D141" s="80"/>
      <c r="E141" s="80"/>
      <c r="F141" s="75"/>
      <c r="G141" s="76"/>
      <c r="H141" s="77"/>
    </row>
    <row r="142" spans="1:9" s="2" customFormat="1" x14ac:dyDescent="0.25">
      <c r="A142" s="72">
        <v>9</v>
      </c>
      <c r="B142" s="72"/>
      <c r="C142" s="78"/>
      <c r="D142" s="81"/>
      <c r="E142" s="81"/>
      <c r="F142" s="79"/>
      <c r="G142" s="76"/>
      <c r="H142" s="77"/>
    </row>
    <row r="143" spans="1:9" s="2" customFormat="1" x14ac:dyDescent="0.25">
      <c r="A143" s="72">
        <v>10</v>
      </c>
      <c r="B143" s="72"/>
      <c r="C143" s="23" t="s">
        <v>177</v>
      </c>
      <c r="D143" s="23">
        <f>((2.9*4.2+1.3*2.42+2.37*2.75+2.97*3.17+1.92*1.17+1.82*1.8)+(0.9*3+(1.4+2.1+2.1+1)*0.6))*10.764</f>
        <v>467.59677120000009</v>
      </c>
      <c r="E143" s="23">
        <v>0</v>
      </c>
      <c r="F143" s="23">
        <f t="shared" si="5"/>
        <v>701.39515680000011</v>
      </c>
      <c r="G143" s="78"/>
      <c r="H143" s="79"/>
    </row>
    <row r="144" spans="1:9" s="1" customFormat="1" x14ac:dyDescent="0.25">
      <c r="A144" s="69" t="s">
        <v>80</v>
      </c>
      <c r="B144" s="69"/>
      <c r="C144" s="69"/>
      <c r="D144" s="69"/>
      <c r="E144" s="69"/>
      <c r="F144" s="69"/>
      <c r="G144" s="69"/>
      <c r="H144" s="69"/>
    </row>
    <row r="145" spans="1:8" s="10" customFormat="1" ht="180" customHeight="1" x14ac:dyDescent="0.25">
      <c r="A145" s="70" t="s">
        <v>233</v>
      </c>
      <c r="B145" s="70"/>
      <c r="C145" s="70"/>
      <c r="D145" s="70"/>
      <c r="E145" s="70"/>
      <c r="F145" s="70"/>
      <c r="G145" s="70"/>
      <c r="H145" s="70"/>
    </row>
    <row r="146" spans="1:8" x14ac:dyDescent="0.25">
      <c r="A146" s="71" t="s">
        <v>71</v>
      </c>
      <c r="B146" s="71"/>
      <c r="C146" s="71"/>
      <c r="D146" s="71"/>
      <c r="E146" s="71"/>
      <c r="F146" s="71"/>
      <c r="G146" s="71"/>
      <c r="H146" s="71"/>
    </row>
    <row r="147" spans="1:8" x14ac:dyDescent="0.25">
      <c r="A147" s="67" t="s">
        <v>72</v>
      </c>
      <c r="B147" s="67"/>
      <c r="C147" s="67"/>
      <c r="D147" s="67"/>
      <c r="E147" s="67"/>
      <c r="F147" s="67"/>
      <c r="G147" s="67"/>
      <c r="H147" s="67"/>
    </row>
    <row r="148" spans="1:8" ht="15.75" customHeight="1" x14ac:dyDescent="0.25">
      <c r="A148" s="71" t="s">
        <v>73</v>
      </c>
      <c r="B148" s="71"/>
      <c r="C148" s="71"/>
      <c r="D148" s="71"/>
      <c r="E148" s="71"/>
      <c r="F148" s="71"/>
      <c r="G148" s="71"/>
      <c r="H148" s="71"/>
    </row>
    <row r="149" spans="1:8" x14ac:dyDescent="0.25">
      <c r="A149" s="67" t="s">
        <v>74</v>
      </c>
      <c r="B149" s="67"/>
      <c r="C149" s="67"/>
      <c r="D149" s="67"/>
      <c r="E149" s="67"/>
      <c r="F149" s="67"/>
      <c r="G149" s="67"/>
      <c r="H149" s="67"/>
    </row>
    <row r="150" spans="1:8" x14ac:dyDescent="0.25">
      <c r="A150" s="67" t="s">
        <v>75</v>
      </c>
      <c r="B150" s="67"/>
      <c r="C150" s="67"/>
      <c r="D150" s="67"/>
      <c r="E150" s="67"/>
      <c r="F150" s="67"/>
      <c r="G150" s="67"/>
      <c r="H150" s="67"/>
    </row>
    <row r="151" spans="1:8" x14ac:dyDescent="0.25">
      <c r="A151" s="67" t="s">
        <v>76</v>
      </c>
      <c r="B151" s="67"/>
      <c r="C151" s="67"/>
      <c r="D151" s="67"/>
      <c r="E151" s="67"/>
      <c r="F151" s="67"/>
      <c r="G151" s="67"/>
      <c r="H151" s="67"/>
    </row>
    <row r="152" spans="1:8" ht="35.25" customHeight="1" x14ac:dyDescent="0.25">
      <c r="A152" s="68" t="s">
        <v>77</v>
      </c>
      <c r="B152" s="68"/>
      <c r="C152" s="68"/>
      <c r="D152" s="68"/>
      <c r="E152" s="68"/>
      <c r="F152" s="68"/>
      <c r="G152" s="68"/>
      <c r="H152" s="68"/>
    </row>
    <row r="153" spans="1:8" x14ac:dyDescent="0.25">
      <c r="A153" s="98" t="s">
        <v>115</v>
      </c>
      <c r="B153" s="98"/>
      <c r="C153" s="98" t="s">
        <v>230</v>
      </c>
      <c r="D153" s="98"/>
      <c r="E153" s="98" t="s">
        <v>151</v>
      </c>
      <c r="F153" s="98"/>
      <c r="G153" s="98" t="s">
        <v>237</v>
      </c>
      <c r="H153" s="98"/>
    </row>
    <row r="154" spans="1:8" x14ac:dyDescent="0.25">
      <c r="A154" s="97" t="s">
        <v>117</v>
      </c>
      <c r="B154" s="97"/>
      <c r="C154" s="97"/>
      <c r="D154" s="97"/>
      <c r="E154" s="97"/>
      <c r="F154" s="97"/>
      <c r="G154" s="97"/>
      <c r="H154" s="97"/>
    </row>
    <row r="155" spans="1:8" x14ac:dyDescent="0.25">
      <c r="A155" s="97"/>
      <c r="B155" s="97"/>
      <c r="C155" s="97"/>
      <c r="D155" s="97"/>
      <c r="E155" s="97"/>
      <c r="F155" s="97"/>
      <c r="G155" s="97"/>
      <c r="H155" s="97"/>
    </row>
    <row r="156" spans="1:8" x14ac:dyDescent="0.25">
      <c r="A156" s="97"/>
      <c r="B156" s="97"/>
      <c r="C156" s="97"/>
      <c r="D156" s="97"/>
      <c r="E156" s="97"/>
      <c r="F156" s="97"/>
      <c r="G156" s="97"/>
      <c r="H156" s="97"/>
    </row>
    <row r="157" spans="1:8" x14ac:dyDescent="0.25">
      <c r="A157" s="18" t="s">
        <v>78</v>
      </c>
      <c r="B157" s="19"/>
      <c r="C157" s="19"/>
      <c r="D157" s="18" t="str">
        <f>E8</f>
        <v>Superio Grand Central</v>
      </c>
      <c r="F157" s="19"/>
      <c r="G157" s="19"/>
      <c r="H157" s="19"/>
    </row>
    <row r="158" spans="1:8" x14ac:dyDescent="0.25">
      <c r="A158" s="19"/>
      <c r="B158" s="19"/>
      <c r="C158" s="19"/>
      <c r="D158" s="19"/>
      <c r="E158" s="19"/>
      <c r="F158" s="19"/>
      <c r="G158" s="19"/>
      <c r="H158" s="19"/>
    </row>
    <row r="159" spans="1:8" x14ac:dyDescent="0.25">
      <c r="A159" s="19"/>
      <c r="B159" s="19"/>
      <c r="C159" s="19"/>
      <c r="D159" s="19"/>
      <c r="E159" s="19"/>
      <c r="F159" s="19"/>
      <c r="G159" s="19"/>
      <c r="H159" s="19"/>
    </row>
    <row r="160" spans="1:8" ht="15" customHeight="1" x14ac:dyDescent="0.25"/>
    <row r="193" spans="1:1" x14ac:dyDescent="0.25">
      <c r="A193" s="21" t="s">
        <v>79</v>
      </c>
    </row>
  </sheetData>
  <mergeCells count="240">
    <mergeCell ref="C35:H35"/>
    <mergeCell ref="A36:B36"/>
    <mergeCell ref="C36:H36"/>
    <mergeCell ref="A96:B96"/>
    <mergeCell ref="D96:E96"/>
    <mergeCell ref="F96:H96"/>
    <mergeCell ref="D91:E91"/>
    <mergeCell ref="F91:H91"/>
    <mergeCell ref="A73:H73"/>
    <mergeCell ref="A79:E79"/>
    <mergeCell ref="A76:H76"/>
    <mergeCell ref="A77:E77"/>
    <mergeCell ref="F77:H77"/>
    <mergeCell ref="A74:H74"/>
    <mergeCell ref="A81:E81"/>
    <mergeCell ref="F81:H81"/>
    <mergeCell ref="F78:H78"/>
    <mergeCell ref="A78:E78"/>
    <mergeCell ref="F79:H79"/>
    <mergeCell ref="A80:E80"/>
    <mergeCell ref="A87:E87"/>
    <mergeCell ref="F87:H87"/>
    <mergeCell ref="A86:E86"/>
    <mergeCell ref="F86:H86"/>
    <mergeCell ref="F83:H83"/>
    <mergeCell ref="A84:E84"/>
    <mergeCell ref="F84:H84"/>
    <mergeCell ref="A83:E83"/>
    <mergeCell ref="G45:H45"/>
    <mergeCell ref="G46:H46"/>
    <mergeCell ref="A46:B46"/>
    <mergeCell ref="C46:E46"/>
    <mergeCell ref="C47:E47"/>
    <mergeCell ref="A45:B45"/>
    <mergeCell ref="C45:E45"/>
    <mergeCell ref="C59:H59"/>
    <mergeCell ref="C61:H61"/>
    <mergeCell ref="D54:H54"/>
    <mergeCell ref="A58:C58"/>
    <mergeCell ref="D58:H58"/>
    <mergeCell ref="A55:C55"/>
    <mergeCell ref="E62:F62"/>
    <mergeCell ref="G62:H62"/>
    <mergeCell ref="A59:B59"/>
    <mergeCell ref="A61:B61"/>
    <mergeCell ref="A62:B62"/>
    <mergeCell ref="A54:C54"/>
    <mergeCell ref="A71:B71"/>
    <mergeCell ref="G63:H72"/>
    <mergeCell ref="A63:B63"/>
    <mergeCell ref="A64:B64"/>
    <mergeCell ref="A65:B65"/>
    <mergeCell ref="A66:B66"/>
    <mergeCell ref="A82:E82"/>
    <mergeCell ref="F82:H82"/>
    <mergeCell ref="A40:D40"/>
    <mergeCell ref="E40:H40"/>
    <mergeCell ref="E41:H41"/>
    <mergeCell ref="E42:H42"/>
    <mergeCell ref="A41:D41"/>
    <mergeCell ref="A42:D42"/>
    <mergeCell ref="A43:D43"/>
    <mergeCell ref="A44:H44"/>
    <mergeCell ref="A53:C53"/>
    <mergeCell ref="G49:H49"/>
    <mergeCell ref="A49:B49"/>
    <mergeCell ref="C49:E49"/>
    <mergeCell ref="D53:H53"/>
    <mergeCell ref="A50:H50"/>
    <mergeCell ref="A51:C51"/>
    <mergeCell ref="A67:B67"/>
    <mergeCell ref="C48:H48"/>
    <mergeCell ref="C30:E30"/>
    <mergeCell ref="A31:B31"/>
    <mergeCell ref="C31:E31"/>
    <mergeCell ref="A32:B32"/>
    <mergeCell ref="C32:E32"/>
    <mergeCell ref="C33:E33"/>
    <mergeCell ref="A29:B29"/>
    <mergeCell ref="A85:E85"/>
    <mergeCell ref="F85:H85"/>
    <mergeCell ref="A52:C52"/>
    <mergeCell ref="D52:H52"/>
    <mergeCell ref="D51:H51"/>
    <mergeCell ref="A56:C56"/>
    <mergeCell ref="D55:H55"/>
    <mergeCell ref="D56:H56"/>
    <mergeCell ref="A35:B35"/>
    <mergeCell ref="A47:B48"/>
    <mergeCell ref="G47:H47"/>
    <mergeCell ref="E43:H43"/>
    <mergeCell ref="A68:B68"/>
    <mergeCell ref="A69:B69"/>
    <mergeCell ref="A70:B70"/>
    <mergeCell ref="A72:B72"/>
    <mergeCell ref="A75:B75"/>
    <mergeCell ref="A154:H156"/>
    <mergeCell ref="A153:B153"/>
    <mergeCell ref="E153:F153"/>
    <mergeCell ref="C153:D153"/>
    <mergeCell ref="G153:H153"/>
    <mergeCell ref="A90:H90"/>
    <mergeCell ref="A88:E88"/>
    <mergeCell ref="F88:H88"/>
    <mergeCell ref="A89:E89"/>
    <mergeCell ref="F89:H89"/>
    <mergeCell ref="D95:E95"/>
    <mergeCell ref="F95:H95"/>
    <mergeCell ref="A99:B99"/>
    <mergeCell ref="A100:H100"/>
    <mergeCell ref="A95:B95"/>
    <mergeCell ref="A97:H97"/>
    <mergeCell ref="A94:B94"/>
    <mergeCell ref="D94:E94"/>
    <mergeCell ref="G99:H99"/>
    <mergeCell ref="A92:B92"/>
    <mergeCell ref="D92:E92"/>
    <mergeCell ref="F92:H92"/>
    <mergeCell ref="A93:H93"/>
    <mergeCell ref="A133:H133"/>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F94:H94"/>
    <mergeCell ref="A91:B91"/>
    <mergeCell ref="A148:H148"/>
    <mergeCell ref="G101:H110"/>
    <mergeCell ref="A111:H111"/>
    <mergeCell ref="A128:B128"/>
    <mergeCell ref="G112:H119"/>
    <mergeCell ref="A120:H120"/>
    <mergeCell ref="A121:H121"/>
    <mergeCell ref="A135:B135"/>
    <mergeCell ref="A122:B122"/>
    <mergeCell ref="A123:B123"/>
    <mergeCell ref="A129:B129"/>
    <mergeCell ref="A134:B134"/>
    <mergeCell ref="A139:B139"/>
    <mergeCell ref="A140:B140"/>
    <mergeCell ref="A136:B136"/>
    <mergeCell ref="A141:B141"/>
    <mergeCell ref="G122:H131"/>
    <mergeCell ref="A131:B131"/>
    <mergeCell ref="A126:B126"/>
    <mergeCell ref="A127:B127"/>
    <mergeCell ref="C75:H75"/>
    <mergeCell ref="F80:H80"/>
    <mergeCell ref="E63:F72"/>
    <mergeCell ref="A150:H150"/>
    <mergeCell ref="A151:H151"/>
    <mergeCell ref="A152:H152"/>
    <mergeCell ref="A57:C57"/>
    <mergeCell ref="D57:H57"/>
    <mergeCell ref="A144:H144"/>
    <mergeCell ref="A145:H145"/>
    <mergeCell ref="A146:H146"/>
    <mergeCell ref="A147:H147"/>
    <mergeCell ref="A124:B124"/>
    <mergeCell ref="A125:B125"/>
    <mergeCell ref="A98:H98"/>
    <mergeCell ref="G134:H143"/>
    <mergeCell ref="C141:F142"/>
    <mergeCell ref="A132:H132"/>
    <mergeCell ref="A142:B142"/>
    <mergeCell ref="A143:B143"/>
    <mergeCell ref="A137:B137"/>
    <mergeCell ref="A138:B138"/>
    <mergeCell ref="A149:H149"/>
    <mergeCell ref="A130:B130"/>
  </mergeCells>
  <hyperlinks>
    <hyperlink ref="C36" r:id="rId1" xr:uid="{00000000-0004-0000-0000-000000000000}"/>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 xml:space="preserve">&amp;L&amp;"Times New Roman,Bold"&amp;12Ref No: &amp;F&amp;C&amp;G&amp;R&amp;"Times New Roman,Bold"&amp;12   </oddFooter>
  </headerFooter>
  <rowBreaks count="2" manualBreakCount="2">
    <brk id="156" max="16383" man="1"/>
    <brk id="19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RowHeight="15" x14ac:dyDescent="0.25"/>
  <cols>
    <col min="2" max="2" width="12.28515625" customWidth="1"/>
  </cols>
  <sheetData>
    <row r="2" spans="1:12" x14ac:dyDescent="0.25">
      <c r="B2" s="3" t="s">
        <v>81</v>
      </c>
      <c r="C2" s="149"/>
      <c r="D2" s="149"/>
    </row>
    <row r="3" spans="1:12" x14ac:dyDescent="0.25">
      <c r="D3" s="4"/>
      <c r="E3" s="4"/>
      <c r="F3" s="4"/>
      <c r="G3" s="4"/>
      <c r="H3" s="4"/>
      <c r="I3" s="4"/>
    </row>
    <row r="4" spans="1:12" x14ac:dyDescent="0.25">
      <c r="A4" s="3" t="s">
        <v>82</v>
      </c>
      <c r="B4" s="5" t="s">
        <v>83</v>
      </c>
      <c r="C4" s="150" t="s">
        <v>84</v>
      </c>
      <c r="D4" s="150"/>
      <c r="E4" s="150"/>
      <c r="F4" s="6"/>
      <c r="G4" s="150" t="s">
        <v>85</v>
      </c>
      <c r="H4" s="150"/>
      <c r="I4" s="150"/>
      <c r="J4" s="150" t="s">
        <v>86</v>
      </c>
      <c r="K4" s="150"/>
      <c r="L4" s="150"/>
    </row>
    <row r="5" spans="1:12" x14ac:dyDescent="0.25">
      <c r="A5" s="3">
        <v>202</v>
      </c>
      <c r="B5" s="5"/>
      <c r="C5" s="5" t="s">
        <v>87</v>
      </c>
      <c r="D5" s="5" t="s">
        <v>88</v>
      </c>
      <c r="E5" s="5" t="s">
        <v>62</v>
      </c>
      <c r="F5" s="5"/>
      <c r="G5" s="5" t="s">
        <v>87</v>
      </c>
      <c r="H5" s="5" t="s">
        <v>88</v>
      </c>
      <c r="I5" s="5" t="s">
        <v>62</v>
      </c>
      <c r="J5" s="5" t="s">
        <v>87</v>
      </c>
      <c r="K5" s="5" t="s">
        <v>88</v>
      </c>
      <c r="L5" s="5" t="s">
        <v>62</v>
      </c>
    </row>
    <row r="6" spans="1:12" x14ac:dyDescent="0.25">
      <c r="B6" s="7" t="s">
        <v>89</v>
      </c>
      <c r="C6" s="7">
        <v>4.5</v>
      </c>
      <c r="D6" s="7">
        <v>2.9</v>
      </c>
      <c r="E6" s="7">
        <f>C6*D6</f>
        <v>13.049999999999999</v>
      </c>
      <c r="F6" s="7" t="s">
        <v>90</v>
      </c>
      <c r="G6" s="7"/>
      <c r="H6" s="7"/>
      <c r="I6" s="7">
        <f>G6*H6</f>
        <v>0</v>
      </c>
      <c r="J6" s="7"/>
      <c r="K6" s="7"/>
      <c r="L6" s="7">
        <f>J6*K6</f>
        <v>0</v>
      </c>
    </row>
    <row r="7" spans="1:12" x14ac:dyDescent="0.25">
      <c r="B7" s="7"/>
      <c r="C7" s="7"/>
      <c r="D7" s="7"/>
      <c r="E7" s="7">
        <f t="shared" ref="E7:E33" si="0">C7*D7</f>
        <v>0</v>
      </c>
      <c r="F7" s="7" t="s">
        <v>91</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92</v>
      </c>
      <c r="C9" s="7">
        <v>1.88</v>
      </c>
      <c r="D9" s="7">
        <v>2.13</v>
      </c>
      <c r="E9" s="7">
        <f t="shared" si="0"/>
        <v>4.0043999999999995</v>
      </c>
      <c r="F9" s="7" t="s">
        <v>90</v>
      </c>
      <c r="G9" s="7"/>
      <c r="H9" s="7"/>
      <c r="I9" s="7">
        <f t="shared" si="1"/>
        <v>0</v>
      </c>
      <c r="J9" s="7"/>
      <c r="K9" s="7"/>
      <c r="L9" s="7">
        <f t="shared" si="2"/>
        <v>0</v>
      </c>
    </row>
    <row r="10" spans="1:12" x14ac:dyDescent="0.25">
      <c r="B10" s="7"/>
      <c r="C10" s="7"/>
      <c r="D10" s="7"/>
      <c r="E10" s="7">
        <f t="shared" si="0"/>
        <v>0</v>
      </c>
      <c r="F10" s="7" t="s">
        <v>91</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93</v>
      </c>
      <c r="C13" s="7"/>
      <c r="D13" s="7"/>
      <c r="E13" s="7">
        <f t="shared" si="0"/>
        <v>0</v>
      </c>
      <c r="F13" s="7" t="s">
        <v>90</v>
      </c>
      <c r="G13" s="7"/>
      <c r="H13" s="7"/>
      <c r="I13" s="7">
        <f t="shared" si="1"/>
        <v>0</v>
      </c>
      <c r="J13" s="7"/>
      <c r="K13" s="7"/>
      <c r="L13" s="7">
        <f t="shared" si="2"/>
        <v>0</v>
      </c>
    </row>
    <row r="14" spans="1:12" x14ac:dyDescent="0.25">
      <c r="B14" s="7"/>
      <c r="C14" s="7"/>
      <c r="D14" s="7"/>
      <c r="E14" s="7">
        <f t="shared" si="0"/>
        <v>0</v>
      </c>
      <c r="F14" s="7" t="s">
        <v>91</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94</v>
      </c>
      <c r="C17" s="7"/>
      <c r="D17" s="7"/>
      <c r="E17" s="7">
        <f t="shared" si="0"/>
        <v>0</v>
      </c>
      <c r="F17" s="7" t="s">
        <v>90</v>
      </c>
      <c r="G17" s="7"/>
      <c r="H17" s="7"/>
      <c r="I17" s="7">
        <f t="shared" si="1"/>
        <v>0</v>
      </c>
      <c r="J17" s="7"/>
      <c r="K17" s="7"/>
      <c r="L17" s="7">
        <f t="shared" si="2"/>
        <v>0</v>
      </c>
    </row>
    <row r="18" spans="2:12" x14ac:dyDescent="0.25">
      <c r="B18" s="7"/>
      <c r="C18" s="7"/>
      <c r="D18" s="7"/>
      <c r="E18" s="7">
        <f t="shared" si="0"/>
        <v>0</v>
      </c>
      <c r="F18" s="7" t="s">
        <v>91</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94</v>
      </c>
      <c r="C20" s="7"/>
      <c r="D20" s="7"/>
      <c r="E20" s="7">
        <f t="shared" si="0"/>
        <v>0</v>
      </c>
      <c r="F20" s="7" t="s">
        <v>90</v>
      </c>
      <c r="G20" s="7"/>
      <c r="H20" s="7"/>
      <c r="I20" s="7">
        <f t="shared" si="1"/>
        <v>0</v>
      </c>
      <c r="J20" s="7"/>
      <c r="K20" s="7"/>
      <c r="L20" s="7">
        <f t="shared" si="2"/>
        <v>0</v>
      </c>
    </row>
    <row r="21" spans="2:12" x14ac:dyDescent="0.25">
      <c r="B21" s="7"/>
      <c r="C21" s="7"/>
      <c r="D21" s="7"/>
      <c r="E21" s="7">
        <f t="shared" si="0"/>
        <v>0</v>
      </c>
      <c r="F21" s="7" t="s">
        <v>91</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95</v>
      </c>
      <c r="C23" s="7">
        <v>1.9</v>
      </c>
      <c r="D23" s="7">
        <v>1.07</v>
      </c>
      <c r="E23" s="7">
        <f t="shared" si="0"/>
        <v>2.0329999999999999</v>
      </c>
      <c r="F23" s="7" t="s">
        <v>96</v>
      </c>
      <c r="G23" s="7"/>
      <c r="H23" s="7"/>
      <c r="I23" s="7">
        <f t="shared" si="1"/>
        <v>0</v>
      </c>
      <c r="J23" s="7"/>
      <c r="K23" s="7"/>
      <c r="L23" s="7">
        <f t="shared" si="2"/>
        <v>0</v>
      </c>
    </row>
    <row r="24" spans="2:12" x14ac:dyDescent="0.25">
      <c r="B24" s="7" t="s">
        <v>97</v>
      </c>
      <c r="C24" s="7"/>
      <c r="D24" s="7"/>
      <c r="E24" s="7">
        <f t="shared" si="0"/>
        <v>0</v>
      </c>
      <c r="F24" s="7" t="s">
        <v>96</v>
      </c>
      <c r="G24" s="7"/>
      <c r="H24" s="7"/>
      <c r="I24" s="7">
        <f t="shared" si="1"/>
        <v>0</v>
      </c>
      <c r="J24" s="7"/>
      <c r="K24" s="7"/>
      <c r="L24" s="7">
        <f t="shared" si="2"/>
        <v>0</v>
      </c>
    </row>
    <row r="25" spans="2:12" x14ac:dyDescent="0.25">
      <c r="B25" s="7" t="s">
        <v>98</v>
      </c>
      <c r="C25" s="7"/>
      <c r="D25" s="7"/>
      <c r="E25" s="7">
        <f t="shared" si="0"/>
        <v>0</v>
      </c>
      <c r="F25" s="7" t="s">
        <v>96</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99</v>
      </c>
      <c r="C27" s="7"/>
      <c r="D27" s="7"/>
      <c r="E27" s="7">
        <f t="shared" si="0"/>
        <v>0</v>
      </c>
      <c r="F27" s="7"/>
      <c r="G27" s="7"/>
      <c r="H27" s="7"/>
      <c r="I27" s="7">
        <f t="shared" si="1"/>
        <v>0</v>
      </c>
      <c r="J27" s="7"/>
      <c r="K27" s="7"/>
      <c r="L27" s="7">
        <f t="shared" si="2"/>
        <v>0</v>
      </c>
    </row>
    <row r="28" spans="2:12" x14ac:dyDescent="0.25">
      <c r="B28" s="7" t="s">
        <v>100</v>
      </c>
      <c r="C28" s="7"/>
      <c r="D28" s="7"/>
      <c r="E28" s="7">
        <f t="shared" si="0"/>
        <v>0</v>
      </c>
      <c r="F28" s="7"/>
      <c r="G28" s="7"/>
      <c r="H28" s="7"/>
      <c r="I28" s="7">
        <f t="shared" si="1"/>
        <v>0</v>
      </c>
      <c r="J28" s="7"/>
      <c r="K28" s="7"/>
      <c r="L28" s="7">
        <f t="shared" si="2"/>
        <v>0</v>
      </c>
    </row>
    <row r="29" spans="2:12" x14ac:dyDescent="0.25">
      <c r="B29" s="7" t="s">
        <v>101</v>
      </c>
      <c r="C29" s="7"/>
      <c r="D29" s="7"/>
      <c r="E29" s="7">
        <f t="shared" si="0"/>
        <v>0</v>
      </c>
      <c r="F29" s="7"/>
      <c r="G29" s="7"/>
      <c r="H29" s="7"/>
      <c r="I29" s="7">
        <f t="shared" si="1"/>
        <v>0</v>
      </c>
      <c r="J29" s="7"/>
      <c r="K29" s="7"/>
      <c r="L29" s="7">
        <f t="shared" si="2"/>
        <v>0</v>
      </c>
    </row>
    <row r="30" spans="2:12" x14ac:dyDescent="0.25">
      <c r="B30" s="7" t="s">
        <v>102</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63</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topLeftCell="A13" zoomScale="115" zoomScaleNormal="115" workbookViewId="0">
      <selection activeCell="B15" sqref="B15"/>
    </sheetView>
  </sheetViews>
  <sheetFormatPr defaultColWidth="8.7109375" defaultRowHeight="15" x14ac:dyDescent="0.25"/>
  <cols>
    <col min="1" max="1" width="8.7109375" style="29"/>
    <col min="2" max="2" width="22.140625" style="29" customWidth="1"/>
    <col min="3" max="3" width="37" style="29" customWidth="1"/>
    <col min="4" max="5" width="11.42578125" style="29" customWidth="1"/>
    <col min="6" max="6" width="14" style="29" customWidth="1"/>
    <col min="7" max="7" width="20" style="29" customWidth="1"/>
    <col min="8" max="8" width="16.42578125" style="29" customWidth="1"/>
    <col min="9" max="16384" width="8.7109375" style="29"/>
  </cols>
  <sheetData>
    <row r="1" spans="1:9" ht="15" customHeight="1" x14ac:dyDescent="0.25"/>
    <row r="2" spans="1:9" ht="15" customHeight="1" x14ac:dyDescent="0.25">
      <c r="A2" s="30"/>
      <c r="B2" s="30"/>
      <c r="C2" s="30"/>
      <c r="D2" s="30"/>
      <c r="E2" s="30"/>
      <c r="F2" s="30"/>
      <c r="G2" s="30"/>
      <c r="H2" s="30"/>
    </row>
    <row r="3" spans="1:9" ht="15.75" customHeight="1" x14ac:dyDescent="0.25">
      <c r="A3" s="30"/>
      <c r="B3" s="151" t="s">
        <v>152</v>
      </c>
      <c r="C3" s="151"/>
      <c r="D3" s="151"/>
      <c r="E3" s="151"/>
      <c r="F3" s="151"/>
      <c r="G3" s="151"/>
      <c r="H3" s="151"/>
    </row>
    <row r="4" spans="1:9" x14ac:dyDescent="0.25">
      <c r="A4" s="30"/>
      <c r="B4" s="31" t="s">
        <v>153</v>
      </c>
      <c r="C4" s="31" t="s">
        <v>154</v>
      </c>
      <c r="D4" s="31" t="s">
        <v>82</v>
      </c>
      <c r="E4" s="31" t="s">
        <v>155</v>
      </c>
      <c r="F4" s="31" t="s">
        <v>161</v>
      </c>
      <c r="G4" s="31" t="s">
        <v>162</v>
      </c>
      <c r="H4" s="31" t="s">
        <v>156</v>
      </c>
    </row>
    <row r="5" spans="1:9" ht="15" customHeight="1" x14ac:dyDescent="0.25">
      <c r="A5" s="30"/>
      <c r="B5" s="33" t="s">
        <v>157</v>
      </c>
      <c r="C5" s="34"/>
      <c r="D5" s="33"/>
      <c r="E5" s="33"/>
      <c r="F5" s="35"/>
      <c r="G5" s="35"/>
      <c r="H5" s="36"/>
    </row>
    <row r="6" spans="1:9" x14ac:dyDescent="0.25">
      <c r="A6" s="30"/>
      <c r="B6" s="33" t="s">
        <v>157</v>
      </c>
      <c r="C6" s="37"/>
      <c r="D6" s="33"/>
      <c r="E6" s="33"/>
      <c r="F6" s="35">
        <f t="shared" ref="F6:F11" si="0">E6*1.6</f>
        <v>0</v>
      </c>
      <c r="G6" s="35" t="e">
        <f t="shared" ref="G6:G11" si="1">H6/F6</f>
        <v>#DIV/0!</v>
      </c>
      <c r="H6" s="36"/>
    </row>
    <row r="7" spans="1:9" ht="15" customHeight="1" x14ac:dyDescent="0.25">
      <c r="A7" s="30"/>
      <c r="B7" s="33" t="s">
        <v>157</v>
      </c>
      <c r="C7" s="34"/>
      <c r="D7" s="33"/>
      <c r="E7" s="33"/>
      <c r="F7" s="35">
        <f t="shared" si="0"/>
        <v>0</v>
      </c>
      <c r="G7" s="35" t="e">
        <f t="shared" si="1"/>
        <v>#DIV/0!</v>
      </c>
      <c r="H7" s="36"/>
    </row>
    <row r="8" spans="1:9" x14ac:dyDescent="0.25">
      <c r="A8" s="30"/>
      <c r="B8" s="33" t="s">
        <v>157</v>
      </c>
      <c r="C8" s="37"/>
      <c r="D8" s="33"/>
      <c r="E8" s="33"/>
      <c r="F8" s="35">
        <f t="shared" si="0"/>
        <v>0</v>
      </c>
      <c r="G8" s="35" t="e">
        <f t="shared" si="1"/>
        <v>#DIV/0!</v>
      </c>
      <c r="H8" s="36"/>
    </row>
    <row r="9" spans="1:9" ht="15" customHeight="1" x14ac:dyDescent="0.25">
      <c r="A9" s="30"/>
      <c r="B9" s="33" t="s">
        <v>157</v>
      </c>
      <c r="C9" s="37"/>
      <c r="D9" s="33"/>
      <c r="E9" s="33"/>
      <c r="F9" s="35">
        <f t="shared" si="0"/>
        <v>0</v>
      </c>
      <c r="G9" s="35" t="e">
        <f t="shared" si="1"/>
        <v>#DIV/0!</v>
      </c>
      <c r="H9" s="36"/>
    </row>
    <row r="10" spans="1:9" ht="15" customHeight="1" x14ac:dyDescent="0.25">
      <c r="A10" s="30"/>
      <c r="B10" s="33" t="s">
        <v>158</v>
      </c>
      <c r="C10" s="34"/>
      <c r="D10" s="33"/>
      <c r="E10" s="33"/>
      <c r="F10" s="35">
        <f t="shared" si="0"/>
        <v>0</v>
      </c>
      <c r="G10" s="35" t="e">
        <f t="shared" si="1"/>
        <v>#DIV/0!</v>
      </c>
      <c r="H10" s="36"/>
    </row>
    <row r="11" spans="1:9" ht="15" customHeight="1" x14ac:dyDescent="0.25">
      <c r="A11" s="30"/>
      <c r="B11" s="33" t="s">
        <v>158</v>
      </c>
      <c r="C11" s="34"/>
      <c r="D11" s="33"/>
      <c r="E11" s="33"/>
      <c r="F11" s="35">
        <f t="shared" si="0"/>
        <v>0</v>
      </c>
      <c r="G11" s="35" t="e">
        <f t="shared" si="1"/>
        <v>#DIV/0!</v>
      </c>
      <c r="H11" s="36"/>
    </row>
    <row r="12" spans="1:9" ht="15" customHeight="1" x14ac:dyDescent="0.25">
      <c r="A12" s="30"/>
      <c r="B12" s="38" t="s">
        <v>159</v>
      </c>
      <c r="C12" s="33"/>
      <c r="D12" s="33"/>
      <c r="E12" s="33"/>
      <c r="F12" s="33"/>
      <c r="G12" s="39" t="e">
        <f>AVERAGE(G5:G11)</f>
        <v>#DIV/0!</v>
      </c>
      <c r="H12" s="33"/>
    </row>
    <row r="13" spans="1:9" ht="15" customHeight="1" x14ac:dyDescent="0.25">
      <c r="B13" s="38" t="s">
        <v>160</v>
      </c>
      <c r="C13" s="33"/>
      <c r="D13" s="33"/>
      <c r="E13" s="33"/>
      <c r="F13" s="40"/>
      <c r="G13" s="38"/>
      <c r="H13" s="38"/>
      <c r="I13" s="32"/>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2025-07-15T07:20:38Z</cp:lastPrinted>
  <dcterms:created xsi:type="dcterms:W3CDTF">2019-07-16T09:29:46Z</dcterms:created>
  <dcterms:modified xsi:type="dcterms:W3CDTF">2025-07-15T07:22:22Z</dcterms:modified>
</cp:coreProperties>
</file>