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July 25\Dump\"/>
    </mc:Choice>
  </mc:AlternateContent>
  <xr:revisionPtr revIDLastSave="0" documentId="13_ncr:1_{4A15D833-2588-4DAC-9C34-EAD9356FAC18}" xr6:coauthVersionLast="47" xr6:coauthVersionMax="47" xr10:uidLastSave="{00000000-0000-0000-0000-000000000000}"/>
  <bookViews>
    <workbookView xWindow="-120" yWindow="-120" windowWidth="20730" windowHeight="11160" xr2:uid="{00000000-000D-0000-FFFF-FFFF00000000}"/>
  </bookViews>
  <sheets>
    <sheet name="Report (2)" sheetId="6" r:id="rId1"/>
    <sheet name="VALUATION" sheetId="11" r:id="rId2"/>
    <sheet name="A1 " sheetId="2" r:id="rId3"/>
    <sheet name=" A2" sheetId="8" r:id="rId4"/>
    <sheet name="C1" sheetId="4" r:id="rId5"/>
    <sheet name="C2" sheetId="10" r:id="rId6"/>
    <sheet name="C3" sheetId="7" r:id="rId7"/>
    <sheet name="Note" sheetId="9" r:id="rId8"/>
    <sheet name="Flat detail" sheetId="3" r:id="rId9"/>
    <sheet name="Report (1)" sheetId="1" r:id="rId10"/>
  </sheets>
  <definedNames>
    <definedName name="_xlnm.Print_Area" localSheetId="0">'Report (2)'!$A$1:$J$384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4" i="6" l="1"/>
  <c r="L106" i="6"/>
  <c r="L105" i="6"/>
  <c r="L104" i="6"/>
  <c r="L103" i="6"/>
  <c r="I96" i="6"/>
  <c r="D107" i="6" l="1"/>
  <c r="D103" i="6"/>
  <c r="L99" i="6"/>
  <c r="D106" i="6"/>
  <c r="D102" i="6"/>
  <c r="L101" i="6"/>
  <c r="L102" i="6" s="1"/>
  <c r="L107" i="6" s="1"/>
  <c r="L100" i="6"/>
  <c r="C99" i="6" s="1"/>
  <c r="D108" i="6"/>
  <c r="D105" i="6"/>
  <c r="D101" i="6"/>
  <c r="L98" i="6"/>
  <c r="D104" i="6"/>
  <c r="D197" i="6"/>
  <c r="D55" i="6"/>
  <c r="D214" i="6"/>
  <c r="L214" i="6" s="1"/>
  <c r="D213" i="6"/>
  <c r="L213" i="6" s="1"/>
  <c r="D212" i="6"/>
  <c r="L212" i="6" s="1"/>
  <c r="D211" i="6"/>
  <c r="L211" i="6" s="1"/>
  <c r="B211" i="6"/>
  <c r="B212" i="6" s="1"/>
  <c r="B213" i="6" s="1"/>
  <c r="B214" i="6" s="1"/>
  <c r="A211" i="6"/>
  <c r="A212" i="6" s="1"/>
  <c r="A213" i="6" s="1"/>
  <c r="A214" i="6" s="1"/>
  <c r="H210" i="6"/>
  <c r="G146" i="6" s="1"/>
  <c r="D210" i="6"/>
  <c r="L210" i="6" s="1"/>
  <c r="D205" i="6"/>
  <c r="D204" i="6"/>
  <c r="D203" i="6"/>
  <c r="L108" i="6" l="1"/>
  <c r="C100" i="6" s="1"/>
  <c r="D99" i="6"/>
  <c r="D202" i="6"/>
  <c r="D201" i="6"/>
  <c r="F99" i="6" l="1"/>
  <c r="K95" i="6" s="1"/>
  <c r="C97" i="6" s="1"/>
  <c r="D100" i="6"/>
  <c r="H99" i="6"/>
  <c r="D200" i="6"/>
  <c r="K200" i="6" l="1"/>
  <c r="B201" i="6" l="1"/>
  <c r="B202" i="6" s="1"/>
  <c r="B203" i="6" s="1"/>
  <c r="B204" i="6" s="1"/>
  <c r="B205" i="6" s="1"/>
  <c r="A201" i="6"/>
  <c r="A202" i="6" s="1"/>
  <c r="A203" i="6" s="1"/>
  <c r="A204" i="6" s="1"/>
  <c r="A205" i="6" s="1"/>
  <c r="D208" i="6"/>
  <c r="H208" i="6"/>
  <c r="D198" i="6"/>
  <c r="D196" i="6"/>
  <c r="G196" i="6" s="1"/>
  <c r="D195" i="6"/>
  <c r="G195" i="6" s="1"/>
  <c r="D194" i="6"/>
  <c r="G194" i="6" s="1"/>
  <c r="D193" i="6"/>
  <c r="G193" i="6" s="1"/>
  <c r="D192" i="6"/>
  <c r="G192" i="6" s="1"/>
  <c r="D191" i="6"/>
  <c r="B192" i="6"/>
  <c r="B193" i="6" s="1"/>
  <c r="B194" i="6" s="1"/>
  <c r="B195" i="6" s="1"/>
  <c r="B196" i="6" s="1"/>
  <c r="A192" i="6"/>
  <c r="A193" i="6" s="1"/>
  <c r="A194" i="6" s="1"/>
  <c r="A195" i="6" s="1"/>
  <c r="A196" i="6" s="1"/>
  <c r="H200" i="6"/>
  <c r="G145" i="6" s="1"/>
  <c r="H251" i="6"/>
  <c r="H254" i="6"/>
  <c r="H238" i="6"/>
  <c r="H243" i="6"/>
  <c r="H230" i="6"/>
  <c r="H218" i="6"/>
  <c r="H171" i="6"/>
  <c r="H166" i="6"/>
  <c r="L121" i="6"/>
  <c r="L120" i="6"/>
  <c r="L119" i="6"/>
  <c r="L118" i="6"/>
  <c r="L92" i="6"/>
  <c r="L91" i="6"/>
  <c r="L90" i="6"/>
  <c r="L89" i="6"/>
  <c r="I82" i="6"/>
  <c r="I111" i="6"/>
  <c r="D145" i="6" l="1"/>
  <c r="C145" i="6"/>
  <c r="C146" i="6"/>
  <c r="D146" i="6"/>
  <c r="C139" i="6"/>
  <c r="D139" i="6"/>
  <c r="G191" i="6"/>
  <c r="G139" i="6" s="1"/>
  <c r="L113" i="6"/>
  <c r="D119" i="6"/>
  <c r="D123" i="6"/>
  <c r="D117" i="6"/>
  <c r="L116" i="6"/>
  <c r="L117" i="6" s="1"/>
  <c r="L122" i="6" s="1"/>
  <c r="L123" i="6" s="1"/>
  <c r="C115" i="6" s="1"/>
  <c r="D116" i="6"/>
  <c r="D120" i="6"/>
  <c r="L114" i="6"/>
  <c r="D122" i="6"/>
  <c r="D121" i="6"/>
  <c r="L115" i="6"/>
  <c r="C114" i="6" s="1"/>
  <c r="D118" i="6"/>
  <c r="L84" i="6"/>
  <c r="D91" i="6"/>
  <c r="L85" i="6"/>
  <c r="D94" i="6"/>
  <c r="D88" i="6"/>
  <c r="L87" i="6"/>
  <c r="D90" i="6"/>
  <c r="D93" i="6"/>
  <c r="D87" i="6"/>
  <c r="D92" i="6"/>
  <c r="L86" i="6"/>
  <c r="C85" i="6" s="1"/>
  <c r="D89" i="6"/>
  <c r="C14" i="6"/>
  <c r="L88" i="6" l="1"/>
  <c r="L93" i="6" s="1"/>
  <c r="F114" i="6"/>
  <c r="D115" i="6"/>
  <c r="H114" i="6"/>
  <c r="D114" i="6"/>
  <c r="D85" i="6"/>
  <c r="C62" i="6"/>
  <c r="L94" i="6" l="1"/>
  <c r="C86" i="6" s="1"/>
  <c r="H85" i="6" s="1"/>
  <c r="H109" i="6" s="1"/>
  <c r="K110" i="6"/>
  <c r="C112" i="6" s="1"/>
  <c r="F3" i="6"/>
  <c r="D254" i="6"/>
  <c r="D235" i="6"/>
  <c r="D234" i="6"/>
  <c r="D228" i="6"/>
  <c r="D227" i="6"/>
  <c r="D257" i="6"/>
  <c r="D256" i="6"/>
  <c r="D255" i="6"/>
  <c r="D248" i="6"/>
  <c r="D247" i="6"/>
  <c r="D246" i="6"/>
  <c r="D245" i="6"/>
  <c r="D244" i="6"/>
  <c r="D243" i="6"/>
  <c r="D233" i="6"/>
  <c r="D232" i="6"/>
  <c r="D231" i="6"/>
  <c r="D230" i="6"/>
  <c r="D226" i="6"/>
  <c r="D225" i="6"/>
  <c r="D224" i="6"/>
  <c r="D223" i="6"/>
  <c r="D252" i="6"/>
  <c r="D251" i="6"/>
  <c r="D241" i="6"/>
  <c r="D240" i="6"/>
  <c r="D239" i="6"/>
  <c r="D238" i="6"/>
  <c r="D221" i="6"/>
  <c r="D220" i="6"/>
  <c r="D219" i="6"/>
  <c r="D218" i="6"/>
  <c r="L251" i="6"/>
  <c r="K238" i="6"/>
  <c r="K218" i="6"/>
  <c r="D86" i="6" l="1"/>
  <c r="F85" i="6"/>
  <c r="C147" i="6"/>
  <c r="L231" i="6"/>
  <c r="D147" i="6"/>
  <c r="K81" i="6" l="1"/>
  <c r="C83" i="6" s="1"/>
  <c r="C109" i="6"/>
  <c r="L78" i="6"/>
  <c r="L77" i="6"/>
  <c r="L76" i="6"/>
  <c r="L75" i="6"/>
  <c r="I61" i="6"/>
  <c r="I66" i="6"/>
  <c r="L73" i="6" l="1"/>
  <c r="L74" i="6" s="1"/>
  <c r="L79" i="6" s="1"/>
  <c r="L80" i="6" s="1"/>
  <c r="C72" i="6" s="1"/>
  <c r="D79" i="6"/>
  <c r="D77" i="6"/>
  <c r="D75" i="6"/>
  <c r="D73" i="6"/>
  <c r="L71" i="6"/>
  <c r="D80" i="6"/>
  <c r="D78" i="6"/>
  <c r="D76" i="6"/>
  <c r="D74" i="6"/>
  <c r="L72" i="6"/>
  <c r="C71" i="6" s="1"/>
  <c r="L70" i="6"/>
  <c r="F11" i="11"/>
  <c r="G11" i="11" s="1"/>
  <c r="F10" i="11"/>
  <c r="G10" i="11" s="1"/>
  <c r="F9" i="11"/>
  <c r="G9" i="11" s="1"/>
  <c r="F8" i="11"/>
  <c r="G8" i="11" s="1"/>
  <c r="F7" i="11"/>
  <c r="G7" i="11" s="1"/>
  <c r="F6" i="11"/>
  <c r="G6" i="11" s="1"/>
  <c r="F5" i="11"/>
  <c r="G5" i="11" s="1"/>
  <c r="G12" i="11" l="1"/>
  <c r="F71" i="6"/>
  <c r="D72" i="6"/>
  <c r="H71" i="6"/>
  <c r="D71" i="6"/>
  <c r="G15" i="10"/>
  <c r="G16" i="10" s="1"/>
  <c r="C15" i="10" s="1"/>
  <c r="B7" i="10"/>
  <c r="H15" i="10" s="1"/>
  <c r="B16" i="10" s="1"/>
  <c r="D6" i="10"/>
  <c r="C5" i="10"/>
  <c r="B12" i="10" s="1"/>
  <c r="B9" i="10" l="1"/>
  <c r="J16" i="10" s="1"/>
  <c r="C18" i="10" s="1"/>
  <c r="B11" i="10"/>
  <c r="L15" i="10" s="1"/>
  <c r="B20" i="10" s="1"/>
  <c r="B15" i="10"/>
  <c r="K65" i="6"/>
  <c r="C67" i="6" s="1"/>
  <c r="K60" i="6"/>
  <c r="D12" i="10"/>
  <c r="M16" i="10"/>
  <c r="C21" i="10" s="1"/>
  <c r="M15" i="10"/>
  <c r="B21" i="10" s="1"/>
  <c r="H16" i="10"/>
  <c r="C16" i="10" s="1"/>
  <c r="L16" i="10"/>
  <c r="C20" i="10" s="1"/>
  <c r="D7" i="10"/>
  <c r="D9" i="10"/>
  <c r="D11" i="10"/>
  <c r="B8" i="10"/>
  <c r="B10" i="10"/>
  <c r="J15" i="10" l="1"/>
  <c r="B18" i="10" s="1"/>
  <c r="K16" i="10"/>
  <c r="C19" i="10" s="1"/>
  <c r="D10" i="10"/>
  <c r="K15" i="10"/>
  <c r="B19" i="10" s="1"/>
  <c r="D8" i="10"/>
  <c r="I16" i="10"/>
  <c r="C17" i="10" s="1"/>
  <c r="C22" i="10" s="1"/>
  <c r="I15" i="10"/>
  <c r="B17" i="10" s="1"/>
  <c r="G15" i="8"/>
  <c r="B15" i="8" s="1"/>
  <c r="B7" i="8"/>
  <c r="H16" i="8" s="1"/>
  <c r="C16" i="8" s="1"/>
  <c r="D6" i="8"/>
  <c r="F67" i="1" s="1"/>
  <c r="C5" i="8"/>
  <c r="B11" i="8" s="1"/>
  <c r="B22" i="10" l="1"/>
  <c r="D7" i="8"/>
  <c r="H15" i="8"/>
  <c r="B16" i="8" s="1"/>
  <c r="D11" i="8"/>
  <c r="L16" i="8"/>
  <c r="C20" i="8" s="1"/>
  <c r="L15" i="8"/>
  <c r="B20" i="8" s="1"/>
  <c r="B12" i="8"/>
  <c r="G16" i="8"/>
  <c r="C15" i="8" s="1"/>
  <c r="B8" i="8"/>
  <c r="B10" i="8"/>
  <c r="B9" i="8"/>
  <c r="G15" i="7"/>
  <c r="B15" i="7" s="1"/>
  <c r="B7" i="7"/>
  <c r="H15" i="7" s="1"/>
  <c r="B16" i="7" s="1"/>
  <c r="C5" i="7"/>
  <c r="B10" i="7" s="1"/>
  <c r="D6" i="7"/>
  <c r="G147" i="6"/>
  <c r="D54" i="6"/>
  <c r="G143" i="6"/>
  <c r="G144" i="6"/>
  <c r="G148" i="6"/>
  <c r="G149" i="6"/>
  <c r="D166" i="6"/>
  <c r="D167" i="6"/>
  <c r="D171" i="6"/>
  <c r="D172" i="6"/>
  <c r="D173" i="6"/>
  <c r="D174" i="6"/>
  <c r="D157" i="6"/>
  <c r="D158" i="6"/>
  <c r="D160" i="6"/>
  <c r="D161" i="6"/>
  <c r="D162" i="6"/>
  <c r="D163" i="6"/>
  <c r="D168" i="6"/>
  <c r="D169" i="6"/>
  <c r="G138" i="6"/>
  <c r="G140" i="6" s="1"/>
  <c r="H223" i="6"/>
  <c r="D272" i="6"/>
  <c r="D187" i="6"/>
  <c r="D184" i="6"/>
  <c r="D185" i="6"/>
  <c r="D186" i="6"/>
  <c r="I184" i="6"/>
  <c r="D182" i="6"/>
  <c r="D179" i="6"/>
  <c r="D180" i="6"/>
  <c r="D181" i="6"/>
  <c r="I179" i="6"/>
  <c r="H160" i="6"/>
  <c r="G135" i="6"/>
  <c r="G15" i="4"/>
  <c r="G16" i="4" s="1"/>
  <c r="C15" i="4" s="1"/>
  <c r="D6" i="4"/>
  <c r="H47" i="6"/>
  <c r="C47" i="6"/>
  <c r="F41" i="6"/>
  <c r="F42" i="6" s="1"/>
  <c r="F7" i="6"/>
  <c r="N22" i="3"/>
  <c r="I6" i="3"/>
  <c r="C13" i="1"/>
  <c r="B7" i="4"/>
  <c r="H16" i="4" s="1"/>
  <c r="C16" i="4" s="1"/>
  <c r="C5" i="4"/>
  <c r="B8" i="4" s="1"/>
  <c r="G87" i="1"/>
  <c r="G86" i="1"/>
  <c r="G88" i="1" s="1"/>
  <c r="I138" i="1"/>
  <c r="D141" i="1"/>
  <c r="D140" i="1"/>
  <c r="D139" i="1"/>
  <c r="D138" i="1"/>
  <c r="I131" i="1"/>
  <c r="D136" i="1"/>
  <c r="D135" i="1"/>
  <c r="D134" i="1"/>
  <c r="D133" i="1"/>
  <c r="D132" i="1"/>
  <c r="D131" i="1"/>
  <c r="I124" i="1"/>
  <c r="D129" i="1"/>
  <c r="D128" i="1"/>
  <c r="D127" i="1"/>
  <c r="G127" i="1" s="1"/>
  <c r="D126" i="1"/>
  <c r="G126" i="1" s="1"/>
  <c r="D125" i="1"/>
  <c r="D124" i="1"/>
  <c r="I111" i="1"/>
  <c r="I116" i="1"/>
  <c r="D119" i="1"/>
  <c r="D118" i="1"/>
  <c r="D117" i="1"/>
  <c r="D116" i="1"/>
  <c r="D114" i="1"/>
  <c r="D113" i="1"/>
  <c r="D112" i="1"/>
  <c r="D111" i="1"/>
  <c r="I103" i="1"/>
  <c r="I96" i="1"/>
  <c r="D106" i="1"/>
  <c r="D105" i="1"/>
  <c r="D104" i="1"/>
  <c r="D103" i="1"/>
  <c r="D99" i="1"/>
  <c r="D98" i="1"/>
  <c r="D97" i="1"/>
  <c r="D96" i="1"/>
  <c r="H45" i="1"/>
  <c r="H46" i="1" s="1"/>
  <c r="D48" i="1" s="1"/>
  <c r="B7" i="2"/>
  <c r="D7" i="2" s="1"/>
  <c r="F58" i="1" s="1"/>
  <c r="G15" i="2"/>
  <c r="B15" i="2" s="1"/>
  <c r="D6" i="2"/>
  <c r="F57" i="1" s="1"/>
  <c r="C5" i="2"/>
  <c r="B12" i="2" s="1"/>
  <c r="D180" i="1"/>
  <c r="G83" i="1"/>
  <c r="C45" i="1"/>
  <c r="F40" i="1"/>
  <c r="F41" i="1" s="1"/>
  <c r="D50" i="1" s="1"/>
  <c r="F7" i="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E6" i="3"/>
  <c r="C86" i="1" l="1"/>
  <c r="B11" i="4"/>
  <c r="D11" i="4" s="1"/>
  <c r="E34" i="3"/>
  <c r="B10" i="4"/>
  <c r="K16" i="4" s="1"/>
  <c r="C19" i="4" s="1"/>
  <c r="G16" i="2"/>
  <c r="C15" i="2" s="1"/>
  <c r="G150" i="6"/>
  <c r="C87" i="1"/>
  <c r="C88" i="1" s="1"/>
  <c r="H16" i="2"/>
  <c r="C16" i="2" s="1"/>
  <c r="H15" i="2"/>
  <c r="B16" i="2" s="1"/>
  <c r="L139" i="1"/>
  <c r="B12" i="7"/>
  <c r="M15" i="7" s="1"/>
  <c r="B21" i="7" s="1"/>
  <c r="B9" i="7"/>
  <c r="H16" i="7"/>
  <c r="C16" i="7" s="1"/>
  <c r="L111" i="1"/>
  <c r="L125" i="1"/>
  <c r="G16" i="7"/>
  <c r="C15" i="7" s="1"/>
  <c r="B11" i="7"/>
  <c r="B8" i="7"/>
  <c r="L133" i="1"/>
  <c r="D86" i="1"/>
  <c r="L113" i="1"/>
  <c r="L118" i="1"/>
  <c r="L15" i="4"/>
  <c r="B20" i="4" s="1"/>
  <c r="D7" i="7"/>
  <c r="L34" i="3"/>
  <c r="K34" i="3" s="1"/>
  <c r="I34" i="3"/>
  <c r="H34" i="3" s="1"/>
  <c r="L16" i="4"/>
  <c r="C20" i="4" s="1"/>
  <c r="C148" i="6"/>
  <c r="D149" i="6"/>
  <c r="D8" i="4"/>
  <c r="I16" i="4"/>
  <c r="C17" i="4" s="1"/>
  <c r="I15" i="4"/>
  <c r="B17" i="4" s="1"/>
  <c r="D12" i="2"/>
  <c r="M16" i="2"/>
  <c r="C21" i="2" s="1"/>
  <c r="M15" i="2"/>
  <c r="B21" i="2" s="1"/>
  <c r="D34" i="3"/>
  <c r="E36" i="3"/>
  <c r="K16" i="7"/>
  <c r="C19" i="7" s="1"/>
  <c r="K15" i="7"/>
  <c r="B19" i="7" s="1"/>
  <c r="D10" i="7"/>
  <c r="D143" i="6"/>
  <c r="D87" i="1"/>
  <c r="B11" i="2"/>
  <c r="D10" i="4"/>
  <c r="D7" i="4"/>
  <c r="B9" i="2"/>
  <c r="B9" i="4"/>
  <c r="H15" i="4"/>
  <c r="B16" i="4" s="1"/>
  <c r="B12" i="4"/>
  <c r="B15" i="4"/>
  <c r="B10" i="2"/>
  <c r="B8" i="2"/>
  <c r="F72" i="1"/>
  <c r="F68" i="1"/>
  <c r="L255" i="6"/>
  <c r="C138" i="6"/>
  <c r="C140" i="6" s="1"/>
  <c r="L179" i="6"/>
  <c r="D144" i="6"/>
  <c r="C149" i="6"/>
  <c r="L181" i="6"/>
  <c r="D138" i="6"/>
  <c r="D140" i="6" s="1"/>
  <c r="C143" i="6"/>
  <c r="L224" i="6"/>
  <c r="L219" i="6"/>
  <c r="L245" i="6"/>
  <c r="D148" i="6"/>
  <c r="L186" i="6"/>
  <c r="C144" i="6"/>
  <c r="L239" i="6"/>
  <c r="J15" i="8"/>
  <c r="B18" i="8" s="1"/>
  <c r="D9" i="8"/>
  <c r="J16" i="8"/>
  <c r="C18" i="8" s="1"/>
  <c r="M16" i="8"/>
  <c r="C21" i="8" s="1"/>
  <c r="M15" i="8"/>
  <c r="B21" i="8" s="1"/>
  <c r="D12" i="8"/>
  <c r="I16" i="8"/>
  <c r="C17" i="8" s="1"/>
  <c r="I15" i="8"/>
  <c r="B17" i="8" s="1"/>
  <c r="D8" i="8"/>
  <c r="K16" i="8"/>
  <c r="C19" i="8" s="1"/>
  <c r="D10" i="8"/>
  <c r="K15" i="8"/>
  <c r="B19" i="8" s="1"/>
  <c r="K15" i="4" l="1"/>
  <c r="B19" i="4" s="1"/>
  <c r="M16" i="7"/>
  <c r="C21" i="7" s="1"/>
  <c r="D12" i="7"/>
  <c r="C150" i="6"/>
  <c r="D150" i="6"/>
  <c r="D11" i="7"/>
  <c r="L15" i="7"/>
  <c r="B20" i="7" s="1"/>
  <c r="L16" i="7"/>
  <c r="C20" i="7" s="1"/>
  <c r="C22" i="8"/>
  <c r="I74" i="1" s="1"/>
  <c r="D88" i="1"/>
  <c r="D9" i="7"/>
  <c r="J16" i="7"/>
  <c r="C18" i="7" s="1"/>
  <c r="J15" i="7"/>
  <c r="B18" i="7" s="1"/>
  <c r="I15" i="7"/>
  <c r="B17" i="7" s="1"/>
  <c r="I16" i="7"/>
  <c r="C17" i="7" s="1"/>
  <c r="D8" i="7"/>
  <c r="D36" i="3"/>
  <c r="J15" i="4"/>
  <c r="B18" i="4" s="1"/>
  <c r="D9" i="4"/>
  <c r="J16" i="4"/>
  <c r="C18" i="4" s="1"/>
  <c r="D9" i="2"/>
  <c r="J15" i="2"/>
  <c r="B18" i="2" s="1"/>
  <c r="J16" i="2"/>
  <c r="C18" i="2" s="1"/>
  <c r="F63" i="1"/>
  <c r="L15" i="2"/>
  <c r="B20" i="2" s="1"/>
  <c r="L16" i="2"/>
  <c r="C20" i="2" s="1"/>
  <c r="D11" i="2"/>
  <c r="F70" i="1"/>
  <c r="F69" i="1"/>
  <c r="K16" i="2"/>
  <c r="C19" i="2" s="1"/>
  <c r="D10" i="2"/>
  <c r="K15" i="2"/>
  <c r="B19" i="2" s="1"/>
  <c r="I15" i="2"/>
  <c r="B17" i="2" s="1"/>
  <c r="D8" i="2"/>
  <c r="I16" i="2"/>
  <c r="C17" i="2" s="1"/>
  <c r="F73" i="1"/>
  <c r="F71" i="1"/>
  <c r="M16" i="4"/>
  <c r="C21" i="4" s="1"/>
  <c r="D12" i="4"/>
  <c r="M15" i="4"/>
  <c r="B21" i="4" s="1"/>
  <c r="B22" i="8"/>
  <c r="B22" i="4" l="1"/>
  <c r="C22" i="7"/>
  <c r="B22" i="7"/>
  <c r="C22" i="4"/>
  <c r="F60" i="1"/>
  <c r="F62" i="1"/>
  <c r="D74" i="1"/>
  <c r="C22" i="2"/>
  <c r="F59" i="1"/>
  <c r="F61" i="1"/>
  <c r="B22" i="2"/>
  <c r="D64" i="1" l="1"/>
  <c r="I64" i="1"/>
</calcChain>
</file>

<file path=xl/sharedStrings.xml><?xml version="1.0" encoding="utf-8"?>
<sst xmlns="http://schemas.openxmlformats.org/spreadsheetml/2006/main" count="1099" uniqueCount="348">
  <si>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</si>
  <si>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</si>
  <si>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</si>
  <si>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</si>
  <si>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</si>
  <si>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</si>
  <si>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</si>
  <si>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</si>
  <si>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</si>
  <si>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</si>
  <si>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</si>
  <si>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</si>
  <si>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</si>
  <si>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</si>
  <si>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</si>
  <si>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</si>
  <si>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</si>
  <si>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</si>
  <si>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</si>
  <si>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</si>
  <si>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</si>
  <si>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</si>
  <si>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</si>
  <si>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</si>
  <si>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</si>
  <si>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</si>
  <si>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</si>
  <si>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</si>
  <si>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</si>
  <si>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</si>
  <si>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</si>
  <si>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</si>
  <si>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</si>
  <si>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</si>
  <si>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</si>
  <si>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</si>
  <si>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</si>
  <si>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</si>
  <si>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</si>
  <si>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</si>
  <si>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</si>
  <si>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Latitude</t>
  </si>
  <si>
    <t>Longitude</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</si>
  <si>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</si>
  <si>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</si>
  <si>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</si>
  <si>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</si>
  <si>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</si>
  <si>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</si>
  <si>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</si>
  <si>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</si>
  <si>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</si>
  <si>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</si>
  <si>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</si>
  <si>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</si>
  <si>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</si>
  <si>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</si>
  <si>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</si>
  <si>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</si>
  <si>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Valid upto date: 
One year from date of issue</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</si>
  <si>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</si>
  <si>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</si>
  <si>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</si>
  <si>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</si>
  <si>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</si>
  <si>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</si>
  <si>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</si>
  <si>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</si>
  <si>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</si>
  <si>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</si>
  <si>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</si>
  <si>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 xml:space="preserve">Construction details:                                                                  </t>
  </si>
  <si>
    <t>Type of Work</t>
  </si>
  <si>
    <t>% Complition</t>
  </si>
  <si>
    <t>Plinth</t>
  </si>
  <si>
    <t>RCC</t>
  </si>
  <si>
    <t>Brick</t>
  </si>
  <si>
    <t>Plaster</t>
  </si>
  <si>
    <t>Flooring</t>
  </si>
  <si>
    <t>Painting &amp; Wooden Work</t>
  </si>
  <si>
    <t>Finishing</t>
  </si>
  <si>
    <t>% Progress</t>
  </si>
  <si>
    <t xml:space="preserve">% Disbursement </t>
  </si>
  <si>
    <t>Violations Observed if any : NA</t>
  </si>
  <si>
    <t>Recommended Rates of the Property :</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</si>
  <si>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</si>
  <si>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</si>
  <si>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</si>
  <si>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</si>
  <si>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</si>
  <si>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</si>
  <si>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</si>
  <si>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</si>
  <si>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</si>
  <si>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</si>
  <si>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</si>
  <si>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</si>
  <si>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</si>
  <si>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</si>
  <si>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</si>
  <si>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</si>
  <si>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</si>
  <si>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</si>
  <si>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</si>
  <si>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</si>
  <si>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</si>
  <si>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</si>
  <si>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</si>
  <si>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</si>
  <si>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</si>
  <si>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</si>
  <si>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</si>
  <si>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</si>
  <si>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</si>
  <si>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</si>
  <si>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</si>
  <si>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</si>
  <si>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</si>
  <si>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</si>
  <si>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</si>
  <si>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</si>
  <si>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</si>
  <si>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</si>
  <si>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</si>
  <si>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</si>
  <si>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</si>
  <si>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</si>
  <si>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</si>
  <si>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</si>
  <si>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</si>
  <si>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</si>
  <si>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</si>
  <si>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</si>
  <si>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</si>
  <si>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</si>
  <si>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</si>
  <si>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</si>
  <si>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</si>
  <si>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</si>
  <si>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</si>
  <si>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</si>
  <si>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</si>
  <si>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</si>
  <si>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</si>
  <si>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</si>
  <si>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</si>
  <si>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</si>
  <si>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</si>
  <si>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</si>
  <si>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</si>
  <si>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</si>
  <si>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</si>
  <si>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</si>
  <si>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</si>
  <si>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</si>
  <si>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</si>
  <si>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</si>
  <si>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</si>
  <si>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</si>
  <si>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</si>
  <si>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</si>
  <si>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</si>
  <si>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</si>
  <si>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</si>
  <si>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</si>
  <si>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</si>
  <si>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</si>
  <si>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</si>
  <si>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</si>
  <si>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</si>
  <si>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</si>
  <si>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</si>
  <si>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</si>
  <si>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</si>
  <si>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</si>
  <si>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</si>
  <si>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</si>
  <si>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</si>
  <si>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</si>
  <si>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</si>
  <si>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</si>
  <si>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</si>
  <si>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</si>
  <si>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</si>
  <si>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</si>
  <si>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</si>
  <si>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1302-ELLORA FIESTA, PLOT NO. 8, SECTOR 11, OPP. JUINAGAR RAILWAY STATION, SANPADA, NAVI MUMBAI 400 706. TEL: 022-27758396/95. FAX :022-27758394.
E mail : axisbank@vsjadon.com. vsjcvaluer@gmail.com. Web site : www.vsjadon.com</t>
  </si>
  <si>
    <t>Authorized Signatory
Name &amp; Seal of the agency</t>
  </si>
  <si>
    <t>Axis Sanpada</t>
  </si>
  <si>
    <t>Shree Siddhivinayak Park</t>
  </si>
  <si>
    <t xml:space="preserve">P51700016720
</t>
  </si>
  <si>
    <t>Murbad</t>
  </si>
  <si>
    <t>Thane</t>
  </si>
  <si>
    <t>Residential</t>
  </si>
  <si>
    <t>24/01/2017.</t>
  </si>
  <si>
    <t>As per RERA = 31/12/2021</t>
  </si>
  <si>
    <t>Ground Floor is for Parking</t>
  </si>
  <si>
    <t>1st,2nd,3rd&amp;4th Floor</t>
  </si>
  <si>
    <t>1 BHK</t>
  </si>
  <si>
    <t>2 BHK</t>
  </si>
  <si>
    <t>B Wing</t>
  </si>
  <si>
    <t>Type B1</t>
  </si>
  <si>
    <t>Type B2</t>
  </si>
  <si>
    <t>C Wing</t>
  </si>
  <si>
    <t>Type C1</t>
  </si>
  <si>
    <t>Type C2</t>
  </si>
  <si>
    <t>Type C3</t>
  </si>
  <si>
    <t>Flats =  128</t>
  </si>
  <si>
    <t>150000/-</t>
  </si>
  <si>
    <t xml:space="preserve">Development charges </t>
  </si>
  <si>
    <t>Sahil</t>
  </si>
  <si>
    <t>01 Building (Wing A1 &amp; A2)</t>
  </si>
  <si>
    <t>66/7, 76/5/P</t>
  </si>
  <si>
    <t>01 Building (02 Wings)</t>
  </si>
  <si>
    <t>BS/RKKN/BP/M.MURBAD/T.MURBAD/SSTN/112</t>
  </si>
  <si>
    <t>About 1.6Km from Murbad Bus Depo</t>
  </si>
  <si>
    <t>Internal Road</t>
  </si>
  <si>
    <t>Sahyadri Residency</t>
  </si>
  <si>
    <t>Slum</t>
  </si>
  <si>
    <t>Open Land</t>
  </si>
  <si>
    <t>Blg Type A (A1 &amp; A2 Wing) = G + 4th Floors</t>
  </si>
  <si>
    <t>Material laying at Site: Bricks, Cement &amp; Steel etc.</t>
  </si>
  <si>
    <t>A1 Wing</t>
  </si>
  <si>
    <t>Building Type A</t>
  </si>
  <si>
    <t>1st To 4th Floor</t>
  </si>
  <si>
    <t>A2 Wing</t>
  </si>
  <si>
    <r>
      <t xml:space="preserve">Flat No.
</t>
    </r>
    <r>
      <rPr>
        <b/>
        <sz val="9"/>
        <rFont val="Times New Roman"/>
        <family val="1"/>
      </rPr>
      <t>(As per Approved Plan)</t>
    </r>
  </si>
  <si>
    <t>Builder Saleable area</t>
  </si>
  <si>
    <t>Krishna Kamble</t>
  </si>
  <si>
    <t>Wheather the construction is as per approved Building plan : Under Construction</t>
  </si>
  <si>
    <t>Blg Type A -Wing A1</t>
  </si>
  <si>
    <t>Blg Type A -Wing A2</t>
  </si>
  <si>
    <t>1. Construction work was in process at the time of visit.
2. We considered Saleable area as per Builder area sheet.
3. We considered Carpet area as per Approved Plan.
4. We considered Gross carpet area = Net carpet + Enclose balcony + C.B Area.
5. We considered Flat rate as per Builder cost sheet.
6. Car parking is subjected to authentic documentation.
7. Wing A1, A2 mentioned in RERA &amp; Builder area sheet.</t>
  </si>
  <si>
    <t>M/s.Satya Shiv Developers</t>
  </si>
  <si>
    <t>Survey No/H.No</t>
  </si>
  <si>
    <r>
      <t xml:space="preserve">Flat No.
</t>
    </r>
    <r>
      <rPr>
        <b/>
        <sz val="9"/>
        <rFont val="Times New Roman"/>
        <family val="1"/>
      </rPr>
      <t>(As per Builder area sheet)</t>
    </r>
  </si>
  <si>
    <t>BS/RKKN/BP/M.MURBAD/T.MURBAD/SSTN/112
Valid Up to: 
Blg Type A (A1 &amp; A2 Wing) = G + 4th Floors</t>
  </si>
  <si>
    <t>23/12/2019.</t>
  </si>
  <si>
    <t>21/12/2019.</t>
  </si>
  <si>
    <t>Stage of construction Wing A1: Plinth, RCC, Brickwork, Plaster work completed. Other work are in process……</t>
  </si>
  <si>
    <r>
      <t>Stage of construction Wing A2: Plinth, RCC, Brick, Plaster, Flooring work completed. Other work are in process……</t>
    </r>
    <r>
      <rPr>
        <b/>
        <sz val="12"/>
        <color rgb="FFFF0000"/>
        <rFont val="Times New Roman"/>
        <family val="1"/>
      </rPr>
      <t/>
    </r>
  </si>
  <si>
    <t>A1</t>
  </si>
  <si>
    <t>A2</t>
  </si>
  <si>
    <t>Ground Floor is for Parking &amp; Residential</t>
  </si>
  <si>
    <t>Ground Floor</t>
  </si>
  <si>
    <t>Ground Floor is for Parking, Residential &amp; Commercial</t>
  </si>
  <si>
    <t>Shop</t>
  </si>
  <si>
    <t>Building/Type C</t>
  </si>
  <si>
    <r>
      <t xml:space="preserve">Flat No.
</t>
    </r>
    <r>
      <rPr>
        <b/>
        <sz val="10"/>
        <rFont val="Times New Roman"/>
        <family val="1"/>
      </rPr>
      <t>(As per Approved Plan)</t>
    </r>
  </si>
  <si>
    <r>
      <t xml:space="preserve">Flat No.
</t>
    </r>
    <r>
      <rPr>
        <b/>
        <sz val="10"/>
        <rFont val="Times New Roman"/>
        <family val="1"/>
      </rPr>
      <t>(Sale Plan)</t>
    </r>
  </si>
  <si>
    <t xml:space="preserve"> C1 Wing</t>
  </si>
  <si>
    <t xml:space="preserve">C2 Wing </t>
  </si>
  <si>
    <t xml:space="preserve"> C3 Wing</t>
  </si>
  <si>
    <t>Club House charges</t>
  </si>
  <si>
    <t>Legal charges</t>
  </si>
  <si>
    <t>10000/-</t>
  </si>
  <si>
    <t>Blg Type C -Wing C1</t>
  </si>
  <si>
    <t>Blg Type C -Wing C2</t>
  </si>
  <si>
    <t>Blg Type C -Wing C3</t>
  </si>
  <si>
    <t>Shop No.1, 1 mentioned in sale plan &amp; approved plan</t>
  </si>
  <si>
    <t>No. of Flats</t>
  </si>
  <si>
    <t>No. of Shop</t>
  </si>
  <si>
    <t>Recommended rate of the Shop Per Sq. Ft. ( on Saleable area)</t>
  </si>
  <si>
    <t>5000/-</t>
  </si>
  <si>
    <t>Flat Rate as per Builder cost Sheet.</t>
  </si>
  <si>
    <t>Pratiksha</t>
  </si>
  <si>
    <t>Market Research Data</t>
  </si>
  <si>
    <t>Source</t>
  </si>
  <si>
    <t>Distance from proposed property</t>
  </si>
  <si>
    <t>Net Carpet</t>
  </si>
  <si>
    <t>Saleable Area</t>
  </si>
  <si>
    <t>Rate on Saleable</t>
  </si>
  <si>
    <t>Market Value</t>
  </si>
  <si>
    <t>99 Acres</t>
  </si>
  <si>
    <t>3BHK</t>
  </si>
  <si>
    <t>Magic Brick</t>
  </si>
  <si>
    <t>Average</t>
  </si>
  <si>
    <t xml:space="preserve">Valuation Adopted </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</si>
  <si>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</si>
  <si>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</si>
  <si>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</si>
  <si>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</si>
  <si>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</si>
  <si>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</si>
  <si>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</si>
  <si>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</si>
  <si>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</si>
  <si>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</si>
  <si>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</si>
  <si>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</si>
  <si>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</si>
  <si>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</si>
  <si>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</si>
  <si>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</si>
  <si>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</si>
  <si>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</si>
  <si>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</si>
  <si>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</si>
  <si>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</si>
  <si>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</si>
  <si>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</si>
  <si>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</si>
  <si>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G1</t>
  </si>
  <si>
    <t>G2</t>
  </si>
  <si>
    <t>G3</t>
  </si>
  <si>
    <t>G4</t>
  </si>
  <si>
    <t>5th, 6th &amp; 7th Floor</t>
  </si>
  <si>
    <t>Wing C1 = G + 1st to 7th Floor</t>
  </si>
  <si>
    <t>JK No.22</t>
  </si>
  <si>
    <t xml:space="preserve">JK No.22/2022
</t>
  </si>
  <si>
    <t>Society charges</t>
  </si>
  <si>
    <t>50000/-</t>
  </si>
  <si>
    <t>Location Link</t>
  </si>
  <si>
    <t>https://goo.gl/maps/dsUyDEBiJzuRezX5A</t>
  </si>
  <si>
    <t>Contact Details ( Name &amp; Contact No.)</t>
  </si>
  <si>
    <t>Site Meet Person Contact Details ( Name &amp; Contact No.)</t>
  </si>
  <si>
    <t>Commercial Area Details :</t>
  </si>
  <si>
    <t>Office No. 1031, Wing J, Akshar Business Park, Plot No. 03 Sector 25, Near APMC Market,
Vashi, Navi Mumbai, Maharashtra 400703 TEL: 022-46090378/79/80                                                                                             E mail : vsjcapf@gmail.com. Web site : www.vsjadon.com</t>
  </si>
  <si>
    <t>19.248934,73.3943818</t>
  </si>
  <si>
    <t>Building/Type A (Wing A1 &amp; A2)
Building/Type B (Wing B1 &amp; B2)
Building/Type C (Wing C1, C2 &amp; C3)</t>
  </si>
  <si>
    <t xml:space="preserve">79/2022
Wing C2 &amp; C3 = Gr + 4th Floor
</t>
  </si>
  <si>
    <t>O. Certificate No.: 
Approved upto :
Approved upto :</t>
  </si>
  <si>
    <t xml:space="preserve">437/2021
Blg Type A (A1 &amp; A2 Wing) = G + 1st to 4th Floor
</t>
  </si>
  <si>
    <t>Valid Up to: 
Blg Type B (B1 &amp; B2 Wing) = G +1st to 7th Floor
Blg Type C (C1 Wing) = G +1st to 7th Floor
Blg Type C (C2 &amp; C3 Wing) = G + 1st to 4th Floor</t>
  </si>
  <si>
    <t>Wing A1 &amp; A2 = G + 1st to 4th Floor
Wing C2 &amp; C3 = G + 1st to 4th Floor</t>
  </si>
  <si>
    <t>Wing B2 = G + 1st to 7th Floor</t>
  </si>
  <si>
    <t>Blg Type B -Wing B1</t>
  </si>
  <si>
    <t>Blg Type B -Wing B2</t>
  </si>
  <si>
    <t>Building Type B</t>
  </si>
  <si>
    <t>B1 Wing</t>
  </si>
  <si>
    <t>B2 Wing</t>
  </si>
  <si>
    <t>Ground Floor is for Parking, Driver Room, lobby &amp; Residential</t>
  </si>
  <si>
    <t>Ground Floor is for Commercial, Parking, lobby &amp; Residential</t>
  </si>
  <si>
    <t xml:space="preserve">1st To 7th Floor For Residential </t>
  </si>
  <si>
    <t>For Wing B1 &amp; B2</t>
  </si>
  <si>
    <t>Blg Type A (A1 &amp; A2 Wing) = G + 1st to 4th Floor
Blg Type C (C1 Wing) = G +1st to 7th Floor
Blg Type C (C2 &amp; C3 Wing) = G + 1st to 4th Floor
Blg Type B (B1 &amp; B2 Wing) = G +1st to 7th Floor</t>
  </si>
  <si>
    <t>Proposed no of Floors</t>
  </si>
  <si>
    <t>Type A (Wing A1 &amp; A2) = P51700016720
Type B (Wing B1 &amp; B2) = P51700050066
Type C (Wing C1, C2 &amp; C3) = P51700024653</t>
  </si>
  <si>
    <t>07 Buildings</t>
  </si>
  <si>
    <t>Flats = 208 Shop = 08</t>
  </si>
  <si>
    <t>Mr. Rajesh 9822535663
Mr. Kamlesh ingole : 9022881608</t>
  </si>
  <si>
    <t>Part 1 = Wing B1 = G + 1st to 7th Floor</t>
  </si>
  <si>
    <t>Part 2 = Wing B1 = G + 1st to 7th Floor</t>
  </si>
  <si>
    <t>Average Progress %</t>
  </si>
  <si>
    <t>Average Disbursement %</t>
  </si>
  <si>
    <t>1. Wing C1 = All work completed. Provide OC.
    Wing A1, A2, C2, &amp; C3 = All work Completed. OC Received.
    Wing B1 &amp; B2 = Construction work is in process at the time of visit.
2. We considered Saleable area as per Builder area sheet.
3. We considered Carpet area as per Approved Plan.
4. We considered Gross carpet area = Net carpet + Enclose balcony + C.B Area+Chajja Area.
5. We have considered rate by verifying it from market inquire.
6. We have considered Other charges from cost sheet.
7. Recommended rate should be considered as all inclusive rate if other charges are not mentioned. (Excluding GST &amp; other government Taxes).
8. Car parking is subjected to authentic documentation.
9. Wing A1, A2, C1, C2 &amp; C3 mentioned in RERA &amp; Sale Plan.
10. We have update revised approved floor plans &amp; CC (12/03/2020).
11.  We have update revised approved floor plans &amp; CC of Building C1, C2 &amp; C3 (11/07/2022).
12. We have updated OC from Rera for Building No. A (On 01/07/2023).
13.  We have update revised approved floor plans &amp; CC of Building B1, B2 (on 30/05/2024).
12. On site, we meet Miss. Neha - 7387487109.</t>
  </si>
  <si>
    <t>Gaurav Panchal</t>
  </si>
  <si>
    <t>Mangesh Laxman Bapardekar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</si>
</sst>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color rgb="FFFF0000"/>
      <name val="Times New Roman"/>
      <family val="1"/>
    </font>
    <font>
      <sz val="12"/>
      <name val="Times New Roman"/>
      <family val="1"/>
    </font>
    <font>
      <b/>
      <sz val="12"/>
      <color rgb="FFFF0000"/>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b/>
      <sz val="9"/>
      <name val="Times New Roman"/>
      <family val="1"/>
    </font>
    <font>
      <b/>
      <sz val="11"/>
      <name val="Times New Roman"/>
      <family val="1"/>
    </font>
    <font>
      <b/>
      <sz val="10"/>
      <name val="Times New Roman"/>
      <family val="1"/>
    </font>
    <font>
      <sz val="11"/>
      <color rgb="FFFF0000"/>
      <name val="Calibri"/>
      <family val="2"/>
      <scheme val="minor"/>
    </font>
    <font>
      <sz val="11"/>
      <color rgb="FFFF0000"/>
      <name val="Calibri"/>
      <family val="2"/>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3" fillId="0" borderId="0"/>
    <xf numFmtId="0" fontId="5" fillId="0" borderId="0"/>
    <xf numFmtId="0" fontId="2" fillId="0" borderId="0"/>
    <xf numFmtId="9" fontId="11" fillId="0" borderId="0" applyFont="0" applyFill="0" applyBorder="0" applyAlignment="0" applyProtection="0"/>
    <xf numFmtId="0" fontId="5" fillId="0" borderId="0"/>
    <xf numFmtId="0" fontId="1" fillId="0" borderId="0"/>
    <xf numFmtId="164" fontId="5" fillId="0" borderId="0" applyFont="0" applyFill="0" applyBorder="0" applyAlignment="0" applyProtection="0"/>
    <xf numFmtId="0" fontId="26" fillId="0" borderId="0" applyNumberFormat="0" applyFill="0" applyBorder="0" applyAlignment="0" applyProtection="0"/>
  </cellStyleXfs>
  <cellXfs count="363">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1" fontId="6"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0" fontId="10" fillId="0" borderId="4" xfId="0" applyFont="1" applyBorder="1" applyAlignment="1">
      <alignment horizontal="center" vertical="center"/>
    </xf>
    <xf numFmtId="0" fontId="7" fillId="0" borderId="0" xfId="1" applyFont="1"/>
    <xf numFmtId="0" fontId="6" fillId="2" borderId="4" xfId="1" applyFont="1" applyFill="1" applyBorder="1" applyAlignment="1">
      <alignment vertical="top"/>
    </xf>
    <xf numFmtId="0" fontId="6" fillId="0" borderId="0" xfId="2"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6" fillId="2" borderId="4" xfId="1" applyFont="1" applyFill="1" applyBorder="1" applyAlignment="1">
      <alignment horizontal="left" vertical="top"/>
    </xf>
    <xf numFmtId="0" fontId="18" fillId="0" borderId="0" xfId="0" applyFont="1"/>
    <xf numFmtId="0" fontId="18" fillId="0" borderId="4" xfId="0" applyFont="1" applyBorder="1"/>
    <xf numFmtId="0" fontId="19" fillId="0" borderId="4" xfId="0" applyFont="1" applyBorder="1" applyAlignment="1">
      <alignment horizontal="center"/>
    </xf>
    <xf numFmtId="0" fontId="19" fillId="0" borderId="0" xfId="0" applyFont="1" applyAlignment="1">
      <alignment horizontal="center"/>
    </xf>
    <xf numFmtId="0" fontId="18" fillId="3" borderId="4" xfId="0" applyFont="1" applyFill="1" applyBorder="1"/>
    <xf numFmtId="0" fontId="18" fillId="0" borderId="4" xfId="0" applyFont="1" applyBorder="1" applyAlignment="1">
      <alignment horizontal="center"/>
    </xf>
    <xf numFmtId="0" fontId="18" fillId="3" borderId="4" xfId="0" applyFont="1" applyFill="1" applyBorder="1" applyAlignment="1">
      <alignment horizontal="center"/>
    </xf>
    <xf numFmtId="9" fontId="18" fillId="0" borderId="0" xfId="4" applyFont="1" applyBorder="1"/>
    <xf numFmtId="0" fontId="17" fillId="0" borderId="4" xfId="0" applyFont="1" applyBorder="1" applyAlignment="1">
      <alignment horizontal="center"/>
    </xf>
    <xf numFmtId="0" fontId="18" fillId="0" borderId="0" xfId="0" applyFont="1" applyAlignment="1">
      <alignment wrapText="1"/>
    </xf>
    <xf numFmtId="0" fontId="18" fillId="0" borderId="13" xfId="0" applyFont="1" applyBorder="1"/>
    <xf numFmtId="0" fontId="18" fillId="0" borderId="4" xfId="0" applyFont="1" applyBorder="1" applyAlignment="1">
      <alignment wrapText="1"/>
    </xf>
    <xf numFmtId="9" fontId="18" fillId="0" borderId="4" xfId="4" applyFont="1" applyBorder="1"/>
    <xf numFmtId="9" fontId="18" fillId="0" borderId="0" xfId="0" applyNumberFormat="1" applyFont="1"/>
    <xf numFmtId="0" fontId="18" fillId="0" borderId="0" xfId="0" applyFont="1" applyAlignment="1">
      <alignment horizontal="right"/>
    </xf>
    <xf numFmtId="1" fontId="7" fillId="0" borderId="1" xfId="0" applyNumberFormat="1" applyFont="1" applyBorder="1" applyAlignment="1">
      <alignment horizontal="center" vertical="top" wrapText="1"/>
    </xf>
    <xf numFmtId="0" fontId="8" fillId="0" borderId="0" xfId="1" applyFont="1" applyAlignment="1">
      <alignment horizontal="center" vertical="top" wrapText="1"/>
    </xf>
    <xf numFmtId="1" fontId="13" fillId="0" borderId="4" xfId="1" applyNumberFormat="1" applyFont="1" applyBorder="1" applyAlignment="1">
      <alignment horizontal="center" vertical="center" wrapText="1"/>
    </xf>
    <xf numFmtId="0" fontId="14" fillId="0" borderId="0" xfId="1" applyFont="1"/>
    <xf numFmtId="1" fontId="10" fillId="0" borderId="4" xfId="0" applyNumberFormat="1" applyFont="1" applyBorder="1" applyAlignment="1">
      <alignment horizontal="center" vertical="center"/>
    </xf>
    <xf numFmtId="1" fontId="16" fillId="0" borderId="4" xfId="1" applyNumberFormat="1" applyFont="1" applyBorder="1" applyAlignment="1">
      <alignment horizontal="center" vertical="top" wrapText="1"/>
    </xf>
    <xf numFmtId="1" fontId="22" fillId="0" borderId="4" xfId="1" applyNumberFormat="1" applyFont="1" applyBorder="1" applyAlignment="1">
      <alignment horizontal="center" vertical="top" wrapText="1"/>
    </xf>
    <xf numFmtId="0" fontId="14" fillId="0" borderId="0" xfId="0" applyFont="1"/>
    <xf numFmtId="0" fontId="7" fillId="0" borderId="0" xfId="1" applyFont="1" applyAlignment="1">
      <alignment horizontal="center"/>
    </xf>
    <xf numFmtId="1" fontId="14" fillId="0" borderId="4" xfId="1" applyNumberFormat="1" applyFont="1" applyBorder="1" applyAlignment="1">
      <alignment horizontal="center" vertical="center" wrapText="1"/>
    </xf>
    <xf numFmtId="0" fontId="7" fillId="3" borderId="0" xfId="1" applyFont="1" applyFill="1"/>
    <xf numFmtId="14" fontId="0" fillId="0" borderId="0" xfId="0" applyNumberFormat="1"/>
    <xf numFmtId="0" fontId="5" fillId="0" borderId="0" xfId="5"/>
    <xf numFmtId="0" fontId="1" fillId="0" borderId="0" xfId="6"/>
    <xf numFmtId="0" fontId="9" fillId="0" borderId="4" xfId="6" applyFont="1" applyBorder="1" applyAlignment="1">
      <alignment horizontal="center" vertical="top" wrapText="1"/>
    </xf>
    <xf numFmtId="0" fontId="1" fillId="0" borderId="4" xfId="6" applyBorder="1" applyAlignment="1">
      <alignment horizontal="center" vertical="center"/>
    </xf>
    <xf numFmtId="0" fontId="1" fillId="0" borderId="4" xfId="6" applyBorder="1" applyAlignment="1">
      <alignment horizontal="left" vertical="center"/>
    </xf>
    <xf numFmtId="1" fontId="1" fillId="0" borderId="4" xfId="6" applyNumberFormat="1" applyBorder="1" applyAlignment="1">
      <alignment horizontal="center" vertical="center"/>
    </xf>
    <xf numFmtId="166" fontId="1" fillId="0" borderId="4" xfId="7" applyNumberFormat="1" applyFont="1" applyBorder="1" applyAlignment="1">
      <alignment horizontal="right" vertical="center"/>
    </xf>
    <xf numFmtId="0" fontId="1" fillId="0" borderId="4" xfId="6" applyBorder="1" applyAlignment="1">
      <alignment horizontal="left" vertical="center" wrapText="1"/>
    </xf>
    <xf numFmtId="0" fontId="9" fillId="0" borderId="4" xfId="6" applyFont="1" applyBorder="1" applyAlignment="1">
      <alignment horizontal="center" vertical="center"/>
    </xf>
    <xf numFmtId="1" fontId="24" fillId="0" borderId="4" xfId="6" applyNumberFormat="1" applyFont="1" applyBorder="1" applyAlignment="1">
      <alignment horizontal="center" vertical="center"/>
    </xf>
    <xf numFmtId="0" fontId="5" fillId="0" borderId="4" xfId="5" applyBorder="1" applyAlignment="1">
      <alignment horizontal="center" vertical="center"/>
    </xf>
    <xf numFmtId="0" fontId="25" fillId="0" borderId="0" xfId="5" applyFont="1"/>
    <xf numFmtId="0" fontId="7" fillId="0" borderId="19" xfId="1" applyFont="1" applyBorder="1" applyProtection="1">
      <protection hidden="1"/>
    </xf>
    <xf numFmtId="0" fontId="7" fillId="0" borderId="20" xfId="1" applyFont="1" applyBorder="1" applyProtection="1">
      <protection hidden="1"/>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7" fillId="0" borderId="0" xfId="1" applyFont="1" applyProtection="1">
      <protection hidden="1"/>
    </xf>
    <xf numFmtId="0" fontId="7" fillId="0" borderId="23" xfId="1" applyFont="1" applyBorder="1" applyProtection="1">
      <protection hidden="1"/>
    </xf>
    <xf numFmtId="0" fontId="18" fillId="0" borderId="0" xfId="0" applyFont="1" applyProtection="1">
      <protection hidden="1"/>
    </xf>
    <xf numFmtId="0" fontId="7" fillId="0" borderId="23" xfId="1" applyFont="1" applyBorder="1"/>
    <xf numFmtId="0" fontId="18"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18" fillId="0" borderId="32" xfId="0" applyFont="1" applyBorder="1" applyProtection="1">
      <protection hidden="1"/>
    </xf>
    <xf numFmtId="1" fontId="0" fillId="0" borderId="33" xfId="0" applyNumberFormat="1" applyBorder="1"/>
    <xf numFmtId="0" fontId="14" fillId="0" borderId="4" xfId="1" applyFont="1" applyBorder="1" applyAlignment="1" applyProtection="1">
      <alignment horizontal="center" vertical="top" wrapText="1"/>
      <protection locked="0"/>
    </xf>
    <xf numFmtId="0" fontId="14" fillId="0" borderId="4" xfId="1" applyFont="1" applyBorder="1" applyAlignment="1" applyProtection="1">
      <alignment horizontal="center" wrapText="1"/>
      <protection locked="0"/>
    </xf>
    <xf numFmtId="1" fontId="14" fillId="0" borderId="4" xfId="1" applyNumberFormat="1" applyFont="1" applyBorder="1" applyAlignment="1" applyProtection="1">
      <alignment horizontal="center" wrapText="1"/>
      <protection locked="0"/>
    </xf>
    <xf numFmtId="0" fontId="14" fillId="0" borderId="28" xfId="1" applyFont="1" applyBorder="1" applyAlignment="1" applyProtection="1">
      <alignment horizontal="center" wrapText="1"/>
      <protection locked="0"/>
    </xf>
    <xf numFmtId="0" fontId="8" fillId="2" borderId="4" xfId="1" applyFont="1" applyFill="1" applyBorder="1" applyAlignment="1">
      <alignment horizontal="left" vertical="top"/>
    </xf>
    <xf numFmtId="0" fontId="14" fillId="2" borderId="4" xfId="1" applyFont="1" applyFill="1" applyBorder="1" applyAlignment="1">
      <alignment horizontal="left" vertical="top"/>
    </xf>
    <xf numFmtId="0" fontId="14" fillId="2" borderId="4" xfId="1" applyFont="1" applyFill="1" applyBorder="1" applyAlignment="1">
      <alignment vertical="top"/>
    </xf>
    <xf numFmtId="14" fontId="7" fillId="3" borderId="0" xfId="1" applyNumberFormat="1" applyFont="1" applyFill="1"/>
    <xf numFmtId="0" fontId="14" fillId="0" borderId="4" xfId="1" applyFont="1" applyBorder="1" applyAlignment="1" applyProtection="1">
      <alignment horizontal="center" vertical="top" wrapText="1"/>
      <protection locked="0"/>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1" fontId="7" fillId="0" borderId="1" xfId="0" applyNumberFormat="1" applyFont="1" applyBorder="1" applyAlignment="1">
      <alignment horizontal="center" vertical="top" wrapText="1"/>
    </xf>
    <xf numFmtId="0" fontId="14" fillId="0" borderId="1" xfId="1" applyFont="1" applyBorder="1" applyAlignment="1">
      <alignment vertical="top"/>
    </xf>
    <xf numFmtId="1" fontId="10" fillId="0" borderId="1" xfId="0" applyNumberFormat="1" applyFont="1" applyBorder="1" applyAlignment="1">
      <alignment horizontal="center" vertical="top" wrapText="1"/>
    </xf>
    <xf numFmtId="0" fontId="10" fillId="0" borderId="0" xfId="1" applyFont="1" applyAlignment="1">
      <alignment horizontal="center" vertical="center"/>
    </xf>
    <xf numFmtId="1" fontId="14" fillId="0" borderId="1" xfId="0" applyNumberFormat="1" applyFont="1" applyBorder="1" applyAlignment="1">
      <alignment horizontal="center" vertical="top" wrapText="1"/>
    </xf>
    <xf numFmtId="0" fontId="14" fillId="0" borderId="4" xfId="1" applyFont="1" applyBorder="1" applyAlignment="1" applyProtection="1">
      <alignment horizontal="center" vertical="top" wrapText="1"/>
      <protection locked="0"/>
    </xf>
    <xf numFmtId="0" fontId="14" fillId="0" borderId="21" xfId="1" applyFont="1" applyBorder="1" applyAlignment="1" applyProtection="1">
      <alignment horizontal="center" vertical="top"/>
      <protection locked="0"/>
    </xf>
    <xf numFmtId="0" fontId="14" fillId="0" borderId="4" xfId="1" applyFont="1" applyBorder="1" applyAlignment="1" applyProtection="1">
      <alignment horizontal="center" vertical="top"/>
      <protection locked="0"/>
    </xf>
    <xf numFmtId="0" fontId="8" fillId="0" borderId="0" xfId="1" applyFont="1" applyAlignment="1">
      <alignment horizontal="center" vertical="top" wrapText="1"/>
    </xf>
    <xf numFmtId="0" fontId="7" fillId="0" borderId="0" xfId="1" applyFont="1" applyAlignment="1">
      <alignment horizontal="center"/>
    </xf>
    <xf numFmtId="0" fontId="7" fillId="0" borderId="0" xfId="1" applyFont="1" applyAlignment="1">
      <alignment horizontal="center"/>
    </xf>
    <xf numFmtId="0" fontId="14" fillId="0" borderId="4" xfId="1" applyFont="1" applyBorder="1" applyAlignment="1" applyProtection="1">
      <alignment horizontal="center" vertical="top" wrapText="1"/>
      <protection locked="0"/>
    </xf>
    <xf numFmtId="9" fontId="14" fillId="2" borderId="4" xfId="1" applyNumberFormat="1" applyFont="1" applyFill="1" applyBorder="1" applyAlignment="1" applyProtection="1">
      <alignment horizontal="center" vertical="center" wrapText="1"/>
      <protection hidden="1"/>
    </xf>
    <xf numFmtId="0" fontId="16" fillId="4" borderId="4" xfId="1" applyFont="1" applyFill="1" applyBorder="1" applyAlignment="1" applyProtection="1">
      <alignment horizontal="center" vertical="center" wrapText="1"/>
      <protection locked="0"/>
    </xf>
    <xf numFmtId="9" fontId="16" fillId="4" borderId="4" xfId="1" applyNumberFormat="1" applyFont="1" applyFill="1" applyBorder="1" applyAlignment="1" applyProtection="1">
      <alignment horizontal="center" vertical="center" wrapText="1"/>
      <protection locked="0"/>
    </xf>
    <xf numFmtId="0" fontId="14" fillId="0" borderId="4" xfId="1" applyFont="1" applyBorder="1" applyAlignment="1" applyProtection="1">
      <alignment horizontal="center" vertical="top"/>
      <protection locked="0"/>
    </xf>
    <xf numFmtId="0" fontId="16" fillId="0" borderId="21" xfId="1" applyFont="1" applyBorder="1" applyAlignment="1" applyProtection="1">
      <alignment horizontal="center" vertical="center"/>
      <protection locked="0"/>
    </xf>
    <xf numFmtId="0" fontId="16" fillId="0" borderId="4" xfId="1" applyFont="1" applyBorder="1" applyAlignment="1" applyProtection="1">
      <alignment horizontal="center" vertical="center"/>
      <protection locked="0"/>
    </xf>
    <xf numFmtId="0" fontId="16" fillId="0" borderId="27" xfId="1" applyFont="1" applyBorder="1" applyAlignment="1" applyProtection="1">
      <alignment horizontal="center" vertical="center"/>
      <protection locked="0"/>
    </xf>
    <xf numFmtId="0" fontId="16" fillId="0" borderId="28" xfId="1" applyFont="1" applyBorder="1" applyAlignment="1" applyProtection="1">
      <alignment horizontal="center" vertical="center"/>
      <protection locked="0"/>
    </xf>
    <xf numFmtId="9" fontId="10" fillId="0" borderId="4" xfId="1" applyNumberFormat="1" applyFont="1" applyBorder="1" applyAlignment="1">
      <alignment horizontal="center" vertical="center"/>
    </xf>
    <xf numFmtId="0" fontId="10" fillId="0" borderId="4" xfId="1" applyFont="1" applyBorder="1" applyAlignment="1">
      <alignment horizontal="center" vertical="center"/>
    </xf>
    <xf numFmtId="0" fontId="10" fillId="0" borderId="28" xfId="1" applyFont="1" applyBorder="1" applyAlignment="1">
      <alignment horizontal="center" vertical="center"/>
    </xf>
    <xf numFmtId="0" fontId="16" fillId="0" borderId="4" xfId="1" applyFont="1" applyBorder="1" applyAlignment="1" applyProtection="1">
      <alignment horizontal="center" vertical="center" wrapText="1"/>
      <protection locked="0"/>
    </xf>
    <xf numFmtId="0" fontId="16" fillId="0" borderId="28" xfId="1" applyFont="1" applyBorder="1" applyAlignment="1" applyProtection="1">
      <alignment horizontal="center" vertical="center" wrapText="1"/>
      <protection locked="0"/>
    </xf>
    <xf numFmtId="9" fontId="16" fillId="0" borderId="5" xfId="1" applyNumberFormat="1" applyFont="1" applyBorder="1" applyAlignment="1" applyProtection="1">
      <alignment horizontal="center" vertical="center" wrapText="1"/>
      <protection locked="0"/>
    </xf>
    <xf numFmtId="9" fontId="16" fillId="0" borderId="6" xfId="1" applyNumberFormat="1" applyFont="1" applyBorder="1" applyAlignment="1" applyProtection="1">
      <alignment horizontal="center" vertical="center" wrapText="1"/>
      <protection locked="0"/>
    </xf>
    <xf numFmtId="9" fontId="16" fillId="0" borderId="26" xfId="1" applyNumberFormat="1" applyFont="1" applyBorder="1" applyAlignment="1" applyProtection="1">
      <alignment horizontal="center" vertical="center" wrapText="1"/>
      <protection locked="0"/>
    </xf>
    <xf numFmtId="9" fontId="16" fillId="0" borderId="31" xfId="1" applyNumberFormat="1" applyFont="1" applyBorder="1" applyAlignment="1" applyProtection="1">
      <alignment horizontal="center" vertical="center" wrapText="1"/>
      <protection locked="0"/>
    </xf>
    <xf numFmtId="9" fontId="16" fillId="0" borderId="32" xfId="1" applyNumberFormat="1" applyFont="1" applyBorder="1" applyAlignment="1" applyProtection="1">
      <alignment horizontal="center" vertical="center" wrapText="1"/>
      <protection locked="0"/>
    </xf>
    <xf numFmtId="9" fontId="16" fillId="0" borderId="33" xfId="1" applyNumberFormat="1" applyFont="1" applyBorder="1" applyAlignment="1" applyProtection="1">
      <alignment horizontal="center" vertical="center" wrapText="1"/>
      <protection locked="0"/>
    </xf>
    <xf numFmtId="0" fontId="14" fillId="0" borderId="27" xfId="1" applyFont="1" applyBorder="1" applyAlignment="1" applyProtection="1">
      <alignment horizontal="center" vertical="top" wrapText="1"/>
      <protection locked="0"/>
    </xf>
    <xf numFmtId="0" fontId="14" fillId="0" borderId="28" xfId="1" applyFont="1" applyBorder="1" applyAlignment="1" applyProtection="1">
      <alignment horizontal="center" vertical="top" wrapText="1"/>
      <protection locked="0"/>
    </xf>
    <xf numFmtId="9" fontId="14" fillId="2" borderId="29" xfId="1" applyNumberFormat="1" applyFont="1" applyFill="1" applyBorder="1" applyAlignment="1" applyProtection="1">
      <alignment horizontal="center" vertical="center" wrapText="1"/>
      <protection hidden="1"/>
    </xf>
    <xf numFmtId="9" fontId="14" fillId="2" borderId="30" xfId="1" applyNumberFormat="1" applyFont="1" applyFill="1" applyBorder="1" applyAlignment="1" applyProtection="1">
      <alignment horizontal="center" vertical="center" wrapText="1"/>
      <protection hidden="1"/>
    </xf>
    <xf numFmtId="0" fontId="16" fillId="0" borderId="4" xfId="1" applyFont="1" applyBorder="1" applyAlignment="1" applyProtection="1">
      <alignment horizontal="left" vertical="top"/>
      <protection locked="0"/>
    </xf>
    <xf numFmtId="0" fontId="16" fillId="0" borderId="4" xfId="1" applyFont="1" applyBorder="1" applyAlignment="1" applyProtection="1">
      <alignment horizontal="left" vertical="top" wrapText="1"/>
      <protection locked="0"/>
    </xf>
    <xf numFmtId="0" fontId="14" fillId="0" borderId="24" xfId="1" applyFont="1" applyBorder="1" applyAlignment="1" applyProtection="1">
      <alignment horizontal="center" vertical="top" wrapText="1"/>
      <protection locked="0"/>
    </xf>
    <xf numFmtId="0" fontId="14" fillId="0" borderId="3" xfId="1" applyFont="1" applyBorder="1" applyAlignment="1" applyProtection="1">
      <alignment horizontal="center" vertical="top" wrapText="1"/>
      <protection locked="0"/>
    </xf>
    <xf numFmtId="0" fontId="14" fillId="0" borderId="25" xfId="1" applyFont="1" applyBorder="1" applyAlignment="1" applyProtection="1">
      <alignment horizontal="center" vertical="top" wrapText="1"/>
      <protection locked="0"/>
    </xf>
    <xf numFmtId="0" fontId="14" fillId="0" borderId="21" xfId="1" applyFont="1" applyBorder="1" applyAlignment="1" applyProtection="1">
      <alignment horizontal="center" vertical="top" wrapText="1"/>
      <protection locked="0"/>
    </xf>
    <xf numFmtId="9" fontId="14" fillId="2" borderId="1" xfId="1" applyNumberFormat="1" applyFont="1" applyFill="1" applyBorder="1" applyAlignment="1" applyProtection="1">
      <alignment horizontal="center" vertical="center" wrapText="1"/>
      <protection hidden="1"/>
    </xf>
    <xf numFmtId="9" fontId="14" fillId="2" borderId="3" xfId="1" applyNumberFormat="1" applyFont="1" applyFill="1" applyBorder="1" applyAlignment="1" applyProtection="1">
      <alignment horizontal="center" vertical="center" wrapText="1"/>
      <protection hidden="1"/>
    </xf>
    <xf numFmtId="9" fontId="14" fillId="2" borderId="28" xfId="1" applyNumberFormat="1" applyFont="1" applyFill="1" applyBorder="1" applyAlignment="1" applyProtection="1">
      <alignment horizontal="center" vertical="center" wrapText="1"/>
      <protection hidden="1"/>
    </xf>
    <xf numFmtId="9" fontId="14" fillId="2" borderId="5" xfId="1" applyNumberFormat="1" applyFont="1" applyFill="1" applyBorder="1" applyAlignment="1" applyProtection="1">
      <alignment horizontal="center" vertical="center" wrapText="1"/>
      <protection hidden="1"/>
    </xf>
    <xf numFmtId="9" fontId="14" fillId="2" borderId="6" xfId="1" applyNumberFormat="1" applyFont="1" applyFill="1" applyBorder="1" applyAlignment="1" applyProtection="1">
      <alignment horizontal="center" vertical="center" wrapText="1"/>
      <protection hidden="1"/>
    </xf>
    <xf numFmtId="9" fontId="14" fillId="2" borderId="26" xfId="1" applyNumberFormat="1" applyFont="1" applyFill="1" applyBorder="1" applyAlignment="1" applyProtection="1">
      <alignment horizontal="center" vertical="center" wrapText="1"/>
      <protection hidden="1"/>
    </xf>
    <xf numFmtId="9" fontId="14" fillId="2" borderId="11" xfId="1" applyNumberFormat="1" applyFont="1" applyFill="1" applyBorder="1" applyAlignment="1" applyProtection="1">
      <alignment horizontal="center" vertical="center" wrapText="1"/>
      <protection hidden="1"/>
    </xf>
    <xf numFmtId="9" fontId="14" fillId="2" borderId="0" xfId="1" applyNumberFormat="1" applyFont="1" applyFill="1" applyAlignment="1" applyProtection="1">
      <alignment horizontal="center" vertical="center" wrapText="1"/>
      <protection hidden="1"/>
    </xf>
    <xf numFmtId="9" fontId="14" fillId="2" borderId="23" xfId="1" applyNumberFormat="1" applyFont="1" applyFill="1" applyBorder="1" applyAlignment="1" applyProtection="1">
      <alignment horizontal="center" vertical="center" wrapText="1"/>
      <protection hidden="1"/>
    </xf>
    <xf numFmtId="9" fontId="14" fillId="2" borderId="31" xfId="1" applyNumberFormat="1" applyFont="1" applyFill="1" applyBorder="1" applyAlignment="1" applyProtection="1">
      <alignment horizontal="center" vertical="center" wrapText="1"/>
      <protection hidden="1"/>
    </xf>
    <xf numFmtId="9" fontId="14" fillId="2" borderId="32" xfId="1" applyNumberFormat="1" applyFont="1" applyFill="1" applyBorder="1" applyAlignment="1" applyProtection="1">
      <alignment horizontal="center" vertical="center" wrapText="1"/>
      <protection hidden="1"/>
    </xf>
    <xf numFmtId="9" fontId="14" fillId="2" borderId="33" xfId="1" applyNumberFormat="1" applyFont="1" applyFill="1" applyBorder="1" applyAlignment="1" applyProtection="1">
      <alignment horizontal="center" vertical="center" wrapText="1"/>
      <protection hidden="1"/>
    </xf>
    <xf numFmtId="0" fontId="14" fillId="0" borderId="21" xfId="1" applyFont="1" applyBorder="1" applyAlignment="1" applyProtection="1">
      <alignment horizontal="center" vertical="top"/>
      <protection locked="0"/>
    </xf>
    <xf numFmtId="1" fontId="6" fillId="0" borderId="1" xfId="1" applyNumberFormat="1" applyFont="1" applyFill="1" applyBorder="1" applyAlignment="1">
      <alignment horizontal="center" vertical="center" wrapText="1"/>
    </xf>
    <xf numFmtId="1" fontId="6" fillId="0" borderId="3" xfId="1" applyNumberFormat="1" applyFont="1" applyFill="1" applyBorder="1" applyAlignment="1">
      <alignment horizontal="center" vertical="center" wrapText="1"/>
    </xf>
    <xf numFmtId="1" fontId="6" fillId="0" borderId="5" xfId="1" applyNumberFormat="1" applyFont="1" applyBorder="1" applyAlignment="1">
      <alignment horizontal="center" vertical="center" wrapText="1"/>
    </xf>
    <xf numFmtId="1" fontId="6" fillId="0" borderId="6"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0"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9"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8" fillId="0" borderId="4" xfId="1" applyNumberFormat="1" applyFont="1" applyBorder="1" applyAlignment="1">
      <alignment horizontal="center" vertical="center" wrapText="1"/>
    </xf>
    <xf numFmtId="1" fontId="6" fillId="0" borderId="4" xfId="1" applyNumberFormat="1" applyFont="1" applyFill="1" applyBorder="1" applyAlignment="1">
      <alignment horizontal="center" vertical="center" wrapText="1"/>
    </xf>
    <xf numFmtId="1" fontId="6" fillId="0" borderId="4" xfId="1" applyNumberFormat="1" applyFont="1" applyBorder="1" applyAlignment="1">
      <alignment horizontal="center" vertical="center"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14" fillId="0" borderId="1" xfId="1" applyNumberFormat="1" applyFont="1" applyBorder="1" applyAlignment="1">
      <alignment horizontal="center" vertical="center" wrapText="1"/>
    </xf>
    <xf numFmtId="1" fontId="14" fillId="0" borderId="3" xfId="1" applyNumberFormat="1" applyFont="1" applyBorder="1" applyAlignment="1">
      <alignment horizontal="center" vertical="center" wrapText="1"/>
    </xf>
    <xf numFmtId="0" fontId="16" fillId="0" borderId="14" xfId="1" applyFont="1" applyBorder="1" applyAlignment="1" applyProtection="1">
      <alignment horizontal="center" vertical="top" wrapText="1"/>
      <protection locked="0"/>
    </xf>
    <xf numFmtId="0" fontId="16" fillId="0" borderId="15" xfId="1" applyFont="1" applyBorder="1" applyAlignment="1" applyProtection="1">
      <alignment horizontal="center" vertical="top" wrapText="1"/>
      <protection locked="0"/>
    </xf>
    <xf numFmtId="0" fontId="16" fillId="0" borderId="16" xfId="1" applyFont="1" applyBorder="1" applyAlignment="1" applyProtection="1">
      <alignment horizontal="left" vertical="top" wrapText="1"/>
      <protection locked="0"/>
    </xf>
    <xf numFmtId="0" fontId="16" fillId="0" borderId="17" xfId="1" applyFont="1" applyBorder="1" applyAlignment="1" applyProtection="1">
      <alignment horizontal="left" vertical="top" wrapText="1"/>
      <protection locked="0"/>
    </xf>
    <xf numFmtId="0" fontId="16" fillId="0" borderId="18" xfId="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3" xfId="1" applyFont="1" applyBorder="1" applyAlignment="1" applyProtection="1">
      <alignment horizontal="center" vertical="top"/>
      <protection locked="0"/>
    </xf>
    <xf numFmtId="0" fontId="14" fillId="0" borderId="22" xfId="1" applyFont="1" applyBorder="1" applyAlignment="1" applyProtection="1">
      <alignment horizontal="center" vertical="top"/>
      <protection locked="0"/>
    </xf>
    <xf numFmtId="0" fontId="16" fillId="0" borderId="21" xfId="1" applyFont="1" applyBorder="1" applyAlignment="1" applyProtection="1">
      <alignment horizontal="left" vertical="top"/>
      <protection locked="0"/>
    </xf>
    <xf numFmtId="0" fontId="16" fillId="0" borderId="1" xfId="1" applyFont="1" applyBorder="1" applyAlignment="1" applyProtection="1">
      <alignment horizontal="left" vertical="top" wrapText="1"/>
      <protection locked="0"/>
    </xf>
    <xf numFmtId="0" fontId="16" fillId="0" borderId="2" xfId="1" applyFont="1" applyBorder="1" applyAlignment="1" applyProtection="1">
      <alignment horizontal="left" vertical="top" wrapText="1"/>
      <protection locked="0"/>
    </xf>
    <xf numFmtId="0" fontId="16" fillId="0" borderId="22" xfId="1" applyFont="1" applyBorder="1" applyAlignment="1" applyProtection="1">
      <alignment horizontal="left" vertical="top" wrapText="1"/>
      <protection locked="0"/>
    </xf>
    <xf numFmtId="0" fontId="6" fillId="0" borderId="4" xfId="1" applyFont="1" applyBorder="1" applyAlignment="1">
      <alignment horizontal="left" vertical="top"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0" fontId="6" fillId="0" borderId="4" xfId="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4" xfId="1" applyFont="1" applyBorder="1" applyAlignment="1">
      <alignment horizontal="left"/>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14" fontId="8" fillId="0" borderId="1" xfId="1" applyNumberFormat="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1" fontId="7" fillId="0" borderId="11" xfId="1" applyNumberFormat="1" applyFont="1" applyBorder="1" applyAlignment="1">
      <alignment horizontal="center" vertical="center"/>
    </xf>
    <xf numFmtId="1" fontId="7" fillId="0" borderId="0" xfId="1" applyNumberFormat="1" applyFont="1" applyAlignment="1">
      <alignment horizontal="center" vertical="center"/>
    </xf>
    <xf numFmtId="0" fontId="16" fillId="0" borderId="4" xfId="1" applyFont="1" applyBorder="1" applyAlignment="1" applyProtection="1">
      <alignment horizontal="center" vertical="top" wrapText="1"/>
      <protection locked="0"/>
    </xf>
    <xf numFmtId="0" fontId="16" fillId="0" borderId="1" xfId="1" applyFont="1" applyBorder="1" applyAlignment="1">
      <alignment horizontal="left" vertical="top"/>
    </xf>
    <xf numFmtId="0" fontId="16" fillId="0" borderId="2" xfId="1" applyFont="1" applyBorder="1" applyAlignment="1">
      <alignment horizontal="left" vertical="top"/>
    </xf>
    <xf numFmtId="0" fontId="16" fillId="0" borderId="3" xfId="1" applyFont="1" applyBorder="1" applyAlignment="1">
      <alignment horizontal="left" vertical="top"/>
    </xf>
    <xf numFmtId="0" fontId="16" fillId="0" borderId="1" xfId="1" applyFont="1" applyBorder="1" applyAlignment="1">
      <alignment horizontal="left" vertical="top" wrapText="1"/>
    </xf>
    <xf numFmtId="0" fontId="16" fillId="0" borderId="2" xfId="1" applyFont="1" applyBorder="1" applyAlignment="1">
      <alignment horizontal="left" vertical="top" wrapText="1"/>
    </xf>
    <xf numFmtId="0" fontId="16" fillId="0" borderId="3" xfId="1" applyFont="1" applyBorder="1" applyAlignment="1">
      <alignment horizontal="left" vertical="top"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6" fillId="2" borderId="1" xfId="1" applyFont="1" applyFill="1" applyBorder="1" applyAlignment="1">
      <alignment horizontal="left" vertical="top" wrapText="1"/>
    </xf>
    <xf numFmtId="0" fontId="6" fillId="2" borderId="2" xfId="1" applyFont="1" applyFill="1" applyBorder="1" applyAlignment="1">
      <alignment horizontal="left" vertical="top" wrapText="1"/>
    </xf>
    <xf numFmtId="0" fontId="6" fillId="2" borderId="3" xfId="1" applyFont="1" applyFill="1" applyBorder="1" applyAlignment="1">
      <alignment horizontal="left" vertical="top" wrapText="1"/>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4" fillId="0" borderId="2" xfId="1" applyFont="1" applyBorder="1" applyAlignment="1">
      <alignment horizontal="left" vertical="top"/>
    </xf>
    <xf numFmtId="0" fontId="14" fillId="0" borderId="3" xfId="1" applyFont="1" applyBorder="1" applyAlignment="1">
      <alignment horizontal="left" vertical="top"/>
    </xf>
    <xf numFmtId="0" fontId="6" fillId="2" borderId="4" xfId="1" applyFont="1" applyFill="1" applyBorder="1" applyAlignment="1">
      <alignment horizontal="left" vertical="top"/>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8" fillId="0" borderId="4" xfId="1" applyFont="1" applyBorder="1" applyAlignment="1">
      <alignment horizontal="left" vertical="top"/>
    </xf>
    <xf numFmtId="0" fontId="14" fillId="0" borderId="4" xfId="1" applyFont="1" applyBorder="1" applyAlignment="1" applyProtection="1">
      <alignment horizontal="left" vertical="center" wrapText="1"/>
      <protection locked="0"/>
    </xf>
    <xf numFmtId="0" fontId="26" fillId="0" borderId="4" xfId="8" applyBorder="1" applyAlignment="1">
      <alignment horizontal="left" vertical="top"/>
    </xf>
    <xf numFmtId="165" fontId="6" fillId="0" borderId="4" xfId="1" applyNumberFormat="1" applyFont="1" applyBorder="1" applyAlignment="1">
      <alignment horizontal="left" vertical="top"/>
    </xf>
    <xf numFmtId="2" fontId="6" fillId="0" borderId="1" xfId="1" applyNumberFormat="1" applyFont="1" applyBorder="1" applyAlignment="1">
      <alignment horizontal="left" vertical="top"/>
    </xf>
    <xf numFmtId="2" fontId="6" fillId="0" borderId="2" xfId="1" applyNumberFormat="1" applyFont="1" applyBorder="1" applyAlignment="1">
      <alignment horizontal="left" vertical="top"/>
    </xf>
    <xf numFmtId="2" fontId="6" fillId="0" borderId="3" xfId="1" applyNumberFormat="1" applyFont="1" applyBorder="1" applyAlignment="1">
      <alignment horizontal="left" vertical="top"/>
    </xf>
    <xf numFmtId="0" fontId="14" fillId="0" borderId="1" xfId="1" applyFont="1" applyBorder="1" applyAlignment="1">
      <alignment horizontal="left" vertical="top"/>
    </xf>
    <xf numFmtId="165" fontId="6" fillId="0" borderId="4" xfId="1" applyNumberFormat="1" applyFont="1" applyBorder="1" applyAlignment="1">
      <alignment horizontal="left" vertical="top" wrapText="1"/>
    </xf>
    <xf numFmtId="0" fontId="14" fillId="2" borderId="1" xfId="1" applyFont="1" applyFill="1" applyBorder="1" applyAlignment="1">
      <alignment horizontal="left" vertical="top" wrapText="1"/>
    </xf>
    <xf numFmtId="0" fontId="14" fillId="2" borderId="2" xfId="1" applyFont="1" applyFill="1" applyBorder="1" applyAlignment="1">
      <alignment horizontal="left" vertical="top" wrapText="1"/>
    </xf>
    <xf numFmtId="0" fontId="14" fillId="2" borderId="3" xfId="1" applyFont="1" applyFill="1" applyBorder="1" applyAlignment="1">
      <alignment horizontal="left" vertical="top" wrapText="1"/>
    </xf>
    <xf numFmtId="14" fontId="14" fillId="0" borderId="1" xfId="1" applyNumberFormat="1" applyFont="1" applyBorder="1" applyAlignment="1">
      <alignment horizontal="left" vertical="top" wrapText="1"/>
    </xf>
    <xf numFmtId="0" fontId="14" fillId="2" borderId="2" xfId="1" applyFont="1" applyFill="1" applyBorder="1" applyAlignment="1">
      <alignment horizontal="left" vertical="top"/>
    </xf>
    <xf numFmtId="0" fontId="14" fillId="2" borderId="3" xfId="1" applyFont="1" applyFill="1" applyBorder="1" applyAlignment="1">
      <alignment horizontal="left" vertical="top"/>
    </xf>
    <xf numFmtId="0" fontId="8" fillId="0" borderId="5"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10" xfId="1" applyFont="1" applyBorder="1" applyAlignment="1">
      <alignment horizontal="left" vertical="top" wrapText="1"/>
    </xf>
    <xf numFmtId="14" fontId="6" fillId="0" borderId="4" xfId="1" applyNumberFormat="1" applyFont="1" applyBorder="1" applyAlignment="1">
      <alignment horizontal="center" vertical="top"/>
    </xf>
    <xf numFmtId="0" fontId="6" fillId="0" borderId="4" xfId="1" applyFont="1" applyBorder="1" applyAlignment="1">
      <alignment horizontal="center" vertical="top"/>
    </xf>
    <xf numFmtId="0" fontId="7" fillId="0" borderId="3" xfId="1" applyFont="1" applyBorder="1" applyAlignment="1">
      <alignment horizontal="left"/>
    </xf>
    <xf numFmtId="14" fontId="14" fillId="0" borderId="1" xfId="1" applyNumberFormat="1" applyFont="1" applyBorder="1" applyAlignment="1">
      <alignment horizontal="left" vertical="top"/>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0" fontId="14" fillId="0" borderId="1" xfId="1" applyFont="1" applyBorder="1" applyAlignment="1">
      <alignment horizontal="center" vertical="top"/>
    </xf>
    <xf numFmtId="0" fontId="14" fillId="0" borderId="3" xfId="1" applyFont="1" applyBorder="1" applyAlignment="1">
      <alignment horizontal="center" vertical="top"/>
    </xf>
    <xf numFmtId="0" fontId="14" fillId="0" borderId="1" xfId="1" applyFont="1" applyBorder="1" applyAlignment="1">
      <alignment horizontal="center" vertical="top" wrapText="1"/>
    </xf>
    <xf numFmtId="0" fontId="14" fillId="0" borderId="3" xfId="1" applyFont="1" applyBorder="1" applyAlignment="1">
      <alignment horizontal="center" vertical="top" wrapText="1"/>
    </xf>
    <xf numFmtId="0" fontId="6" fillId="2" borderId="1" xfId="1" applyFont="1" applyFill="1" applyBorder="1" applyAlignment="1">
      <alignment horizontal="left" vertical="top"/>
    </xf>
    <xf numFmtId="0" fontId="6" fillId="2" borderId="2" xfId="1" applyFont="1" applyFill="1" applyBorder="1" applyAlignment="1">
      <alignment horizontal="left" vertical="top"/>
    </xf>
    <xf numFmtId="0" fontId="6" fillId="2" borderId="3" xfId="1" applyFont="1" applyFill="1" applyBorder="1" applyAlignment="1">
      <alignment horizontal="left" vertical="top"/>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1" fontId="6" fillId="0" borderId="1" xfId="0" applyNumberFormat="1" applyFont="1" applyBorder="1" applyAlignment="1">
      <alignment horizontal="center" vertical="center"/>
    </xf>
    <xf numFmtId="1" fontId="6" fillId="0" borderId="3" xfId="0" applyNumberFormat="1" applyFont="1" applyBorder="1" applyAlignment="1">
      <alignment horizontal="center" vertical="center"/>
    </xf>
    <xf numFmtId="1" fontId="6" fillId="0" borderId="2" xfId="1" applyNumberFormat="1" applyFont="1" applyBorder="1" applyAlignment="1">
      <alignment horizontal="center" vertical="center" wrapText="1"/>
    </xf>
    <xf numFmtId="1" fontId="8" fillId="0" borderId="1" xfId="0" applyNumberFormat="1" applyFont="1" applyBorder="1" applyAlignment="1">
      <alignment horizontal="center" vertical="center"/>
    </xf>
    <xf numFmtId="1" fontId="8" fillId="0" borderId="3" xfId="0" applyNumberFormat="1" applyFont="1" applyBorder="1" applyAlignment="1">
      <alignment horizontal="center" vertical="center"/>
    </xf>
    <xf numFmtId="1" fontId="16" fillId="0" borderId="1" xfId="0" applyNumberFormat="1" applyFont="1" applyBorder="1" applyAlignment="1">
      <alignment horizontal="center" vertical="top" wrapText="1"/>
    </xf>
    <xf numFmtId="1" fontId="16" fillId="0" borderId="2" xfId="0" applyNumberFormat="1" applyFont="1" applyBorder="1" applyAlignment="1">
      <alignment horizontal="center" vertical="top" wrapText="1"/>
    </xf>
    <xf numFmtId="1" fontId="16" fillId="0" borderId="3" xfId="0" applyNumberFormat="1" applyFont="1" applyBorder="1" applyAlignment="1">
      <alignment horizontal="center" vertical="top" wrapText="1"/>
    </xf>
    <xf numFmtId="0" fontId="8" fillId="0" borderId="4" xfId="1" applyFont="1" applyBorder="1" applyAlignment="1">
      <alignment horizontal="center" vertical="top"/>
    </xf>
    <xf numFmtId="1" fontId="16" fillId="0" borderId="4" xfId="1" applyNumberFormat="1" applyFont="1" applyBorder="1" applyAlignment="1">
      <alignment horizontal="center" vertical="top" wrapText="1"/>
    </xf>
    <xf numFmtId="1" fontId="6" fillId="0" borderId="1" xfId="0" applyNumberFormat="1" applyFont="1" applyBorder="1" applyAlignment="1">
      <alignment vertical="center"/>
    </xf>
    <xf numFmtId="1" fontId="6" fillId="0" borderId="3" xfId="0" applyNumberFormat="1" applyFont="1" applyBorder="1" applyAlignment="1">
      <alignment vertical="center"/>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1" fontId="14" fillId="0" borderId="2" xfId="1" applyNumberFormat="1" applyFont="1" applyBorder="1" applyAlignment="1">
      <alignment horizontal="center" vertical="center" wrapText="1"/>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1" fontId="7" fillId="0" borderId="4" xfId="1" applyNumberFormat="1" applyFont="1" applyBorder="1" applyAlignment="1">
      <alignment horizontal="center" vertical="center"/>
    </xf>
    <xf numFmtId="1" fontId="8" fillId="0" borderId="4" xfId="0" applyNumberFormat="1" applyFont="1" applyBorder="1" applyAlignment="1">
      <alignment horizontal="left" vertical="top" wrapText="1"/>
    </xf>
    <xf numFmtId="0" fontId="16" fillId="0" borderId="4" xfId="2" applyFont="1" applyBorder="1" applyAlignment="1">
      <alignment horizontal="left" vertical="top" wrapText="1"/>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20" fillId="0" borderId="4" xfId="1" applyFont="1" applyBorder="1" applyAlignment="1">
      <alignment horizontal="center" vertical="top" wrapText="1"/>
    </xf>
    <xf numFmtId="0" fontId="8" fillId="0" borderId="5" xfId="1" applyFont="1" applyBorder="1" applyAlignment="1">
      <alignment horizontal="center" vertical="top" wrapText="1"/>
    </xf>
    <xf numFmtId="0" fontId="8" fillId="0" borderId="6" xfId="1" applyFont="1" applyBorder="1" applyAlignment="1">
      <alignment horizontal="center" vertical="top" wrapText="1"/>
    </xf>
    <xf numFmtId="0" fontId="8" fillId="0" borderId="7" xfId="1" applyFont="1" applyBorder="1" applyAlignment="1">
      <alignment horizontal="center" vertical="top" wrapText="1"/>
    </xf>
    <xf numFmtId="0" fontId="8" fillId="0" borderId="11" xfId="1" applyFont="1" applyBorder="1" applyAlignment="1">
      <alignment horizontal="center" vertical="top" wrapText="1"/>
    </xf>
    <xf numFmtId="0" fontId="8" fillId="0" borderId="0" xfId="1" applyFont="1" applyAlignment="1">
      <alignment horizontal="center" vertical="top" wrapText="1"/>
    </xf>
    <xf numFmtId="0" fontId="8" fillId="0" borderId="12" xfId="1" applyFont="1" applyBorder="1" applyAlignment="1">
      <alignment horizontal="center" vertical="top" wrapText="1"/>
    </xf>
    <xf numFmtId="0" fontId="8" fillId="0" borderId="8" xfId="1" applyFont="1" applyBorder="1" applyAlignment="1">
      <alignment horizontal="center" vertical="top" wrapText="1"/>
    </xf>
    <xf numFmtId="0" fontId="8" fillId="0" borderId="9" xfId="1" applyFont="1" applyBorder="1" applyAlignment="1">
      <alignment horizontal="center" vertical="top" wrapText="1"/>
    </xf>
    <xf numFmtId="0" fontId="8" fillId="0" borderId="10" xfId="1" applyFont="1" applyBorder="1" applyAlignment="1">
      <alignment horizontal="center" vertical="top" wrapText="1"/>
    </xf>
    <xf numFmtId="0" fontId="7" fillId="3" borderId="11" xfId="1" applyFont="1" applyFill="1" applyBorder="1" applyAlignment="1">
      <alignment horizontal="center" vertical="center" wrapText="1"/>
    </xf>
    <xf numFmtId="0" fontId="7" fillId="3" borderId="0" xfId="1" applyFont="1" applyFill="1" applyAlignment="1">
      <alignment horizontal="center" vertical="center" wrapText="1"/>
    </xf>
    <xf numFmtId="0" fontId="9" fillId="0" borderId="4" xfId="6" applyFont="1" applyBorder="1" applyAlignment="1">
      <alignment horizontal="left"/>
    </xf>
    <xf numFmtId="0" fontId="18" fillId="0" borderId="4" xfId="0" applyFont="1" applyBorder="1" applyAlignment="1">
      <alignment horizontal="center"/>
    </xf>
    <xf numFmtId="0" fontId="18" fillId="0" borderId="4" xfId="0" applyFont="1" applyBorder="1" applyAlignment="1">
      <alignment horizontal="left"/>
    </xf>
    <xf numFmtId="0" fontId="18" fillId="3" borderId="4" xfId="0" applyFont="1" applyFill="1" applyBorder="1" applyAlignment="1">
      <alignment horizontal="center"/>
    </xf>
    <xf numFmtId="0" fontId="17" fillId="0" borderId="4" xfId="0" applyFont="1" applyBorder="1" applyAlignment="1">
      <alignment horizontal="center"/>
    </xf>
    <xf numFmtId="0" fontId="0" fillId="3" borderId="4" xfId="0" applyFill="1" applyBorder="1" applyAlignment="1">
      <alignment horizontal="center" wrapText="1"/>
    </xf>
    <xf numFmtId="0" fontId="9" fillId="0" borderId="4" xfId="0" applyFont="1" applyBorder="1" applyAlignment="1">
      <alignment horizontal="center"/>
    </xf>
    <xf numFmtId="0" fontId="7" fillId="0" borderId="5" xfId="1" applyFont="1" applyBorder="1" applyAlignment="1">
      <alignment horizontal="center" vertical="top" wrapText="1"/>
    </xf>
    <xf numFmtId="0" fontId="7" fillId="0" borderId="7" xfId="1" applyFont="1" applyBorder="1" applyAlignment="1">
      <alignment horizontal="center" vertical="top" wrapText="1"/>
    </xf>
    <xf numFmtId="0" fontId="7" fillId="0" borderId="11" xfId="1" applyFont="1" applyBorder="1" applyAlignment="1">
      <alignment horizontal="center" vertical="top" wrapText="1"/>
    </xf>
    <xf numFmtId="0" fontId="7" fillId="0" borderId="12" xfId="1" applyFont="1" applyBorder="1" applyAlignment="1">
      <alignment horizontal="center" vertical="top" wrapText="1"/>
    </xf>
    <xf numFmtId="0" fontId="7" fillId="0" borderId="8" xfId="1" applyFont="1" applyBorder="1" applyAlignment="1">
      <alignment horizontal="center" vertical="top" wrapText="1"/>
    </xf>
    <xf numFmtId="0" fontId="7" fillId="0" borderId="10" xfId="1" applyFont="1" applyBorder="1" applyAlignment="1">
      <alignment horizontal="center" vertical="top" wrapText="1"/>
    </xf>
    <xf numFmtId="0" fontId="7" fillId="0" borderId="1" xfId="1" applyFont="1" applyBorder="1" applyAlignment="1">
      <alignment horizontal="center"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1" xfId="1" applyFont="1" applyBorder="1" applyAlignment="1">
      <alignment horizontal="center"/>
    </xf>
    <xf numFmtId="0" fontId="7" fillId="0" borderId="2" xfId="1" applyFont="1" applyBorder="1" applyAlignment="1">
      <alignment horizontal="center"/>
    </xf>
    <xf numFmtId="0" fontId="7" fillId="0" borderId="3" xfId="1" applyFont="1" applyBorder="1" applyAlignment="1">
      <alignment horizontal="center"/>
    </xf>
    <xf numFmtId="9" fontId="7" fillId="2" borderId="1" xfId="1" applyNumberFormat="1" applyFont="1" applyFill="1" applyBorder="1" applyAlignment="1">
      <alignment horizontal="center"/>
    </xf>
    <xf numFmtId="0" fontId="7" fillId="2" borderId="3" xfId="1" applyFont="1" applyFill="1" applyBorder="1" applyAlignment="1">
      <alignment horizontal="center"/>
    </xf>
    <xf numFmtId="9" fontId="7" fillId="2" borderId="3" xfId="1" applyNumberFormat="1" applyFont="1" applyFill="1" applyBorder="1" applyAlignment="1">
      <alignment horizontal="center"/>
    </xf>
    <xf numFmtId="0" fontId="7" fillId="0" borderId="6" xfId="1" applyFont="1" applyBorder="1" applyAlignment="1">
      <alignment horizontal="center" vertical="top" wrapText="1"/>
    </xf>
    <xf numFmtId="0" fontId="7" fillId="0" borderId="0" xfId="1" applyFont="1" applyAlignment="1">
      <alignment horizontal="center" vertical="top" wrapText="1"/>
    </xf>
    <xf numFmtId="0" fontId="7" fillId="0" borderId="9" xfId="1" applyFont="1" applyBorder="1" applyAlignment="1">
      <alignment horizontal="center" vertical="top" wrapText="1"/>
    </xf>
    <xf numFmtId="9" fontId="7" fillId="2" borderId="1" xfId="1" applyNumberFormat="1" applyFont="1" applyFill="1" applyBorder="1" applyAlignment="1">
      <alignment horizontal="center" vertical="top" wrapText="1"/>
    </xf>
    <xf numFmtId="9" fontId="7" fillId="2" borderId="3" xfId="1" applyNumberFormat="1" applyFont="1" applyFill="1" applyBorder="1" applyAlignment="1">
      <alignment horizontal="center" vertical="top" wrapText="1"/>
    </xf>
    <xf numFmtId="165" fontId="6" fillId="0" borderId="1" xfId="1" applyNumberFormat="1" applyFont="1" applyBorder="1" applyAlignment="1">
      <alignment horizontal="left" vertical="top"/>
    </xf>
    <xf numFmtId="165" fontId="6" fillId="0" borderId="2" xfId="1" applyNumberFormat="1" applyFont="1" applyBorder="1" applyAlignment="1">
      <alignment horizontal="left" vertical="top"/>
    </xf>
    <xf numFmtId="165" fontId="6" fillId="0" borderId="3" xfId="1" applyNumberFormat="1" applyFont="1" applyBorder="1" applyAlignment="1">
      <alignment horizontal="left" vertical="top"/>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165" fontId="6" fillId="0" borderId="1" xfId="1" applyNumberFormat="1" applyFont="1" applyBorder="1" applyAlignment="1">
      <alignment horizontal="left" vertical="top" wrapText="1"/>
    </xf>
    <xf numFmtId="165" fontId="6" fillId="0" borderId="2" xfId="1" applyNumberFormat="1" applyFont="1" applyBorder="1" applyAlignment="1">
      <alignment horizontal="left" vertical="top" wrapText="1"/>
    </xf>
    <xf numFmtId="165" fontId="6" fillId="0" borderId="3" xfId="1" applyNumberFormat="1" applyFont="1" applyBorder="1" applyAlignment="1">
      <alignment horizontal="left" vertical="top" wrapText="1"/>
    </xf>
    <xf numFmtId="0" fontId="4" fillId="2" borderId="4" xfId="1" applyFont="1" applyFill="1" applyBorder="1" applyAlignment="1">
      <alignment horizontal="left" vertical="top" wrapText="1"/>
    </xf>
    <xf numFmtId="0" fontId="6" fillId="2" borderId="4" xfId="1" applyFont="1" applyFill="1" applyBorder="1" applyAlignment="1">
      <alignment horizontal="left" vertical="top" wrapText="1"/>
    </xf>
    <xf numFmtId="0" fontId="14" fillId="0" borderId="2" xfId="1" applyFont="1" applyBorder="1" applyAlignment="1">
      <alignment horizontal="center" vertical="top" wrapText="1"/>
    </xf>
    <xf numFmtId="0" fontId="6" fillId="0" borderId="1" xfId="1" applyFont="1" applyBorder="1" applyAlignment="1">
      <alignment horizontal="center" vertical="top" wrapText="1"/>
    </xf>
    <xf numFmtId="0" fontId="6" fillId="0" borderId="2" xfId="1" applyFont="1" applyBorder="1" applyAlignment="1">
      <alignment horizontal="center" vertical="top" wrapText="1"/>
    </xf>
    <xf numFmtId="0" fontId="6" fillId="0" borderId="3" xfId="1" applyFont="1" applyBorder="1" applyAlignment="1">
      <alignment horizontal="center" vertical="top" wrapText="1"/>
    </xf>
    <xf numFmtId="0" fontId="14" fillId="0" borderId="2" xfId="1" applyFont="1" applyBorder="1" applyAlignment="1">
      <alignment horizontal="center" vertical="top"/>
    </xf>
    <xf numFmtId="1" fontId="6" fillId="0" borderId="1" xfId="0" applyNumberFormat="1" applyFont="1" applyBorder="1" applyAlignment="1">
      <alignment vertical="center" wrapText="1"/>
    </xf>
    <xf numFmtId="1" fontId="6" fillId="0" borderId="3" xfId="0" applyNumberFormat="1" applyFont="1" applyBorder="1" applyAlignment="1">
      <alignment vertical="center" wrapText="1"/>
    </xf>
    <xf numFmtId="1" fontId="16" fillId="0" borderId="1" xfId="1" applyNumberFormat="1" applyFont="1" applyBorder="1" applyAlignment="1">
      <alignment horizontal="center" vertical="top" wrapText="1"/>
    </xf>
    <xf numFmtId="1" fontId="16" fillId="0" borderId="3" xfId="1" applyNumberFormat="1" applyFont="1" applyBorder="1" applyAlignment="1">
      <alignment horizontal="center" vertical="top" wrapText="1"/>
    </xf>
    <xf numFmtId="0" fontId="8" fillId="0" borderId="1" xfId="1" applyFont="1" applyBorder="1" applyAlignment="1">
      <alignment horizontal="left" vertical="top" wrapText="1"/>
    </xf>
    <xf numFmtId="1" fontId="13" fillId="0" borderId="1" xfId="1" applyNumberFormat="1" applyFont="1" applyBorder="1" applyAlignment="1">
      <alignment horizontal="center" vertical="center" wrapText="1"/>
    </xf>
    <xf numFmtId="1" fontId="13" fillId="0" borderId="3" xfId="1" applyNumberFormat="1" applyFont="1" applyBorder="1" applyAlignment="1">
      <alignment horizontal="center" vertical="center" wrapText="1"/>
    </xf>
  </cellXfs>
  <cellStyles count="9">
    <cellStyle name="Comma 2" xfId="7" xr:uid="{00000000-0005-0000-0000-000000000000}"/>
    <cellStyle name="Excel Built-in Normal" xfId="2" xr:uid="{00000000-0005-0000-0000-000001000000}"/>
    <cellStyle name="Excel Built-in Normal 2" xfId="5" xr:uid="{00000000-0005-0000-0000-000002000000}"/>
    <cellStyle name="Hyperlink" xfId="8" builtinId="8"/>
    <cellStyle name="Normal" xfId="0" builtinId="0"/>
    <cellStyle name="Normal 2" xfId="3" xr:uid="{00000000-0005-0000-0000-000005000000}"/>
    <cellStyle name="Normal 3" xfId="1" xr:uid="{00000000-0005-0000-0000-000006000000}"/>
    <cellStyle name="Normal 4" xfId="6" xr:uid="{00000000-0005-0000-0000-000007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4.jpg"/><Relationship Id="rId1" Type="http://schemas.openxmlformats.org/officeDocument/2006/relationships/image" Target="../media/image33.jpg"/></Relationships>
</file>

<file path=xl/drawings/_rels/drawing3.xml.rels><?xml version="1.0" encoding="UTF-8" standalone="yes"?>
<Relationships xmlns="http://schemas.openxmlformats.org/package/2006/relationships"><Relationship Id="rId8" Type="http://schemas.openxmlformats.org/officeDocument/2006/relationships/image" Target="../media/image42.jpeg"/><Relationship Id="rId3" Type="http://schemas.openxmlformats.org/officeDocument/2006/relationships/image" Target="../media/image37.jpeg"/><Relationship Id="rId7" Type="http://schemas.openxmlformats.org/officeDocument/2006/relationships/image" Target="../media/image41.jpeg"/><Relationship Id="rId2" Type="http://schemas.openxmlformats.org/officeDocument/2006/relationships/image" Target="../media/image36.png"/><Relationship Id="rId1" Type="http://schemas.openxmlformats.org/officeDocument/2006/relationships/image" Target="../media/image35.jpeg"/><Relationship Id="rId6" Type="http://schemas.openxmlformats.org/officeDocument/2006/relationships/image" Target="../media/image40.jpeg"/><Relationship Id="rId5" Type="http://schemas.openxmlformats.org/officeDocument/2006/relationships/image" Target="../media/image39.jpeg"/><Relationship Id="rId4" Type="http://schemas.openxmlformats.org/officeDocument/2006/relationships/image" Target="../media/image3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1.png"/></Relationships>
</file>

<file path=xl/drawings/drawing1.xml><?xml version="1.0" encoding="utf-8"?>
<xdr:wsDr xmlns:xdr="http://schemas.openxmlformats.org/drawingml/2006/spreadsheetDrawing" xmlns:a="http://schemas.openxmlformats.org/drawingml/2006/main">
  <xdr:twoCellAnchor editAs="oneCell">
    <xdr:from>
      <xdr:col>1</xdr:col>
      <xdr:colOff>657920</xdr:colOff>
      <xdr:row>351</xdr:row>
      <xdr:rowOff>73398</xdr:rowOff>
    </xdr:from>
    <xdr:to>
      <xdr:col>7</xdr:col>
      <xdr:colOff>247650</xdr:colOff>
      <xdr:row>364</xdr:row>
      <xdr:rowOff>114282</xdr:rowOff>
    </xdr:to>
    <xdr:pic>
      <xdr:nvPicPr>
        <xdr:cNvPr id="55" name="Picture 54">
          <a:extLst>
            <a:ext uri="{FF2B5EF4-FFF2-40B4-BE49-F238E27FC236}">
              <a16:creationId xmlns:a16="http://schemas.microsoft.com/office/drawing/2014/main" id="{00000000-0008-0000-0000-000037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277045" y="62404998"/>
          <a:ext cx="3609280" cy="2641209"/>
        </a:xfrm>
        <a:prstGeom prst="rect">
          <a:avLst/>
        </a:prstGeom>
        <a:ln>
          <a:solidFill>
            <a:schemeClr val="tx1"/>
          </a:solidFill>
        </a:ln>
      </xdr:spPr>
    </xdr:pic>
    <xdr:clientData/>
  </xdr:twoCellAnchor>
  <xdr:twoCellAnchor>
    <xdr:from>
      <xdr:col>4</xdr:col>
      <xdr:colOff>34922</xdr:colOff>
      <xdr:row>292</xdr:row>
      <xdr:rowOff>90211</xdr:rowOff>
    </xdr:from>
    <xdr:to>
      <xdr:col>4</xdr:col>
      <xdr:colOff>219653</xdr:colOff>
      <xdr:row>294</xdr:row>
      <xdr:rowOff>56131</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3161363" y="51816564"/>
          <a:ext cx="184731"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b="1">
            <a:solidFill>
              <a:srgbClr val="FF0000"/>
            </a:solidFill>
          </a:endParaRPr>
        </a:p>
      </xdr:txBody>
    </xdr:sp>
    <xdr:clientData/>
  </xdr:twoCellAnchor>
  <xdr:twoCellAnchor>
    <xdr:from>
      <xdr:col>1</xdr:col>
      <xdr:colOff>57150</xdr:colOff>
      <xdr:row>365</xdr:row>
      <xdr:rowOff>57150</xdr:rowOff>
    </xdr:from>
    <xdr:to>
      <xdr:col>7</xdr:col>
      <xdr:colOff>712226</xdr:colOff>
      <xdr:row>382</xdr:row>
      <xdr:rowOff>9525</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676275" y="76923900"/>
          <a:ext cx="4674626" cy="3352800"/>
          <a:chOff x="676275" y="65189100"/>
          <a:chExt cx="4674626" cy="3352800"/>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76275" y="65189100"/>
            <a:ext cx="4674626" cy="3352800"/>
          </a:xfrm>
          <a:prstGeom prst="rect">
            <a:avLst/>
          </a:prstGeom>
          <a:ln>
            <a:solidFill>
              <a:schemeClr val="tx1"/>
            </a:solidFill>
          </a:ln>
        </xdr:spPr>
      </xdr:pic>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67100" y="66646425"/>
            <a:ext cx="503599"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IN" sz="2400" b="1">
                <a:solidFill>
                  <a:srgbClr val="FF0000"/>
                </a:solidFill>
                <a:latin typeface="+mn-lt"/>
                <a:ea typeface="+mn-ea"/>
                <a:cs typeface="+mn-cs"/>
              </a:rPr>
              <a:t>C3</a:t>
            </a:r>
          </a:p>
        </xdr:txBody>
      </xdr:sp>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2657475" y="65951100"/>
            <a:ext cx="513217"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IN" sz="2400" b="1">
                <a:solidFill>
                  <a:srgbClr val="FF0000"/>
                </a:solidFill>
                <a:latin typeface="+mn-lt"/>
                <a:ea typeface="+mn-ea"/>
                <a:cs typeface="+mn-cs"/>
              </a:rPr>
              <a:t>B1</a:t>
            </a:r>
          </a:p>
        </xdr:txBody>
      </xdr:sp>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3400425" y="67322700"/>
            <a:ext cx="503599"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400" b="1">
                <a:solidFill>
                  <a:srgbClr val="FF0000"/>
                </a:solidFill>
              </a:rPr>
              <a:t>C2</a:t>
            </a:r>
          </a:p>
        </xdr:txBody>
      </xdr:sp>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3295650" y="65865375"/>
            <a:ext cx="513217"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IN" sz="2400" b="1">
                <a:solidFill>
                  <a:srgbClr val="FF0000"/>
                </a:solidFill>
                <a:latin typeface="+mn-lt"/>
                <a:ea typeface="+mn-ea"/>
                <a:cs typeface="+mn-cs"/>
              </a:rPr>
              <a:t>B2</a:t>
            </a:r>
          </a:p>
        </xdr:txBody>
      </xdr:sp>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1885950" y="66675000"/>
            <a:ext cx="527196"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IN" sz="2400" b="1">
                <a:solidFill>
                  <a:srgbClr val="FF0000"/>
                </a:solidFill>
                <a:latin typeface="+mn-lt"/>
                <a:ea typeface="+mn-ea"/>
                <a:cs typeface="+mn-cs"/>
              </a:rPr>
              <a:t>A2</a:t>
            </a:r>
          </a:p>
        </xdr:txBody>
      </xdr:sp>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1828800" y="67313175"/>
            <a:ext cx="527196"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IN" sz="2400" b="1">
                <a:solidFill>
                  <a:srgbClr val="FF0000"/>
                </a:solidFill>
                <a:latin typeface="+mn-lt"/>
                <a:ea typeface="+mn-ea"/>
                <a:cs typeface="+mn-cs"/>
              </a:rPr>
              <a:t>A1</a:t>
            </a:r>
          </a:p>
        </xdr:txBody>
      </xdr:sp>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2905125" y="67398900"/>
            <a:ext cx="503599"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IN" sz="2400" b="1">
                <a:solidFill>
                  <a:srgbClr val="FF0000"/>
                </a:solidFill>
                <a:latin typeface="+mn-lt"/>
                <a:ea typeface="+mn-ea"/>
                <a:cs typeface="+mn-cs"/>
              </a:rPr>
              <a:t>C1</a:t>
            </a:r>
          </a:p>
        </xdr:txBody>
      </xdr:sp>
    </xdr:grpSp>
    <xdr:clientData/>
  </xdr:twoCellAnchor>
  <xdr:twoCellAnchor editAs="oneCell">
    <xdr:from>
      <xdr:col>10</xdr:col>
      <xdr:colOff>933450</xdr:colOff>
      <xdr:row>286</xdr:row>
      <xdr:rowOff>28575</xdr:rowOff>
    </xdr:from>
    <xdr:to>
      <xdr:col>17</xdr:col>
      <xdr:colOff>511537</xdr:colOff>
      <xdr:row>318</xdr:row>
      <xdr:rowOff>114125</xdr:rowOff>
    </xdr:to>
    <xdr:pic>
      <xdr:nvPicPr>
        <xdr:cNvPr id="65" name="Pictur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105650" y="57731025"/>
          <a:ext cx="4854937" cy="6480000"/>
        </a:xfrm>
        <a:prstGeom prst="rect">
          <a:avLst/>
        </a:prstGeom>
        <a:ln>
          <a:solidFill>
            <a:schemeClr val="tx1"/>
          </a:solidFill>
        </a:ln>
      </xdr:spPr>
    </xdr:pic>
    <xdr:clientData/>
  </xdr:twoCellAnchor>
  <xdr:twoCellAnchor>
    <xdr:from>
      <xdr:col>4</xdr:col>
      <xdr:colOff>34922</xdr:colOff>
      <xdr:row>334</xdr:row>
      <xdr:rowOff>90211</xdr:rowOff>
    </xdr:from>
    <xdr:to>
      <xdr:col>4</xdr:col>
      <xdr:colOff>219653</xdr:colOff>
      <xdr:row>336</xdr:row>
      <xdr:rowOff>56131</xdr:rowOff>
    </xdr:to>
    <xdr:sp macro="" textlink="">
      <xdr:nvSpPr>
        <xdr:cNvPr id="37" name="Rectangle 36">
          <a:extLst>
            <a:ext uri="{FF2B5EF4-FFF2-40B4-BE49-F238E27FC236}">
              <a16:creationId xmlns:a16="http://schemas.microsoft.com/office/drawing/2014/main" id="{00000000-0008-0000-0000-000025000000}"/>
            </a:ext>
          </a:extLst>
        </xdr:cNvPr>
        <xdr:cNvSpPr/>
      </xdr:nvSpPr>
      <xdr:spPr>
        <a:xfrm>
          <a:off x="3070222" y="61850311"/>
          <a:ext cx="184731" cy="359620"/>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b="1">
            <a:solidFill>
              <a:srgbClr val="FF0000"/>
            </a:solidFill>
          </a:endParaRPr>
        </a:p>
      </xdr:txBody>
    </xdr:sp>
    <xdr:clientData/>
  </xdr:twoCellAnchor>
  <xdr:oneCellAnchor>
    <xdr:from>
      <xdr:col>11</xdr:col>
      <xdr:colOff>139700</xdr:colOff>
      <xdr:row>275</xdr:row>
      <xdr:rowOff>88900</xdr:rowOff>
    </xdr:from>
    <xdr:ext cx="571888" cy="311496"/>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159750" y="58508900"/>
          <a:ext cx="57188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a:solidFill>
                <a:srgbClr val="FFFF00"/>
              </a:solidFill>
            </a:rPr>
            <a:t>Part I</a:t>
          </a:r>
        </a:p>
      </xdr:txBody>
    </xdr:sp>
    <xdr:clientData/>
  </xdr:oneCellAnchor>
  <xdr:twoCellAnchor>
    <xdr:from>
      <xdr:col>10</xdr:col>
      <xdr:colOff>628650</xdr:colOff>
      <xdr:row>273</xdr:row>
      <xdr:rowOff>28575</xdr:rowOff>
    </xdr:from>
    <xdr:to>
      <xdr:col>19</xdr:col>
      <xdr:colOff>202807</xdr:colOff>
      <xdr:row>311</xdr:row>
      <xdr:rowOff>693</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6800850" y="58512075"/>
          <a:ext cx="6070207" cy="7563543"/>
          <a:chOff x="57150" y="57981850"/>
          <a:chExt cx="6365482" cy="7446068"/>
        </a:xfrm>
      </xdr:grpSpPr>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659331" y="63267918"/>
            <a:ext cx="2880000" cy="216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3302632" y="57981850"/>
            <a:ext cx="3120000" cy="2340000"/>
          </a:xfrm>
          <a:prstGeom prst="rect">
            <a:avLst/>
          </a:prstGeom>
          <a:ln>
            <a:solidFill>
              <a:schemeClr val="tx1"/>
            </a:solidFill>
          </a:ln>
        </xdr:spPr>
      </xdr:pic>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57150" y="57981850"/>
            <a:ext cx="3120000" cy="2340000"/>
          </a:xfrm>
          <a:prstGeom prst="rect">
            <a:avLst/>
          </a:prstGeom>
          <a:ln>
            <a:solidFill>
              <a:schemeClr val="tx1"/>
            </a:solidFill>
          </a:ln>
        </xdr:spPr>
      </xdr:pic>
      <xdr:pic>
        <xdr:nvPicPr>
          <xdr:cNvPr id="42" name="Pictur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88410" y="60431069"/>
            <a:ext cx="2025000" cy="2700000"/>
          </a:xfrm>
          <a:prstGeom prst="rect">
            <a:avLst/>
          </a:prstGeom>
          <a:ln>
            <a:solidFill>
              <a:schemeClr val="tx1"/>
            </a:solidFill>
          </a:ln>
        </xdr:spPr>
      </xdr:pic>
      <xdr:pic>
        <xdr:nvPicPr>
          <xdr:cNvPr id="43" name="Pictur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919331" y="63267918"/>
            <a:ext cx="1620000" cy="2160000"/>
          </a:xfrm>
          <a:prstGeom prst="rect">
            <a:avLst/>
          </a:prstGeom>
          <a:ln>
            <a:solidFill>
              <a:schemeClr val="tx1"/>
            </a:solidFill>
          </a:ln>
        </xdr:spPr>
      </xdr:pic>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224232" y="60431069"/>
            <a:ext cx="2025000" cy="2700000"/>
          </a:xfrm>
          <a:prstGeom prst="rect">
            <a:avLst/>
          </a:prstGeom>
          <a:ln>
            <a:solidFill>
              <a:schemeClr val="tx1"/>
            </a:solidFill>
          </a:ln>
        </xdr:spPr>
      </xdr:pic>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360054" y="60431069"/>
            <a:ext cx="2025000" cy="2700000"/>
          </a:xfrm>
          <a:prstGeom prst="rect">
            <a:avLst/>
          </a:prstGeom>
          <a:ln>
            <a:solidFill>
              <a:schemeClr val="tx1"/>
            </a:solidFill>
          </a:ln>
        </xdr:spPr>
      </xdr:pic>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4109082" y="59074050"/>
            <a:ext cx="57188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a:solidFill>
                  <a:srgbClr val="FFFF00"/>
                </a:solidFill>
              </a:rPr>
              <a:t>Part I</a:t>
            </a:r>
          </a:p>
        </xdr:txBody>
      </xdr:sp>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1809750" y="59137550"/>
            <a:ext cx="571888"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a:solidFill>
                  <a:srgbClr val="FFFF00"/>
                </a:solidFill>
              </a:rPr>
              <a:t>Part I</a:t>
            </a:r>
          </a:p>
        </xdr:txBody>
      </xdr:sp>
      <xdr:sp macro="" textlink="">
        <xdr:nvSpPr>
          <xdr:cNvPr id="64" name="TextBox 63">
            <a:extLst>
              <a:ext uri="{FF2B5EF4-FFF2-40B4-BE49-F238E27FC236}">
                <a16:creationId xmlns:a16="http://schemas.microsoft.com/office/drawing/2014/main" id="{00000000-0008-0000-0000-000040000000}"/>
              </a:ext>
            </a:extLst>
          </xdr:cNvPr>
          <xdr:cNvSpPr txBox="1"/>
        </xdr:nvSpPr>
        <xdr:spPr>
          <a:xfrm>
            <a:off x="685310" y="62069369"/>
            <a:ext cx="61709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a:solidFill>
                  <a:srgbClr val="FFFF00"/>
                </a:solidFill>
              </a:rPr>
              <a:t>Part II</a:t>
            </a:r>
          </a:p>
        </xdr:txBody>
      </xdr:sp>
      <xdr:sp macro="" textlink="">
        <xdr:nvSpPr>
          <xdr:cNvPr id="66" name="TextBox 65">
            <a:extLst>
              <a:ext uri="{FF2B5EF4-FFF2-40B4-BE49-F238E27FC236}">
                <a16:creationId xmlns:a16="http://schemas.microsoft.com/office/drawing/2014/main" id="{00000000-0008-0000-0000-000042000000}"/>
              </a:ext>
            </a:extLst>
          </xdr:cNvPr>
          <xdr:cNvSpPr txBox="1"/>
        </xdr:nvSpPr>
        <xdr:spPr>
          <a:xfrm>
            <a:off x="4842654" y="61231169"/>
            <a:ext cx="79367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a:solidFill>
                  <a:srgbClr val="FFFF00"/>
                </a:solidFill>
              </a:rPr>
              <a:t>Wing B2</a:t>
            </a:r>
          </a:p>
        </xdr:txBody>
      </xdr:sp>
    </xdr:grpSp>
    <xdr:clientData/>
  </xdr:twoCellAnchor>
  <xdr:twoCellAnchor>
    <xdr:from>
      <xdr:col>10</xdr:col>
      <xdr:colOff>423957</xdr:colOff>
      <xdr:row>314</xdr:row>
      <xdr:rowOff>136525</xdr:rowOff>
    </xdr:from>
    <xdr:to>
      <xdr:col>18</xdr:col>
      <xdr:colOff>577850</xdr:colOff>
      <xdr:row>337</xdr:row>
      <xdr:rowOff>47233</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6596157" y="66811525"/>
          <a:ext cx="6040343" cy="4501758"/>
          <a:chOff x="81057" y="67183000"/>
          <a:chExt cx="6326093" cy="4431908"/>
        </a:xfrm>
      </xdr:grpSpPr>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4778439" y="67183000"/>
            <a:ext cx="1620000" cy="2160000"/>
          </a:xfrm>
          <a:prstGeom prst="rect">
            <a:avLst/>
          </a:prstGeom>
          <a:ln>
            <a:solidFill>
              <a:schemeClr val="tx1"/>
            </a:solidFill>
          </a:ln>
        </xdr:spPr>
      </xdr:pic>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062923" y="67183000"/>
            <a:ext cx="1620000" cy="2160000"/>
          </a:xfrm>
          <a:prstGeom prst="rect">
            <a:avLst/>
          </a:prstGeom>
          <a:ln>
            <a:solidFill>
              <a:schemeClr val="tx1"/>
            </a:solidFill>
          </a:ln>
        </xdr:spPr>
      </xdr:pic>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990196" y="69454908"/>
            <a:ext cx="2416954" cy="2160000"/>
          </a:xfrm>
          <a:prstGeom prst="rect">
            <a:avLst/>
          </a:prstGeom>
          <a:ln>
            <a:solidFill>
              <a:schemeClr val="tx1"/>
            </a:solidFill>
          </a:ln>
        </xdr:spPr>
      </xdr:pic>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82550" y="69454908"/>
            <a:ext cx="3765669" cy="2160000"/>
          </a:xfrm>
          <a:prstGeom prst="rect">
            <a:avLst/>
          </a:prstGeom>
          <a:ln>
            <a:solidFill>
              <a:schemeClr val="tx1"/>
            </a:solidFill>
          </a:ln>
        </xdr:spPr>
      </xdr:pic>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81057" y="67183000"/>
            <a:ext cx="2880000" cy="2160000"/>
          </a:xfrm>
          <a:prstGeom prst="rect">
            <a:avLst/>
          </a:prstGeom>
          <a:ln>
            <a:solidFill>
              <a:schemeClr val="tx1"/>
            </a:solidFill>
          </a:ln>
        </xdr:spPr>
      </xdr:pic>
    </xdr:grpSp>
    <xdr:clientData/>
  </xdr:twoCellAnchor>
  <xdr:twoCellAnchor>
    <xdr:from>
      <xdr:col>0</xdr:col>
      <xdr:colOff>76200</xdr:colOff>
      <xdr:row>272</xdr:row>
      <xdr:rowOff>66675</xdr:rowOff>
    </xdr:from>
    <xdr:to>
      <xdr:col>8</xdr:col>
      <xdr:colOff>723900</xdr:colOff>
      <xdr:row>302</xdr:row>
      <xdr:rowOff>95250</xdr:rowOff>
    </xdr:to>
    <xdr:grpSp>
      <xdr:nvGrpSpPr>
        <xdr:cNvPr id="38" name="Group 37">
          <a:extLst>
            <a:ext uri="{FF2B5EF4-FFF2-40B4-BE49-F238E27FC236}">
              <a16:creationId xmlns:a16="http://schemas.microsoft.com/office/drawing/2014/main" id="{3D3F55D5-7153-4467-AD62-6717A0548357}"/>
            </a:ext>
          </a:extLst>
        </xdr:cNvPr>
        <xdr:cNvGrpSpPr/>
      </xdr:nvGrpSpPr>
      <xdr:grpSpPr>
        <a:xfrm>
          <a:off x="76200" y="58350150"/>
          <a:ext cx="6029325" cy="6019800"/>
          <a:chOff x="269196" y="374235"/>
          <a:chExt cx="6513062" cy="6617968"/>
        </a:xfrm>
      </xdr:grpSpPr>
      <xdr:grpSp>
        <xdr:nvGrpSpPr>
          <xdr:cNvPr id="45" name="Group 44">
            <a:extLst>
              <a:ext uri="{FF2B5EF4-FFF2-40B4-BE49-F238E27FC236}">
                <a16:creationId xmlns:a16="http://schemas.microsoft.com/office/drawing/2014/main" id="{202CBE54-5937-4D04-B192-7958BE8EFDE7}"/>
              </a:ext>
            </a:extLst>
          </xdr:cNvPr>
          <xdr:cNvGrpSpPr/>
        </xdr:nvGrpSpPr>
        <xdr:grpSpPr>
          <a:xfrm>
            <a:off x="269196" y="402489"/>
            <a:ext cx="6513062" cy="6589714"/>
            <a:chOff x="269196" y="402489"/>
            <a:chExt cx="6513062" cy="6589714"/>
          </a:xfrm>
        </xdr:grpSpPr>
        <xdr:pic>
          <xdr:nvPicPr>
            <xdr:cNvPr id="51" name="Picture 50">
              <a:extLst>
                <a:ext uri="{FF2B5EF4-FFF2-40B4-BE49-F238E27FC236}">
                  <a16:creationId xmlns:a16="http://schemas.microsoft.com/office/drawing/2014/main" id="{5BC84DDB-7462-4C14-A967-5616C19D7E1B}"/>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551285" y="402489"/>
              <a:ext cx="2877715" cy="2160000"/>
            </a:xfrm>
            <a:prstGeom prst="rect">
              <a:avLst/>
            </a:prstGeom>
            <a:ln>
              <a:solidFill>
                <a:schemeClr val="tx1"/>
              </a:solidFill>
            </a:ln>
          </xdr:spPr>
        </xdr:pic>
        <xdr:pic>
          <xdr:nvPicPr>
            <xdr:cNvPr id="52" name="Picture 51">
              <a:extLst>
                <a:ext uri="{FF2B5EF4-FFF2-40B4-BE49-F238E27FC236}">
                  <a16:creationId xmlns:a16="http://schemas.microsoft.com/office/drawing/2014/main" id="{CED68FE9-12B6-433D-A796-65AAE4158C6F}"/>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554506" y="402489"/>
              <a:ext cx="2877715" cy="2160000"/>
            </a:xfrm>
            <a:prstGeom prst="rect">
              <a:avLst/>
            </a:prstGeom>
            <a:ln>
              <a:solidFill>
                <a:schemeClr val="tx1"/>
              </a:solidFill>
            </a:ln>
          </xdr:spPr>
        </xdr:pic>
        <xdr:pic>
          <xdr:nvPicPr>
            <xdr:cNvPr id="53" name="Picture 52">
              <a:extLst>
                <a:ext uri="{FF2B5EF4-FFF2-40B4-BE49-F238E27FC236}">
                  <a16:creationId xmlns:a16="http://schemas.microsoft.com/office/drawing/2014/main" id="{ADA944D6-749D-4A0C-A5C1-1AE95591546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3299222" y="2707346"/>
              <a:ext cx="1618312" cy="2160000"/>
            </a:xfrm>
            <a:prstGeom prst="rect">
              <a:avLst/>
            </a:prstGeom>
            <a:ln>
              <a:solidFill>
                <a:schemeClr val="tx1"/>
              </a:solidFill>
            </a:ln>
          </xdr:spPr>
        </xdr:pic>
        <xdr:pic>
          <xdr:nvPicPr>
            <xdr:cNvPr id="54" name="Picture 53">
              <a:extLst>
                <a:ext uri="{FF2B5EF4-FFF2-40B4-BE49-F238E27FC236}">
                  <a16:creationId xmlns:a16="http://schemas.microsoft.com/office/drawing/2014/main" id="{8738506C-805F-4D93-B1A4-D20A63A87C66}"/>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269196" y="2707346"/>
              <a:ext cx="2877715" cy="2160000"/>
            </a:xfrm>
            <a:prstGeom prst="rect">
              <a:avLst/>
            </a:prstGeom>
            <a:ln>
              <a:solidFill>
                <a:schemeClr val="tx1"/>
              </a:solidFill>
            </a:ln>
          </xdr:spPr>
        </xdr:pic>
        <xdr:pic>
          <xdr:nvPicPr>
            <xdr:cNvPr id="56" name="Picture 55">
              <a:extLst>
                <a:ext uri="{FF2B5EF4-FFF2-40B4-BE49-F238E27FC236}">
                  <a16:creationId xmlns:a16="http://schemas.microsoft.com/office/drawing/2014/main" id="{4988C4BC-80F2-4D7A-B7EB-F4BD17D44026}"/>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945547" y="5012203"/>
              <a:ext cx="1483453" cy="1980000"/>
            </a:xfrm>
            <a:prstGeom prst="rect">
              <a:avLst/>
            </a:prstGeom>
            <a:ln>
              <a:solidFill>
                <a:schemeClr val="tx1"/>
              </a:solidFill>
            </a:ln>
          </xdr:spPr>
        </xdr:pic>
        <xdr:pic>
          <xdr:nvPicPr>
            <xdr:cNvPr id="57" name="Picture 56">
              <a:extLst>
                <a:ext uri="{FF2B5EF4-FFF2-40B4-BE49-F238E27FC236}">
                  <a16:creationId xmlns:a16="http://schemas.microsoft.com/office/drawing/2014/main" id="{ABF7B6DD-8774-4E4F-9437-D78237E2686A}"/>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286849" y="5012203"/>
              <a:ext cx="1483453" cy="1980000"/>
            </a:xfrm>
            <a:prstGeom prst="rect">
              <a:avLst/>
            </a:prstGeom>
            <a:ln>
              <a:solidFill>
                <a:schemeClr val="tx1"/>
              </a:solidFill>
            </a:ln>
          </xdr:spPr>
        </xdr:pic>
        <xdr:pic>
          <xdr:nvPicPr>
            <xdr:cNvPr id="58" name="Picture 57">
              <a:extLst>
                <a:ext uri="{FF2B5EF4-FFF2-40B4-BE49-F238E27FC236}">
                  <a16:creationId xmlns:a16="http://schemas.microsoft.com/office/drawing/2014/main" id="{2DEBABEE-E3E2-4AA2-9361-49C821D62269}"/>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3622176" y="5012203"/>
              <a:ext cx="1483453" cy="1980000"/>
            </a:xfrm>
            <a:prstGeom prst="rect">
              <a:avLst/>
            </a:prstGeom>
            <a:ln>
              <a:solidFill>
                <a:schemeClr val="tx1"/>
              </a:solidFill>
            </a:ln>
          </xdr:spPr>
        </xdr:pic>
        <xdr:pic>
          <xdr:nvPicPr>
            <xdr:cNvPr id="59" name="Picture 58">
              <a:extLst>
                <a:ext uri="{FF2B5EF4-FFF2-40B4-BE49-F238E27FC236}">
                  <a16:creationId xmlns:a16="http://schemas.microsoft.com/office/drawing/2014/main" id="{02FF3740-C196-4A20-9E0E-75104CB4CF79}"/>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5298805" y="5012203"/>
              <a:ext cx="1483453" cy="1980000"/>
            </a:xfrm>
            <a:prstGeom prst="rect">
              <a:avLst/>
            </a:prstGeom>
            <a:ln>
              <a:solidFill>
                <a:schemeClr val="tx1"/>
              </a:solidFill>
            </a:ln>
          </xdr:spPr>
        </xdr:pic>
        <xdr:pic>
          <xdr:nvPicPr>
            <xdr:cNvPr id="60" name="Picture 59">
              <a:extLst>
                <a:ext uri="{FF2B5EF4-FFF2-40B4-BE49-F238E27FC236}">
                  <a16:creationId xmlns:a16="http://schemas.microsoft.com/office/drawing/2014/main" id="{CBD7D4BB-74AC-4B8C-B6EB-5C6969D570BA}"/>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5145994" y="2707346"/>
              <a:ext cx="1618312" cy="2160000"/>
            </a:xfrm>
            <a:prstGeom prst="rect">
              <a:avLst/>
            </a:prstGeom>
            <a:ln>
              <a:solidFill>
                <a:schemeClr val="tx1"/>
              </a:solidFill>
            </a:ln>
          </xdr:spPr>
        </xdr:pic>
      </xdr:grpSp>
      <xdr:sp macro="" textlink="">
        <xdr:nvSpPr>
          <xdr:cNvPr id="46" name="TextBox 146">
            <a:extLst>
              <a:ext uri="{FF2B5EF4-FFF2-40B4-BE49-F238E27FC236}">
                <a16:creationId xmlns:a16="http://schemas.microsoft.com/office/drawing/2014/main" id="{0A441B96-9033-4725-AE64-03B5E2A56457}"/>
              </a:ext>
            </a:extLst>
          </xdr:cNvPr>
          <xdr:cNvSpPr txBox="1"/>
        </xdr:nvSpPr>
        <xdr:spPr>
          <a:xfrm>
            <a:off x="1894890" y="1552630"/>
            <a:ext cx="688440" cy="5833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A1</a:t>
            </a:r>
            <a:endParaRPr lang="en-IN" b="1">
              <a:solidFill>
                <a:srgbClr val="FF0000"/>
              </a:solidFill>
            </a:endParaRPr>
          </a:p>
        </xdr:txBody>
      </xdr:sp>
      <xdr:sp macro="" textlink="">
        <xdr:nvSpPr>
          <xdr:cNvPr id="47" name="TextBox 147">
            <a:extLst>
              <a:ext uri="{FF2B5EF4-FFF2-40B4-BE49-F238E27FC236}">
                <a16:creationId xmlns:a16="http://schemas.microsoft.com/office/drawing/2014/main" id="{3AC044CB-5EAF-4C15-B151-B70D1409EC75}"/>
              </a:ext>
            </a:extLst>
          </xdr:cNvPr>
          <xdr:cNvSpPr txBox="1"/>
        </xdr:nvSpPr>
        <xdr:spPr>
          <a:xfrm>
            <a:off x="5341771" y="374235"/>
            <a:ext cx="703381" cy="5833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A2</a:t>
            </a:r>
            <a:endParaRPr lang="en-IN" b="1">
              <a:solidFill>
                <a:srgbClr val="FF0000"/>
              </a:solidFill>
            </a:endParaRPr>
          </a:p>
        </xdr:txBody>
      </xdr:sp>
      <xdr:sp macro="" textlink="">
        <xdr:nvSpPr>
          <xdr:cNvPr id="48" name="TextBox 148">
            <a:extLst>
              <a:ext uri="{FF2B5EF4-FFF2-40B4-BE49-F238E27FC236}">
                <a16:creationId xmlns:a16="http://schemas.microsoft.com/office/drawing/2014/main" id="{BFD6A545-593E-497C-B0C6-454FC4F9DDC0}"/>
              </a:ext>
            </a:extLst>
          </xdr:cNvPr>
          <xdr:cNvSpPr txBox="1"/>
        </xdr:nvSpPr>
        <xdr:spPr>
          <a:xfrm>
            <a:off x="567583" y="3928277"/>
            <a:ext cx="1430329" cy="44571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b="1">
                <a:solidFill>
                  <a:srgbClr val="FF0000"/>
                </a:solidFill>
              </a:rPr>
              <a:t>B1 (Part 1)</a:t>
            </a:r>
            <a:endParaRPr lang="en-IN" sz="1400" b="1">
              <a:solidFill>
                <a:srgbClr val="FF0000"/>
              </a:solidFill>
            </a:endParaRPr>
          </a:p>
        </xdr:txBody>
      </xdr:sp>
      <xdr:sp macro="" textlink="">
        <xdr:nvSpPr>
          <xdr:cNvPr id="49" name="TextBox 149">
            <a:extLst>
              <a:ext uri="{FF2B5EF4-FFF2-40B4-BE49-F238E27FC236}">
                <a16:creationId xmlns:a16="http://schemas.microsoft.com/office/drawing/2014/main" id="{89EAC2F9-01B9-4229-ADC7-F1D6F7730E9B}"/>
              </a:ext>
            </a:extLst>
          </xdr:cNvPr>
          <xdr:cNvSpPr txBox="1"/>
        </xdr:nvSpPr>
        <xdr:spPr>
          <a:xfrm>
            <a:off x="3237534" y="2707346"/>
            <a:ext cx="165250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B1 Staircase Part </a:t>
            </a:r>
          </a:p>
          <a:p>
            <a:r>
              <a:rPr lang="en-US" sz="1600" b="1">
                <a:solidFill>
                  <a:srgbClr val="FF0000"/>
                </a:solidFill>
              </a:rPr>
              <a:t>constructed</a:t>
            </a:r>
            <a:endParaRPr lang="en-IN" sz="1100" b="1">
              <a:solidFill>
                <a:srgbClr val="FF0000"/>
              </a:solidFill>
            </a:endParaRPr>
          </a:p>
        </xdr:txBody>
      </xdr:sp>
      <xdr:sp macro="" textlink="">
        <xdr:nvSpPr>
          <xdr:cNvPr id="50" name="TextBox 150">
            <a:extLst>
              <a:ext uri="{FF2B5EF4-FFF2-40B4-BE49-F238E27FC236}">
                <a16:creationId xmlns:a16="http://schemas.microsoft.com/office/drawing/2014/main" id="{781E3606-E8B7-4D73-A811-8311B73DE33A}"/>
              </a:ext>
            </a:extLst>
          </xdr:cNvPr>
          <xdr:cNvSpPr txBox="1"/>
        </xdr:nvSpPr>
        <xdr:spPr>
          <a:xfrm>
            <a:off x="5969411" y="2653559"/>
            <a:ext cx="643092" cy="5833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B2</a:t>
            </a:r>
            <a:endParaRPr lang="en-IN" b="1">
              <a:solidFill>
                <a:srgbClr val="FF0000"/>
              </a:solidFill>
            </a:endParaRPr>
          </a:p>
        </xdr:txBody>
      </xdr:sp>
    </xdr:grpSp>
    <xdr:clientData/>
  </xdr:twoCellAnchor>
  <xdr:twoCellAnchor>
    <xdr:from>
      <xdr:col>0</xdr:col>
      <xdr:colOff>85725</xdr:colOff>
      <xdr:row>314</xdr:row>
      <xdr:rowOff>95250</xdr:rowOff>
    </xdr:from>
    <xdr:to>
      <xdr:col>8</xdr:col>
      <xdr:colOff>665675</xdr:colOff>
      <xdr:row>348</xdr:row>
      <xdr:rowOff>77691</xdr:rowOff>
    </xdr:to>
    <xdr:grpSp>
      <xdr:nvGrpSpPr>
        <xdr:cNvPr id="79" name="Group 78">
          <a:extLst>
            <a:ext uri="{FF2B5EF4-FFF2-40B4-BE49-F238E27FC236}">
              <a16:creationId xmlns:a16="http://schemas.microsoft.com/office/drawing/2014/main" id="{5B077EB0-741E-4F1F-8CC9-9A7024BA2BE3}"/>
            </a:ext>
          </a:extLst>
        </xdr:cNvPr>
        <xdr:cNvGrpSpPr/>
      </xdr:nvGrpSpPr>
      <xdr:grpSpPr>
        <a:xfrm>
          <a:off x="85725" y="66770250"/>
          <a:ext cx="5961575" cy="6773766"/>
          <a:chOff x="412354" y="390218"/>
          <a:chExt cx="5961575" cy="6773766"/>
        </a:xfrm>
      </xdr:grpSpPr>
      <xdr:grpSp>
        <xdr:nvGrpSpPr>
          <xdr:cNvPr id="80" name="Group 79">
            <a:extLst>
              <a:ext uri="{FF2B5EF4-FFF2-40B4-BE49-F238E27FC236}">
                <a16:creationId xmlns:a16="http://schemas.microsoft.com/office/drawing/2014/main" id="{9D63F045-281A-4A47-AF0A-AC4469D58FFD}"/>
              </a:ext>
            </a:extLst>
          </xdr:cNvPr>
          <xdr:cNvGrpSpPr/>
        </xdr:nvGrpSpPr>
        <xdr:grpSpPr>
          <a:xfrm>
            <a:off x="412354" y="390218"/>
            <a:ext cx="5961575" cy="6773766"/>
            <a:chOff x="412354" y="390218"/>
            <a:chExt cx="5961575" cy="6773766"/>
          </a:xfrm>
        </xdr:grpSpPr>
        <xdr:pic>
          <xdr:nvPicPr>
            <xdr:cNvPr id="83" name="Picture 82">
              <a:extLst>
                <a:ext uri="{FF2B5EF4-FFF2-40B4-BE49-F238E27FC236}">
                  <a16:creationId xmlns:a16="http://schemas.microsoft.com/office/drawing/2014/main" id="{B93B1375-BFA3-47FA-B731-57DBBE139F87}"/>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412355" y="390218"/>
              <a:ext cx="2877715" cy="2160000"/>
            </a:xfrm>
            <a:prstGeom prst="rect">
              <a:avLst/>
            </a:prstGeom>
            <a:ln>
              <a:solidFill>
                <a:schemeClr val="tx1"/>
              </a:solidFill>
            </a:ln>
          </xdr:spPr>
        </xdr:pic>
        <xdr:pic>
          <xdr:nvPicPr>
            <xdr:cNvPr id="84" name="Picture 83">
              <a:extLst>
                <a:ext uri="{FF2B5EF4-FFF2-40B4-BE49-F238E27FC236}">
                  <a16:creationId xmlns:a16="http://schemas.microsoft.com/office/drawing/2014/main" id="{C3D37FFA-6672-4865-8F22-1B5A272E52AB}"/>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496214" y="390218"/>
              <a:ext cx="2877715" cy="2160000"/>
            </a:xfrm>
            <a:prstGeom prst="rect">
              <a:avLst/>
            </a:prstGeom>
            <a:ln>
              <a:solidFill>
                <a:schemeClr val="tx1"/>
              </a:solidFill>
            </a:ln>
          </xdr:spPr>
        </xdr:pic>
        <xdr:pic>
          <xdr:nvPicPr>
            <xdr:cNvPr id="85" name="Picture 84">
              <a:extLst>
                <a:ext uri="{FF2B5EF4-FFF2-40B4-BE49-F238E27FC236}">
                  <a16:creationId xmlns:a16="http://schemas.microsoft.com/office/drawing/2014/main" id="{D4ECA2A3-05A3-4F0E-83D2-E286C9773AA2}"/>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412354" y="2787101"/>
              <a:ext cx="2877715" cy="2160000"/>
            </a:xfrm>
            <a:prstGeom prst="rect">
              <a:avLst/>
            </a:prstGeom>
            <a:ln>
              <a:solidFill>
                <a:schemeClr val="tx1"/>
              </a:solidFill>
            </a:ln>
          </xdr:spPr>
        </xdr:pic>
        <xdr:pic>
          <xdr:nvPicPr>
            <xdr:cNvPr id="86" name="Picture 85">
              <a:extLst>
                <a:ext uri="{FF2B5EF4-FFF2-40B4-BE49-F238E27FC236}">
                  <a16:creationId xmlns:a16="http://schemas.microsoft.com/office/drawing/2014/main" id="{40DE9078-4CAB-4BF7-81A1-E01130370613}"/>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3496213" y="2787101"/>
              <a:ext cx="2877715" cy="2160000"/>
            </a:xfrm>
            <a:prstGeom prst="rect">
              <a:avLst/>
            </a:prstGeom>
            <a:ln>
              <a:solidFill>
                <a:schemeClr val="tx1"/>
              </a:solidFill>
            </a:ln>
          </xdr:spPr>
        </xdr:pic>
        <xdr:pic>
          <xdr:nvPicPr>
            <xdr:cNvPr id="87" name="Picture 86">
              <a:extLst>
                <a:ext uri="{FF2B5EF4-FFF2-40B4-BE49-F238E27FC236}">
                  <a16:creationId xmlns:a16="http://schemas.microsoft.com/office/drawing/2014/main" id="{4A266A83-AE36-4EC3-B6D0-CA30B9F12EFC}"/>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806616" y="5183984"/>
              <a:ext cx="1483453" cy="1980000"/>
            </a:xfrm>
            <a:prstGeom prst="rect">
              <a:avLst/>
            </a:prstGeom>
            <a:ln>
              <a:solidFill>
                <a:schemeClr val="tx1"/>
              </a:solidFill>
            </a:ln>
          </xdr:spPr>
        </xdr:pic>
        <xdr:pic>
          <xdr:nvPicPr>
            <xdr:cNvPr id="88" name="Picture 87">
              <a:extLst>
                <a:ext uri="{FF2B5EF4-FFF2-40B4-BE49-F238E27FC236}">
                  <a16:creationId xmlns:a16="http://schemas.microsoft.com/office/drawing/2014/main" id="{8DD8ECDD-3277-401A-81D2-E6540119E9F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3469342" y="5183984"/>
              <a:ext cx="1483453" cy="1980000"/>
            </a:xfrm>
            <a:prstGeom prst="rect">
              <a:avLst/>
            </a:prstGeom>
            <a:ln>
              <a:solidFill>
                <a:schemeClr val="tx1"/>
              </a:solidFill>
            </a:ln>
          </xdr:spPr>
        </xdr:pic>
      </xdr:grpSp>
      <xdr:sp macro="" textlink="">
        <xdr:nvSpPr>
          <xdr:cNvPr id="81" name="TextBox 163">
            <a:extLst>
              <a:ext uri="{FF2B5EF4-FFF2-40B4-BE49-F238E27FC236}">
                <a16:creationId xmlns:a16="http://schemas.microsoft.com/office/drawing/2014/main" id="{2026FDEF-0532-4A84-9012-14066F3755F3}"/>
              </a:ext>
            </a:extLst>
          </xdr:cNvPr>
          <xdr:cNvSpPr txBox="1"/>
        </xdr:nvSpPr>
        <xdr:spPr>
          <a:xfrm>
            <a:off x="1077957" y="1883830"/>
            <a:ext cx="558166"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C1</a:t>
            </a:r>
            <a:endParaRPr lang="en-IN" sz="2800" b="1">
              <a:solidFill>
                <a:srgbClr val="FF0000"/>
              </a:solidFill>
            </a:endParaRPr>
          </a:p>
        </xdr:txBody>
      </xdr:sp>
      <xdr:sp macro="" textlink="">
        <xdr:nvSpPr>
          <xdr:cNvPr id="82" name="TextBox 164">
            <a:extLst>
              <a:ext uri="{FF2B5EF4-FFF2-40B4-BE49-F238E27FC236}">
                <a16:creationId xmlns:a16="http://schemas.microsoft.com/office/drawing/2014/main" id="{DC5338B1-7E8C-4303-966B-36EB0F14E8C3}"/>
              </a:ext>
            </a:extLst>
          </xdr:cNvPr>
          <xdr:cNvSpPr txBox="1"/>
        </xdr:nvSpPr>
        <xdr:spPr>
          <a:xfrm>
            <a:off x="5389980" y="390218"/>
            <a:ext cx="558166"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800" b="1">
                <a:solidFill>
                  <a:srgbClr val="FF0000"/>
                </a:solidFill>
              </a:rPr>
              <a:t>C3</a:t>
            </a:r>
            <a:endParaRPr lang="en-IN" sz="2800" b="1">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387143</xdr:colOff>
      <xdr:row>1</xdr:row>
      <xdr:rowOff>0</xdr:rowOff>
    </xdr:from>
    <xdr:to>
      <xdr:col>11</xdr:col>
      <xdr:colOff>35393</xdr:colOff>
      <xdr:row>20</xdr:row>
      <xdr:rowOff>125280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3803" y="182880"/>
          <a:ext cx="2696250" cy="3600000"/>
        </a:xfrm>
        <a:prstGeom prst="rect">
          <a:avLst/>
        </a:prstGeom>
      </xdr:spPr>
    </xdr:pic>
    <xdr:clientData/>
  </xdr:twoCellAnchor>
  <xdr:twoCellAnchor editAs="oneCell">
    <xdr:from>
      <xdr:col>2</xdr:col>
      <xdr:colOff>0</xdr:colOff>
      <xdr:row>1</xdr:row>
      <xdr:rowOff>0</xdr:rowOff>
    </xdr:from>
    <xdr:to>
      <xdr:col>6</xdr:col>
      <xdr:colOff>257850</xdr:colOff>
      <xdr:row>20</xdr:row>
      <xdr:rowOff>125280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260" y="182880"/>
          <a:ext cx="2696250"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242</xdr:row>
      <xdr:rowOff>2692</xdr:rowOff>
    </xdr:from>
    <xdr:to>
      <xdr:col>9</xdr:col>
      <xdr:colOff>38100</xdr:colOff>
      <xdr:row>260</xdr:row>
      <xdr:rowOff>2241</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52400" y="54742867"/>
          <a:ext cx="6248400" cy="3600000"/>
        </a:xfrm>
        <a:prstGeom prst="rect">
          <a:avLst/>
        </a:prstGeom>
        <a:ln>
          <a:solidFill>
            <a:schemeClr val="tx1"/>
          </a:solidFill>
        </a:ln>
      </xdr:spPr>
    </xdr:pic>
    <xdr:clientData/>
  </xdr:twoCellAnchor>
  <xdr:twoCellAnchor editAs="oneCell">
    <xdr:from>
      <xdr:col>0</xdr:col>
      <xdr:colOff>156452</xdr:colOff>
      <xdr:row>223</xdr:row>
      <xdr:rowOff>0</xdr:rowOff>
    </xdr:from>
    <xdr:to>
      <xdr:col>9</xdr:col>
      <xdr:colOff>37660</xdr:colOff>
      <xdr:row>241</xdr:row>
      <xdr:rowOff>2351</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6452" y="50939700"/>
          <a:ext cx="6243908" cy="3600000"/>
        </a:xfrm>
        <a:prstGeom prst="rect">
          <a:avLst/>
        </a:prstGeom>
        <a:ln>
          <a:solidFill>
            <a:schemeClr val="tx1"/>
          </a:solidFill>
        </a:ln>
      </xdr:spPr>
    </xdr:pic>
    <xdr:clientData/>
  </xdr:twoCellAnchor>
  <xdr:twoCellAnchor editAs="oneCell">
    <xdr:from>
      <xdr:col>1</xdr:col>
      <xdr:colOff>142181</xdr:colOff>
      <xdr:row>180</xdr:row>
      <xdr:rowOff>112057</xdr:rowOff>
    </xdr:from>
    <xdr:to>
      <xdr:col>4</xdr:col>
      <xdr:colOff>300241</xdr:colOff>
      <xdr:row>194</xdr:row>
      <xdr:rowOff>179380</xdr:rowOff>
    </xdr:to>
    <xdr:pic>
      <xdr:nvPicPr>
        <xdr:cNvPr id="13" name="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14534" y="33684881"/>
          <a:ext cx="2544913" cy="2880000"/>
        </a:xfrm>
        <a:prstGeom prst="rect">
          <a:avLst/>
        </a:prstGeom>
        <a:ln>
          <a:solidFill>
            <a:schemeClr val="tx1"/>
          </a:solidFill>
        </a:ln>
      </xdr:spPr>
    </xdr:pic>
    <xdr:clientData/>
  </xdr:twoCellAnchor>
  <xdr:twoCellAnchor editAs="oneCell">
    <xdr:from>
      <xdr:col>5</xdr:col>
      <xdr:colOff>94625</xdr:colOff>
      <xdr:row>180</xdr:row>
      <xdr:rowOff>112057</xdr:rowOff>
    </xdr:from>
    <xdr:to>
      <xdr:col>8</xdr:col>
      <xdr:colOff>532832</xdr:colOff>
      <xdr:row>194</xdr:row>
      <xdr:rowOff>179380</xdr:rowOff>
    </xdr:to>
    <xdr:pic>
      <xdr:nvPicPr>
        <xdr:cNvPr id="14" name="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3557243" y="33684881"/>
          <a:ext cx="2544913" cy="2880000"/>
        </a:xfrm>
        <a:prstGeom prst="rect">
          <a:avLst/>
        </a:prstGeom>
        <a:ln>
          <a:solidFill>
            <a:schemeClr val="tx1"/>
          </a:solidFill>
        </a:ln>
      </xdr:spPr>
    </xdr:pic>
    <xdr:clientData/>
  </xdr:twoCellAnchor>
  <xdr:twoCellAnchor editAs="oneCell">
    <xdr:from>
      <xdr:col>0</xdr:col>
      <xdr:colOff>535644</xdr:colOff>
      <xdr:row>196</xdr:row>
      <xdr:rowOff>125107</xdr:rowOff>
    </xdr:from>
    <xdr:to>
      <xdr:col>4</xdr:col>
      <xdr:colOff>356438</xdr:colOff>
      <xdr:row>207</xdr:row>
      <xdr:rowOff>66343</xdr:rowOff>
    </xdr:to>
    <xdr:pic>
      <xdr:nvPicPr>
        <xdr:cNvPr id="15" name="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35644" y="36914019"/>
          <a:ext cx="2880000" cy="2160000"/>
        </a:xfrm>
        <a:prstGeom prst="rect">
          <a:avLst/>
        </a:prstGeom>
        <a:ln>
          <a:solidFill>
            <a:schemeClr val="tx1"/>
          </a:solidFill>
        </a:ln>
      </xdr:spPr>
    </xdr:pic>
    <xdr:clientData/>
  </xdr:twoCellAnchor>
  <xdr:twoCellAnchor editAs="oneCell">
    <xdr:from>
      <xdr:col>5</xdr:col>
      <xdr:colOff>121026</xdr:colOff>
      <xdr:row>208</xdr:row>
      <xdr:rowOff>118473</xdr:rowOff>
    </xdr:from>
    <xdr:to>
      <xdr:col>9</xdr:col>
      <xdr:colOff>98703</xdr:colOff>
      <xdr:row>219</xdr:row>
      <xdr:rowOff>59708</xdr:rowOff>
    </xdr:to>
    <xdr:pic>
      <xdr:nvPicPr>
        <xdr:cNvPr id="16" name="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583644" y="39327855"/>
          <a:ext cx="2880000" cy="2160000"/>
        </a:xfrm>
        <a:prstGeom prst="rect">
          <a:avLst/>
        </a:prstGeom>
        <a:ln>
          <a:solidFill>
            <a:schemeClr val="tx1"/>
          </a:solidFill>
        </a:ln>
      </xdr:spPr>
    </xdr:pic>
    <xdr:clientData/>
  </xdr:twoCellAnchor>
  <xdr:twoCellAnchor editAs="oneCell">
    <xdr:from>
      <xdr:col>5</xdr:col>
      <xdr:colOff>250244</xdr:colOff>
      <xdr:row>196</xdr:row>
      <xdr:rowOff>125107</xdr:rowOff>
    </xdr:from>
    <xdr:to>
      <xdr:col>8</xdr:col>
      <xdr:colOff>652643</xdr:colOff>
      <xdr:row>207</xdr:row>
      <xdr:rowOff>66343</xdr:rowOff>
    </xdr:to>
    <xdr:pic>
      <xdr:nvPicPr>
        <xdr:cNvPr id="17" name="Picture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3712862" y="36914019"/>
          <a:ext cx="2509105" cy="2160000"/>
        </a:xfrm>
        <a:prstGeom prst="rect">
          <a:avLst/>
        </a:prstGeom>
        <a:ln>
          <a:solidFill>
            <a:schemeClr val="tx1"/>
          </a:solidFill>
        </a:ln>
      </xdr:spPr>
    </xdr:pic>
    <xdr:clientData/>
  </xdr:twoCellAnchor>
  <xdr:twoCellAnchor editAs="oneCell">
    <xdr:from>
      <xdr:col>0</xdr:col>
      <xdr:colOff>459444</xdr:colOff>
      <xdr:row>208</xdr:row>
      <xdr:rowOff>124127</xdr:rowOff>
    </xdr:from>
    <xdr:to>
      <xdr:col>4</xdr:col>
      <xdr:colOff>280238</xdr:colOff>
      <xdr:row>219</xdr:row>
      <xdr:rowOff>65362</xdr:rowOff>
    </xdr:to>
    <xdr:pic>
      <xdr:nvPicPr>
        <xdr:cNvPr id="18" name="Picture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459444" y="39333509"/>
          <a:ext cx="2880000"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sUyDEBiJzuRezX5A"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51"/>
  <sheetViews>
    <sheetView tabSelected="1" view="pageBreakPreview" zoomScaleNormal="100" zoomScaleSheetLayoutView="100" zoomScalePageLayoutView="85" workbookViewId="0">
      <selection activeCell="K8" sqref="K8"/>
    </sheetView>
  </sheetViews>
  <sheetFormatPr defaultRowHeight="15.75" x14ac:dyDescent="0.25"/>
  <cols>
    <col min="1" max="1" width="9.28515625" style="10" customWidth="1"/>
    <col min="2" max="2" width="13.7109375" style="10" customWidth="1"/>
    <col min="3" max="3" width="13.140625" style="10" customWidth="1"/>
    <col min="4" max="4" width="7.28515625" style="10" customWidth="1"/>
    <col min="5" max="5" width="5.5703125" style="10" customWidth="1"/>
    <col min="6" max="6" width="10.5703125" style="10" customWidth="1"/>
    <col min="7" max="7" width="10" style="10" customWidth="1"/>
    <col min="8" max="9" width="11.140625" style="10" customWidth="1"/>
    <col min="10" max="10" width="0.7109375" style="10" customWidth="1"/>
    <col min="11" max="11" width="22.140625" style="10" customWidth="1"/>
    <col min="12" max="15" width="9.140625" style="10"/>
    <col min="16" max="16" width="11.28515625" style="10" bestFit="1" customWidth="1"/>
    <col min="17" max="256" width="9.140625" style="10"/>
    <col min="257" max="257" width="8.7109375" style="10" customWidth="1"/>
    <col min="258" max="258" width="9.85546875" style="10" customWidth="1"/>
    <col min="259" max="259" width="14.42578125" style="10" customWidth="1"/>
    <col min="260" max="260" width="7.28515625" style="10" customWidth="1"/>
    <col min="261" max="261" width="5.5703125" style="10" customWidth="1"/>
    <col min="262" max="262" width="9" style="10" customWidth="1"/>
    <col min="263" max="264" width="9.85546875" style="10" customWidth="1"/>
    <col min="265" max="265" width="11.140625" style="10" customWidth="1"/>
    <col min="266" max="266" width="2.85546875" style="10" customWidth="1"/>
    <col min="267" max="267" width="3.5703125" style="10" customWidth="1"/>
    <col min="268" max="512" width="9.140625" style="10"/>
    <col min="513" max="513" width="8.7109375" style="10" customWidth="1"/>
    <col min="514" max="514" width="9.85546875" style="10" customWidth="1"/>
    <col min="515" max="515" width="14.42578125" style="10" customWidth="1"/>
    <col min="516" max="516" width="7.28515625" style="10" customWidth="1"/>
    <col min="517" max="517" width="5.5703125" style="10" customWidth="1"/>
    <col min="518" max="518" width="9" style="10" customWidth="1"/>
    <col min="519" max="520" width="9.85546875" style="10" customWidth="1"/>
    <col min="521" max="521" width="11.140625" style="10" customWidth="1"/>
    <col min="522" max="522" width="2.85546875" style="10" customWidth="1"/>
    <col min="523" max="523" width="3.5703125" style="10" customWidth="1"/>
    <col min="524" max="768" width="9.140625" style="10"/>
    <col min="769" max="769" width="8.7109375" style="10" customWidth="1"/>
    <col min="770" max="770" width="9.85546875" style="10" customWidth="1"/>
    <col min="771" max="771" width="14.42578125" style="10" customWidth="1"/>
    <col min="772" max="772" width="7.28515625" style="10" customWidth="1"/>
    <col min="773" max="773" width="5.5703125" style="10" customWidth="1"/>
    <col min="774" max="774" width="9" style="10" customWidth="1"/>
    <col min="775" max="776" width="9.85546875" style="10" customWidth="1"/>
    <col min="777" max="777" width="11.140625" style="10" customWidth="1"/>
    <col min="778" max="778" width="2.85546875" style="10" customWidth="1"/>
    <col min="779" max="779" width="3.5703125" style="10" customWidth="1"/>
    <col min="780" max="1024" width="9.140625" style="10"/>
    <col min="1025" max="1025" width="8.7109375" style="10" customWidth="1"/>
    <col min="1026" max="1026" width="9.85546875" style="10" customWidth="1"/>
    <col min="1027" max="1027" width="14.42578125" style="10" customWidth="1"/>
    <col min="1028" max="1028" width="7.28515625" style="10" customWidth="1"/>
    <col min="1029" max="1029" width="5.5703125" style="10" customWidth="1"/>
    <col min="1030" max="1030" width="9" style="10" customWidth="1"/>
    <col min="1031" max="1032" width="9.85546875" style="10" customWidth="1"/>
    <col min="1033" max="1033" width="11.140625" style="10" customWidth="1"/>
    <col min="1034" max="1034" width="2.85546875" style="10" customWidth="1"/>
    <col min="1035" max="1035" width="3.5703125" style="10" customWidth="1"/>
    <col min="1036" max="1280" width="9.140625" style="10"/>
    <col min="1281" max="1281" width="8.7109375" style="10" customWidth="1"/>
    <col min="1282" max="1282" width="9.85546875" style="10" customWidth="1"/>
    <col min="1283" max="1283" width="14.42578125" style="10" customWidth="1"/>
    <col min="1284" max="1284" width="7.28515625" style="10" customWidth="1"/>
    <col min="1285" max="1285" width="5.5703125" style="10" customWidth="1"/>
    <col min="1286" max="1286" width="9" style="10" customWidth="1"/>
    <col min="1287" max="1288" width="9.85546875" style="10" customWidth="1"/>
    <col min="1289" max="1289" width="11.140625" style="10" customWidth="1"/>
    <col min="1290" max="1290" width="2.85546875" style="10" customWidth="1"/>
    <col min="1291" max="1291" width="3.5703125" style="10" customWidth="1"/>
    <col min="1292" max="1536" width="9.140625" style="10"/>
    <col min="1537" max="1537" width="8.7109375" style="10" customWidth="1"/>
    <col min="1538" max="1538" width="9.85546875" style="10" customWidth="1"/>
    <col min="1539" max="1539" width="14.42578125" style="10" customWidth="1"/>
    <col min="1540" max="1540" width="7.28515625" style="10" customWidth="1"/>
    <col min="1541" max="1541" width="5.5703125" style="10" customWidth="1"/>
    <col min="1542" max="1542" width="9" style="10" customWidth="1"/>
    <col min="1543" max="1544" width="9.85546875" style="10" customWidth="1"/>
    <col min="1545" max="1545" width="11.140625" style="10" customWidth="1"/>
    <col min="1546" max="1546" width="2.85546875" style="10" customWidth="1"/>
    <col min="1547" max="1547" width="3.5703125" style="10" customWidth="1"/>
    <col min="1548" max="1792" width="9.140625" style="10"/>
    <col min="1793" max="1793" width="8.7109375" style="10" customWidth="1"/>
    <col min="1794" max="1794" width="9.85546875" style="10" customWidth="1"/>
    <col min="1795" max="1795" width="14.42578125" style="10" customWidth="1"/>
    <col min="1796" max="1796" width="7.28515625" style="10" customWidth="1"/>
    <col min="1797" max="1797" width="5.5703125" style="10" customWidth="1"/>
    <col min="1798" max="1798" width="9" style="10" customWidth="1"/>
    <col min="1799" max="1800" width="9.85546875" style="10" customWidth="1"/>
    <col min="1801" max="1801" width="11.140625" style="10" customWidth="1"/>
    <col min="1802" max="1802" width="2.85546875" style="10" customWidth="1"/>
    <col min="1803" max="1803" width="3.5703125" style="10" customWidth="1"/>
    <col min="1804" max="2048" width="9.140625" style="10"/>
    <col min="2049" max="2049" width="8.7109375" style="10" customWidth="1"/>
    <col min="2050" max="2050" width="9.85546875" style="10" customWidth="1"/>
    <col min="2051" max="2051" width="14.42578125" style="10" customWidth="1"/>
    <col min="2052" max="2052" width="7.28515625" style="10" customWidth="1"/>
    <col min="2053" max="2053" width="5.5703125" style="10" customWidth="1"/>
    <col min="2054" max="2054" width="9" style="10" customWidth="1"/>
    <col min="2055" max="2056" width="9.85546875" style="10" customWidth="1"/>
    <col min="2057" max="2057" width="11.140625" style="10" customWidth="1"/>
    <col min="2058" max="2058" width="2.85546875" style="10" customWidth="1"/>
    <col min="2059" max="2059" width="3.5703125" style="10" customWidth="1"/>
    <col min="2060" max="2304" width="9.140625" style="10"/>
    <col min="2305" max="2305" width="8.7109375" style="10" customWidth="1"/>
    <col min="2306" max="2306" width="9.85546875" style="10" customWidth="1"/>
    <col min="2307" max="2307" width="14.42578125" style="10" customWidth="1"/>
    <col min="2308" max="2308" width="7.28515625" style="10" customWidth="1"/>
    <col min="2309" max="2309" width="5.5703125" style="10" customWidth="1"/>
    <col min="2310" max="2310" width="9" style="10" customWidth="1"/>
    <col min="2311" max="2312" width="9.85546875" style="10" customWidth="1"/>
    <col min="2313" max="2313" width="11.140625" style="10" customWidth="1"/>
    <col min="2314" max="2314" width="2.85546875" style="10" customWidth="1"/>
    <col min="2315" max="2315" width="3.5703125" style="10" customWidth="1"/>
    <col min="2316" max="2560" width="9.140625" style="10"/>
    <col min="2561" max="2561" width="8.7109375" style="10" customWidth="1"/>
    <col min="2562" max="2562" width="9.85546875" style="10" customWidth="1"/>
    <col min="2563" max="2563" width="14.42578125" style="10" customWidth="1"/>
    <col min="2564" max="2564" width="7.28515625" style="10" customWidth="1"/>
    <col min="2565" max="2565" width="5.5703125" style="10" customWidth="1"/>
    <col min="2566" max="2566" width="9" style="10" customWidth="1"/>
    <col min="2567" max="2568" width="9.85546875" style="10" customWidth="1"/>
    <col min="2569" max="2569" width="11.140625" style="10" customWidth="1"/>
    <col min="2570" max="2570" width="2.85546875" style="10" customWidth="1"/>
    <col min="2571" max="2571" width="3.5703125" style="10" customWidth="1"/>
    <col min="2572" max="2816" width="9.140625" style="10"/>
    <col min="2817" max="2817" width="8.7109375" style="10" customWidth="1"/>
    <col min="2818" max="2818" width="9.85546875" style="10" customWidth="1"/>
    <col min="2819" max="2819" width="14.42578125" style="10" customWidth="1"/>
    <col min="2820" max="2820" width="7.28515625" style="10" customWidth="1"/>
    <col min="2821" max="2821" width="5.5703125" style="10" customWidth="1"/>
    <col min="2822" max="2822" width="9" style="10" customWidth="1"/>
    <col min="2823" max="2824" width="9.85546875" style="10" customWidth="1"/>
    <col min="2825" max="2825" width="11.140625" style="10" customWidth="1"/>
    <col min="2826" max="2826" width="2.85546875" style="10" customWidth="1"/>
    <col min="2827" max="2827" width="3.5703125" style="10" customWidth="1"/>
    <col min="2828" max="3072" width="9.140625" style="10"/>
    <col min="3073" max="3073" width="8.7109375" style="10" customWidth="1"/>
    <col min="3074" max="3074" width="9.85546875" style="10" customWidth="1"/>
    <col min="3075" max="3075" width="14.42578125" style="10" customWidth="1"/>
    <col min="3076" max="3076" width="7.28515625" style="10" customWidth="1"/>
    <col min="3077" max="3077" width="5.5703125" style="10" customWidth="1"/>
    <col min="3078" max="3078" width="9" style="10" customWidth="1"/>
    <col min="3079" max="3080" width="9.85546875" style="10" customWidth="1"/>
    <col min="3081" max="3081" width="11.140625" style="10" customWidth="1"/>
    <col min="3082" max="3082" width="2.85546875" style="10" customWidth="1"/>
    <col min="3083" max="3083" width="3.5703125" style="10" customWidth="1"/>
    <col min="3084" max="3328" width="9.140625" style="10"/>
    <col min="3329" max="3329" width="8.7109375" style="10" customWidth="1"/>
    <col min="3330" max="3330" width="9.85546875" style="10" customWidth="1"/>
    <col min="3331" max="3331" width="14.42578125" style="10" customWidth="1"/>
    <col min="3332" max="3332" width="7.28515625" style="10" customWidth="1"/>
    <col min="3333" max="3333" width="5.5703125" style="10" customWidth="1"/>
    <col min="3334" max="3334" width="9" style="10" customWidth="1"/>
    <col min="3335" max="3336" width="9.85546875" style="10" customWidth="1"/>
    <col min="3337" max="3337" width="11.140625" style="10" customWidth="1"/>
    <col min="3338" max="3338" width="2.85546875" style="10" customWidth="1"/>
    <col min="3339" max="3339" width="3.5703125" style="10" customWidth="1"/>
    <col min="3340" max="3584" width="9.140625" style="10"/>
    <col min="3585" max="3585" width="8.7109375" style="10" customWidth="1"/>
    <col min="3586" max="3586" width="9.85546875" style="10" customWidth="1"/>
    <col min="3587" max="3587" width="14.42578125" style="10" customWidth="1"/>
    <col min="3588" max="3588" width="7.28515625" style="10" customWidth="1"/>
    <col min="3589" max="3589" width="5.5703125" style="10" customWidth="1"/>
    <col min="3590" max="3590" width="9" style="10" customWidth="1"/>
    <col min="3591" max="3592" width="9.85546875" style="10" customWidth="1"/>
    <col min="3593" max="3593" width="11.140625" style="10" customWidth="1"/>
    <col min="3594" max="3594" width="2.85546875" style="10" customWidth="1"/>
    <col min="3595" max="3595" width="3.5703125" style="10" customWidth="1"/>
    <col min="3596" max="3840" width="9.140625" style="10"/>
    <col min="3841" max="3841" width="8.7109375" style="10" customWidth="1"/>
    <col min="3842" max="3842" width="9.85546875" style="10" customWidth="1"/>
    <col min="3843" max="3843" width="14.42578125" style="10" customWidth="1"/>
    <col min="3844" max="3844" width="7.28515625" style="10" customWidth="1"/>
    <col min="3845" max="3845" width="5.5703125" style="10" customWidth="1"/>
    <col min="3846" max="3846" width="9" style="10" customWidth="1"/>
    <col min="3847" max="3848" width="9.85546875" style="10" customWidth="1"/>
    <col min="3849" max="3849" width="11.140625" style="10" customWidth="1"/>
    <col min="3850" max="3850" width="2.85546875" style="10" customWidth="1"/>
    <col min="3851" max="3851" width="3.5703125" style="10" customWidth="1"/>
    <col min="3852" max="4096" width="9.140625" style="10"/>
    <col min="4097" max="4097" width="8.7109375" style="10" customWidth="1"/>
    <col min="4098" max="4098" width="9.85546875" style="10" customWidth="1"/>
    <col min="4099" max="4099" width="14.42578125" style="10" customWidth="1"/>
    <col min="4100" max="4100" width="7.28515625" style="10" customWidth="1"/>
    <col min="4101" max="4101" width="5.5703125" style="10" customWidth="1"/>
    <col min="4102" max="4102" width="9" style="10" customWidth="1"/>
    <col min="4103" max="4104" width="9.85546875" style="10" customWidth="1"/>
    <col min="4105" max="4105" width="11.140625" style="10" customWidth="1"/>
    <col min="4106" max="4106" width="2.85546875" style="10" customWidth="1"/>
    <col min="4107" max="4107" width="3.5703125" style="10" customWidth="1"/>
    <col min="4108" max="4352" width="9.140625" style="10"/>
    <col min="4353" max="4353" width="8.7109375" style="10" customWidth="1"/>
    <col min="4354" max="4354" width="9.85546875" style="10" customWidth="1"/>
    <col min="4355" max="4355" width="14.42578125" style="10" customWidth="1"/>
    <col min="4356" max="4356" width="7.28515625" style="10" customWidth="1"/>
    <col min="4357" max="4357" width="5.5703125" style="10" customWidth="1"/>
    <col min="4358" max="4358" width="9" style="10" customWidth="1"/>
    <col min="4359" max="4360" width="9.85546875" style="10" customWidth="1"/>
    <col min="4361" max="4361" width="11.140625" style="10" customWidth="1"/>
    <col min="4362" max="4362" width="2.85546875" style="10" customWidth="1"/>
    <col min="4363" max="4363" width="3.5703125" style="10" customWidth="1"/>
    <col min="4364" max="4608" width="9.140625" style="10"/>
    <col min="4609" max="4609" width="8.7109375" style="10" customWidth="1"/>
    <col min="4610" max="4610" width="9.85546875" style="10" customWidth="1"/>
    <col min="4611" max="4611" width="14.42578125" style="10" customWidth="1"/>
    <col min="4612" max="4612" width="7.28515625" style="10" customWidth="1"/>
    <col min="4613" max="4613" width="5.5703125" style="10" customWidth="1"/>
    <col min="4614" max="4614" width="9" style="10" customWidth="1"/>
    <col min="4615" max="4616" width="9.85546875" style="10" customWidth="1"/>
    <col min="4617" max="4617" width="11.140625" style="10" customWidth="1"/>
    <col min="4618" max="4618" width="2.85546875" style="10" customWidth="1"/>
    <col min="4619" max="4619" width="3.5703125" style="10" customWidth="1"/>
    <col min="4620" max="4864" width="9.140625" style="10"/>
    <col min="4865" max="4865" width="8.7109375" style="10" customWidth="1"/>
    <col min="4866" max="4866" width="9.85546875" style="10" customWidth="1"/>
    <col min="4867" max="4867" width="14.42578125" style="10" customWidth="1"/>
    <col min="4868" max="4868" width="7.28515625" style="10" customWidth="1"/>
    <col min="4869" max="4869" width="5.5703125" style="10" customWidth="1"/>
    <col min="4870" max="4870" width="9" style="10" customWidth="1"/>
    <col min="4871" max="4872" width="9.85546875" style="10" customWidth="1"/>
    <col min="4873" max="4873" width="11.140625" style="10" customWidth="1"/>
    <col min="4874" max="4874" width="2.85546875" style="10" customWidth="1"/>
    <col min="4875" max="4875" width="3.5703125" style="10" customWidth="1"/>
    <col min="4876" max="5120" width="9.140625" style="10"/>
    <col min="5121" max="5121" width="8.7109375" style="10" customWidth="1"/>
    <col min="5122" max="5122" width="9.85546875" style="10" customWidth="1"/>
    <col min="5123" max="5123" width="14.42578125" style="10" customWidth="1"/>
    <col min="5124" max="5124" width="7.28515625" style="10" customWidth="1"/>
    <col min="5125" max="5125" width="5.5703125" style="10" customWidth="1"/>
    <col min="5126" max="5126" width="9" style="10" customWidth="1"/>
    <col min="5127" max="5128" width="9.85546875" style="10" customWidth="1"/>
    <col min="5129" max="5129" width="11.140625" style="10" customWidth="1"/>
    <col min="5130" max="5130" width="2.85546875" style="10" customWidth="1"/>
    <col min="5131" max="5131" width="3.5703125" style="10" customWidth="1"/>
    <col min="5132" max="5376" width="9.140625" style="10"/>
    <col min="5377" max="5377" width="8.7109375" style="10" customWidth="1"/>
    <col min="5378" max="5378" width="9.85546875" style="10" customWidth="1"/>
    <col min="5379" max="5379" width="14.42578125" style="10" customWidth="1"/>
    <col min="5380" max="5380" width="7.28515625" style="10" customWidth="1"/>
    <col min="5381" max="5381" width="5.5703125" style="10" customWidth="1"/>
    <col min="5382" max="5382" width="9" style="10" customWidth="1"/>
    <col min="5383" max="5384" width="9.85546875" style="10" customWidth="1"/>
    <col min="5385" max="5385" width="11.140625" style="10" customWidth="1"/>
    <col min="5386" max="5386" width="2.85546875" style="10" customWidth="1"/>
    <col min="5387" max="5387" width="3.5703125" style="10" customWidth="1"/>
    <col min="5388" max="5632" width="9.140625" style="10"/>
    <col min="5633" max="5633" width="8.7109375" style="10" customWidth="1"/>
    <col min="5634" max="5634" width="9.85546875" style="10" customWidth="1"/>
    <col min="5635" max="5635" width="14.42578125" style="10" customWidth="1"/>
    <col min="5636" max="5636" width="7.28515625" style="10" customWidth="1"/>
    <col min="5637" max="5637" width="5.5703125" style="10" customWidth="1"/>
    <col min="5638" max="5638" width="9" style="10" customWidth="1"/>
    <col min="5639" max="5640" width="9.85546875" style="10" customWidth="1"/>
    <col min="5641" max="5641" width="11.140625" style="10" customWidth="1"/>
    <col min="5642" max="5642" width="2.85546875" style="10" customWidth="1"/>
    <col min="5643" max="5643" width="3.5703125" style="10" customWidth="1"/>
    <col min="5644" max="5888" width="9.140625" style="10"/>
    <col min="5889" max="5889" width="8.7109375" style="10" customWidth="1"/>
    <col min="5890" max="5890" width="9.85546875" style="10" customWidth="1"/>
    <col min="5891" max="5891" width="14.42578125" style="10" customWidth="1"/>
    <col min="5892" max="5892" width="7.28515625" style="10" customWidth="1"/>
    <col min="5893" max="5893" width="5.5703125" style="10" customWidth="1"/>
    <col min="5894" max="5894" width="9" style="10" customWidth="1"/>
    <col min="5895" max="5896" width="9.85546875" style="10" customWidth="1"/>
    <col min="5897" max="5897" width="11.140625" style="10" customWidth="1"/>
    <col min="5898" max="5898" width="2.85546875" style="10" customWidth="1"/>
    <col min="5899" max="5899" width="3.5703125" style="10" customWidth="1"/>
    <col min="5900" max="6144" width="9.140625" style="10"/>
    <col min="6145" max="6145" width="8.7109375" style="10" customWidth="1"/>
    <col min="6146" max="6146" width="9.85546875" style="10" customWidth="1"/>
    <col min="6147" max="6147" width="14.42578125" style="10" customWidth="1"/>
    <col min="6148" max="6148" width="7.28515625" style="10" customWidth="1"/>
    <col min="6149" max="6149" width="5.5703125" style="10" customWidth="1"/>
    <col min="6150" max="6150" width="9" style="10" customWidth="1"/>
    <col min="6151" max="6152" width="9.85546875" style="10" customWidth="1"/>
    <col min="6153" max="6153" width="11.140625" style="10" customWidth="1"/>
    <col min="6154" max="6154" width="2.85546875" style="10" customWidth="1"/>
    <col min="6155" max="6155" width="3.5703125" style="10" customWidth="1"/>
    <col min="6156" max="6400" width="9.140625" style="10"/>
    <col min="6401" max="6401" width="8.7109375" style="10" customWidth="1"/>
    <col min="6402" max="6402" width="9.85546875" style="10" customWidth="1"/>
    <col min="6403" max="6403" width="14.42578125" style="10" customWidth="1"/>
    <col min="6404" max="6404" width="7.28515625" style="10" customWidth="1"/>
    <col min="6405" max="6405" width="5.5703125" style="10" customWidth="1"/>
    <col min="6406" max="6406" width="9" style="10" customWidth="1"/>
    <col min="6407" max="6408" width="9.85546875" style="10" customWidth="1"/>
    <col min="6409" max="6409" width="11.140625" style="10" customWidth="1"/>
    <col min="6410" max="6410" width="2.85546875" style="10" customWidth="1"/>
    <col min="6411" max="6411" width="3.5703125" style="10" customWidth="1"/>
    <col min="6412" max="6656" width="9.140625" style="10"/>
    <col min="6657" max="6657" width="8.7109375" style="10" customWidth="1"/>
    <col min="6658" max="6658" width="9.85546875" style="10" customWidth="1"/>
    <col min="6659" max="6659" width="14.42578125" style="10" customWidth="1"/>
    <col min="6660" max="6660" width="7.28515625" style="10" customWidth="1"/>
    <col min="6661" max="6661" width="5.5703125" style="10" customWidth="1"/>
    <col min="6662" max="6662" width="9" style="10" customWidth="1"/>
    <col min="6663" max="6664" width="9.85546875" style="10" customWidth="1"/>
    <col min="6665" max="6665" width="11.140625" style="10" customWidth="1"/>
    <col min="6666" max="6666" width="2.85546875" style="10" customWidth="1"/>
    <col min="6667" max="6667" width="3.5703125" style="10" customWidth="1"/>
    <col min="6668" max="6912" width="9.140625" style="10"/>
    <col min="6913" max="6913" width="8.7109375" style="10" customWidth="1"/>
    <col min="6914" max="6914" width="9.85546875" style="10" customWidth="1"/>
    <col min="6915" max="6915" width="14.42578125" style="10" customWidth="1"/>
    <col min="6916" max="6916" width="7.28515625" style="10" customWidth="1"/>
    <col min="6917" max="6917" width="5.5703125" style="10" customWidth="1"/>
    <col min="6918" max="6918" width="9" style="10" customWidth="1"/>
    <col min="6919" max="6920" width="9.85546875" style="10" customWidth="1"/>
    <col min="6921" max="6921" width="11.140625" style="10" customWidth="1"/>
    <col min="6922" max="6922" width="2.85546875" style="10" customWidth="1"/>
    <col min="6923" max="6923" width="3.5703125" style="10" customWidth="1"/>
    <col min="6924" max="7168" width="9.140625" style="10"/>
    <col min="7169" max="7169" width="8.7109375" style="10" customWidth="1"/>
    <col min="7170" max="7170" width="9.85546875" style="10" customWidth="1"/>
    <col min="7171" max="7171" width="14.42578125" style="10" customWidth="1"/>
    <col min="7172" max="7172" width="7.28515625" style="10" customWidth="1"/>
    <col min="7173" max="7173" width="5.5703125" style="10" customWidth="1"/>
    <col min="7174" max="7174" width="9" style="10" customWidth="1"/>
    <col min="7175" max="7176" width="9.85546875" style="10" customWidth="1"/>
    <col min="7177" max="7177" width="11.140625" style="10" customWidth="1"/>
    <col min="7178" max="7178" width="2.85546875" style="10" customWidth="1"/>
    <col min="7179" max="7179" width="3.5703125" style="10" customWidth="1"/>
    <col min="7180" max="7424" width="9.140625" style="10"/>
    <col min="7425" max="7425" width="8.7109375" style="10" customWidth="1"/>
    <col min="7426" max="7426" width="9.85546875" style="10" customWidth="1"/>
    <col min="7427" max="7427" width="14.42578125" style="10" customWidth="1"/>
    <col min="7428" max="7428" width="7.28515625" style="10" customWidth="1"/>
    <col min="7429" max="7429" width="5.5703125" style="10" customWidth="1"/>
    <col min="7430" max="7430" width="9" style="10" customWidth="1"/>
    <col min="7431" max="7432" width="9.85546875" style="10" customWidth="1"/>
    <col min="7433" max="7433" width="11.140625" style="10" customWidth="1"/>
    <col min="7434" max="7434" width="2.85546875" style="10" customWidth="1"/>
    <col min="7435" max="7435" width="3.5703125" style="10" customWidth="1"/>
    <col min="7436" max="7680" width="9.140625" style="10"/>
    <col min="7681" max="7681" width="8.7109375" style="10" customWidth="1"/>
    <col min="7682" max="7682" width="9.85546875" style="10" customWidth="1"/>
    <col min="7683" max="7683" width="14.42578125" style="10" customWidth="1"/>
    <col min="7684" max="7684" width="7.28515625" style="10" customWidth="1"/>
    <col min="7685" max="7685" width="5.5703125" style="10" customWidth="1"/>
    <col min="7686" max="7686" width="9" style="10" customWidth="1"/>
    <col min="7687" max="7688" width="9.85546875" style="10" customWidth="1"/>
    <col min="7689" max="7689" width="11.140625" style="10" customWidth="1"/>
    <col min="7690" max="7690" width="2.85546875" style="10" customWidth="1"/>
    <col min="7691" max="7691" width="3.5703125" style="10" customWidth="1"/>
    <col min="7692" max="7936" width="9.140625" style="10"/>
    <col min="7937" max="7937" width="8.7109375" style="10" customWidth="1"/>
    <col min="7938" max="7938" width="9.85546875" style="10" customWidth="1"/>
    <col min="7939" max="7939" width="14.42578125" style="10" customWidth="1"/>
    <col min="7940" max="7940" width="7.28515625" style="10" customWidth="1"/>
    <col min="7941" max="7941" width="5.5703125" style="10" customWidth="1"/>
    <col min="7942" max="7942" width="9" style="10" customWidth="1"/>
    <col min="7943" max="7944" width="9.85546875" style="10" customWidth="1"/>
    <col min="7945" max="7945" width="11.140625" style="10" customWidth="1"/>
    <col min="7946" max="7946" width="2.85546875" style="10" customWidth="1"/>
    <col min="7947" max="7947" width="3.5703125" style="10" customWidth="1"/>
    <col min="7948" max="8192" width="9.140625" style="10"/>
    <col min="8193" max="8193" width="8.7109375" style="10" customWidth="1"/>
    <col min="8194" max="8194" width="9.85546875" style="10" customWidth="1"/>
    <col min="8195" max="8195" width="14.42578125" style="10" customWidth="1"/>
    <col min="8196" max="8196" width="7.28515625" style="10" customWidth="1"/>
    <col min="8197" max="8197" width="5.5703125" style="10" customWidth="1"/>
    <col min="8198" max="8198" width="9" style="10" customWidth="1"/>
    <col min="8199" max="8200" width="9.85546875" style="10" customWidth="1"/>
    <col min="8201" max="8201" width="11.140625" style="10" customWidth="1"/>
    <col min="8202" max="8202" width="2.85546875" style="10" customWidth="1"/>
    <col min="8203" max="8203" width="3.5703125" style="10" customWidth="1"/>
    <col min="8204" max="8448" width="9.140625" style="10"/>
    <col min="8449" max="8449" width="8.7109375" style="10" customWidth="1"/>
    <col min="8450" max="8450" width="9.85546875" style="10" customWidth="1"/>
    <col min="8451" max="8451" width="14.42578125" style="10" customWidth="1"/>
    <col min="8452" max="8452" width="7.28515625" style="10" customWidth="1"/>
    <col min="8453" max="8453" width="5.5703125" style="10" customWidth="1"/>
    <col min="8454" max="8454" width="9" style="10" customWidth="1"/>
    <col min="8455" max="8456" width="9.85546875" style="10" customWidth="1"/>
    <col min="8457" max="8457" width="11.140625" style="10" customWidth="1"/>
    <col min="8458" max="8458" width="2.85546875" style="10" customWidth="1"/>
    <col min="8459" max="8459" width="3.5703125" style="10" customWidth="1"/>
    <col min="8460" max="8704" width="9.140625" style="10"/>
    <col min="8705" max="8705" width="8.7109375" style="10" customWidth="1"/>
    <col min="8706" max="8706" width="9.85546875" style="10" customWidth="1"/>
    <col min="8707" max="8707" width="14.42578125" style="10" customWidth="1"/>
    <col min="8708" max="8708" width="7.28515625" style="10" customWidth="1"/>
    <col min="8709" max="8709" width="5.5703125" style="10" customWidth="1"/>
    <col min="8710" max="8710" width="9" style="10" customWidth="1"/>
    <col min="8711" max="8712" width="9.85546875" style="10" customWidth="1"/>
    <col min="8713" max="8713" width="11.140625" style="10" customWidth="1"/>
    <col min="8714" max="8714" width="2.85546875" style="10" customWidth="1"/>
    <col min="8715" max="8715" width="3.5703125" style="10" customWidth="1"/>
    <col min="8716" max="8960" width="9.140625" style="10"/>
    <col min="8961" max="8961" width="8.7109375" style="10" customWidth="1"/>
    <col min="8962" max="8962" width="9.85546875" style="10" customWidth="1"/>
    <col min="8963" max="8963" width="14.42578125" style="10" customWidth="1"/>
    <col min="8964" max="8964" width="7.28515625" style="10" customWidth="1"/>
    <col min="8965" max="8965" width="5.5703125" style="10" customWidth="1"/>
    <col min="8966" max="8966" width="9" style="10" customWidth="1"/>
    <col min="8967" max="8968" width="9.85546875" style="10" customWidth="1"/>
    <col min="8969" max="8969" width="11.140625" style="10" customWidth="1"/>
    <col min="8970" max="8970" width="2.85546875" style="10" customWidth="1"/>
    <col min="8971" max="8971" width="3.5703125" style="10" customWidth="1"/>
    <col min="8972" max="9216" width="9.140625" style="10"/>
    <col min="9217" max="9217" width="8.7109375" style="10" customWidth="1"/>
    <col min="9218" max="9218" width="9.85546875" style="10" customWidth="1"/>
    <col min="9219" max="9219" width="14.42578125" style="10" customWidth="1"/>
    <col min="9220" max="9220" width="7.28515625" style="10" customWidth="1"/>
    <col min="9221" max="9221" width="5.5703125" style="10" customWidth="1"/>
    <col min="9222" max="9222" width="9" style="10" customWidth="1"/>
    <col min="9223" max="9224" width="9.85546875" style="10" customWidth="1"/>
    <col min="9225" max="9225" width="11.140625" style="10" customWidth="1"/>
    <col min="9226" max="9226" width="2.85546875" style="10" customWidth="1"/>
    <col min="9227" max="9227" width="3.5703125" style="10" customWidth="1"/>
    <col min="9228" max="9472" width="9.140625" style="10"/>
    <col min="9473" max="9473" width="8.7109375" style="10" customWidth="1"/>
    <col min="9474" max="9474" width="9.85546875" style="10" customWidth="1"/>
    <col min="9475" max="9475" width="14.42578125" style="10" customWidth="1"/>
    <col min="9476" max="9476" width="7.28515625" style="10" customWidth="1"/>
    <col min="9477" max="9477" width="5.5703125" style="10" customWidth="1"/>
    <col min="9478" max="9478" width="9" style="10" customWidth="1"/>
    <col min="9479" max="9480" width="9.85546875" style="10" customWidth="1"/>
    <col min="9481" max="9481" width="11.140625" style="10" customWidth="1"/>
    <col min="9482" max="9482" width="2.85546875" style="10" customWidth="1"/>
    <col min="9483" max="9483" width="3.5703125" style="10" customWidth="1"/>
    <col min="9484" max="9728" width="9.140625" style="10"/>
    <col min="9729" max="9729" width="8.7109375" style="10" customWidth="1"/>
    <col min="9730" max="9730" width="9.85546875" style="10" customWidth="1"/>
    <col min="9731" max="9731" width="14.42578125" style="10" customWidth="1"/>
    <col min="9732" max="9732" width="7.28515625" style="10" customWidth="1"/>
    <col min="9733" max="9733" width="5.5703125" style="10" customWidth="1"/>
    <col min="9734" max="9734" width="9" style="10" customWidth="1"/>
    <col min="9735" max="9736" width="9.85546875" style="10" customWidth="1"/>
    <col min="9737" max="9737" width="11.140625" style="10" customWidth="1"/>
    <col min="9738" max="9738" width="2.85546875" style="10" customWidth="1"/>
    <col min="9739" max="9739" width="3.5703125" style="10" customWidth="1"/>
    <col min="9740" max="9984" width="9.140625" style="10"/>
    <col min="9985" max="9985" width="8.7109375" style="10" customWidth="1"/>
    <col min="9986" max="9986" width="9.85546875" style="10" customWidth="1"/>
    <col min="9987" max="9987" width="14.42578125" style="10" customWidth="1"/>
    <col min="9988" max="9988" width="7.28515625" style="10" customWidth="1"/>
    <col min="9989" max="9989" width="5.5703125" style="10" customWidth="1"/>
    <col min="9990" max="9990" width="9" style="10" customWidth="1"/>
    <col min="9991" max="9992" width="9.85546875" style="10" customWidth="1"/>
    <col min="9993" max="9993" width="11.140625" style="10" customWidth="1"/>
    <col min="9994" max="9994" width="2.85546875" style="10" customWidth="1"/>
    <col min="9995" max="9995" width="3.5703125" style="10" customWidth="1"/>
    <col min="9996" max="10240" width="9.140625" style="10"/>
    <col min="10241" max="10241" width="8.7109375" style="10" customWidth="1"/>
    <col min="10242" max="10242" width="9.85546875" style="10" customWidth="1"/>
    <col min="10243" max="10243" width="14.42578125" style="10" customWidth="1"/>
    <col min="10244" max="10244" width="7.28515625" style="10" customWidth="1"/>
    <col min="10245" max="10245" width="5.5703125" style="10" customWidth="1"/>
    <col min="10246" max="10246" width="9" style="10" customWidth="1"/>
    <col min="10247" max="10248" width="9.85546875" style="10" customWidth="1"/>
    <col min="10249" max="10249" width="11.140625" style="10" customWidth="1"/>
    <col min="10250" max="10250" width="2.85546875" style="10" customWidth="1"/>
    <col min="10251" max="10251" width="3.5703125" style="10" customWidth="1"/>
    <col min="10252" max="10496" width="9.140625" style="10"/>
    <col min="10497" max="10497" width="8.7109375" style="10" customWidth="1"/>
    <col min="10498" max="10498" width="9.85546875" style="10" customWidth="1"/>
    <col min="10499" max="10499" width="14.42578125" style="10" customWidth="1"/>
    <col min="10500" max="10500" width="7.28515625" style="10" customWidth="1"/>
    <col min="10501" max="10501" width="5.5703125" style="10" customWidth="1"/>
    <col min="10502" max="10502" width="9" style="10" customWidth="1"/>
    <col min="10503" max="10504" width="9.85546875" style="10" customWidth="1"/>
    <col min="10505" max="10505" width="11.140625" style="10" customWidth="1"/>
    <col min="10506" max="10506" width="2.85546875" style="10" customWidth="1"/>
    <col min="10507" max="10507" width="3.5703125" style="10" customWidth="1"/>
    <col min="10508" max="10752" width="9.140625" style="10"/>
    <col min="10753" max="10753" width="8.7109375" style="10" customWidth="1"/>
    <col min="10754" max="10754" width="9.85546875" style="10" customWidth="1"/>
    <col min="10755" max="10755" width="14.42578125" style="10" customWidth="1"/>
    <col min="10756" max="10756" width="7.28515625" style="10" customWidth="1"/>
    <col min="10757" max="10757" width="5.5703125" style="10" customWidth="1"/>
    <col min="10758" max="10758" width="9" style="10" customWidth="1"/>
    <col min="10759" max="10760" width="9.85546875" style="10" customWidth="1"/>
    <col min="10761" max="10761" width="11.140625" style="10" customWidth="1"/>
    <col min="10762" max="10762" width="2.85546875" style="10" customWidth="1"/>
    <col min="10763" max="10763" width="3.5703125" style="10" customWidth="1"/>
    <col min="10764" max="11008" width="9.140625" style="10"/>
    <col min="11009" max="11009" width="8.7109375" style="10" customWidth="1"/>
    <col min="11010" max="11010" width="9.85546875" style="10" customWidth="1"/>
    <col min="11011" max="11011" width="14.42578125" style="10" customWidth="1"/>
    <col min="11012" max="11012" width="7.28515625" style="10" customWidth="1"/>
    <col min="11013" max="11013" width="5.5703125" style="10" customWidth="1"/>
    <col min="11014" max="11014" width="9" style="10" customWidth="1"/>
    <col min="11015" max="11016" width="9.85546875" style="10" customWidth="1"/>
    <col min="11017" max="11017" width="11.140625" style="10" customWidth="1"/>
    <col min="11018" max="11018" width="2.85546875" style="10" customWidth="1"/>
    <col min="11019" max="11019" width="3.5703125" style="10" customWidth="1"/>
    <col min="11020" max="11264" width="9.140625" style="10"/>
    <col min="11265" max="11265" width="8.7109375" style="10" customWidth="1"/>
    <col min="11266" max="11266" width="9.85546875" style="10" customWidth="1"/>
    <col min="11267" max="11267" width="14.42578125" style="10" customWidth="1"/>
    <col min="11268" max="11268" width="7.28515625" style="10" customWidth="1"/>
    <col min="11269" max="11269" width="5.5703125" style="10" customWidth="1"/>
    <col min="11270" max="11270" width="9" style="10" customWidth="1"/>
    <col min="11271" max="11272" width="9.85546875" style="10" customWidth="1"/>
    <col min="11273" max="11273" width="11.140625" style="10" customWidth="1"/>
    <col min="11274" max="11274" width="2.85546875" style="10" customWidth="1"/>
    <col min="11275" max="11275" width="3.5703125" style="10" customWidth="1"/>
    <col min="11276" max="11520" width="9.140625" style="10"/>
    <col min="11521" max="11521" width="8.7109375" style="10" customWidth="1"/>
    <col min="11522" max="11522" width="9.85546875" style="10" customWidth="1"/>
    <col min="11523" max="11523" width="14.42578125" style="10" customWidth="1"/>
    <col min="11524" max="11524" width="7.28515625" style="10" customWidth="1"/>
    <col min="11525" max="11525" width="5.5703125" style="10" customWidth="1"/>
    <col min="11526" max="11526" width="9" style="10" customWidth="1"/>
    <col min="11527" max="11528" width="9.85546875" style="10" customWidth="1"/>
    <col min="11529" max="11529" width="11.140625" style="10" customWidth="1"/>
    <col min="11530" max="11530" width="2.85546875" style="10" customWidth="1"/>
    <col min="11531" max="11531" width="3.5703125" style="10" customWidth="1"/>
    <col min="11532" max="11776" width="9.140625" style="10"/>
    <col min="11777" max="11777" width="8.7109375" style="10" customWidth="1"/>
    <col min="11778" max="11778" width="9.85546875" style="10" customWidth="1"/>
    <col min="11779" max="11779" width="14.42578125" style="10" customWidth="1"/>
    <col min="11780" max="11780" width="7.28515625" style="10" customWidth="1"/>
    <col min="11781" max="11781" width="5.5703125" style="10" customWidth="1"/>
    <col min="11782" max="11782" width="9" style="10" customWidth="1"/>
    <col min="11783" max="11784" width="9.85546875" style="10" customWidth="1"/>
    <col min="11785" max="11785" width="11.140625" style="10" customWidth="1"/>
    <col min="11786" max="11786" width="2.85546875" style="10" customWidth="1"/>
    <col min="11787" max="11787" width="3.5703125" style="10" customWidth="1"/>
    <col min="11788" max="12032" width="9.140625" style="10"/>
    <col min="12033" max="12033" width="8.7109375" style="10" customWidth="1"/>
    <col min="12034" max="12034" width="9.85546875" style="10" customWidth="1"/>
    <col min="12035" max="12035" width="14.42578125" style="10" customWidth="1"/>
    <col min="12036" max="12036" width="7.28515625" style="10" customWidth="1"/>
    <col min="12037" max="12037" width="5.5703125" style="10" customWidth="1"/>
    <col min="12038" max="12038" width="9" style="10" customWidth="1"/>
    <col min="12039" max="12040" width="9.85546875" style="10" customWidth="1"/>
    <col min="12041" max="12041" width="11.140625" style="10" customWidth="1"/>
    <col min="12042" max="12042" width="2.85546875" style="10" customWidth="1"/>
    <col min="12043" max="12043" width="3.5703125" style="10" customWidth="1"/>
    <col min="12044" max="12288" width="9.140625" style="10"/>
    <col min="12289" max="12289" width="8.7109375" style="10" customWidth="1"/>
    <col min="12290" max="12290" width="9.85546875" style="10" customWidth="1"/>
    <col min="12291" max="12291" width="14.42578125" style="10" customWidth="1"/>
    <col min="12292" max="12292" width="7.28515625" style="10" customWidth="1"/>
    <col min="12293" max="12293" width="5.5703125" style="10" customWidth="1"/>
    <col min="12294" max="12294" width="9" style="10" customWidth="1"/>
    <col min="12295" max="12296" width="9.85546875" style="10" customWidth="1"/>
    <col min="12297" max="12297" width="11.140625" style="10" customWidth="1"/>
    <col min="12298" max="12298" width="2.85546875" style="10" customWidth="1"/>
    <col min="12299" max="12299" width="3.5703125" style="10" customWidth="1"/>
    <col min="12300" max="12544" width="9.140625" style="10"/>
    <col min="12545" max="12545" width="8.7109375" style="10" customWidth="1"/>
    <col min="12546" max="12546" width="9.85546875" style="10" customWidth="1"/>
    <col min="12547" max="12547" width="14.42578125" style="10" customWidth="1"/>
    <col min="12548" max="12548" width="7.28515625" style="10" customWidth="1"/>
    <col min="12549" max="12549" width="5.5703125" style="10" customWidth="1"/>
    <col min="12550" max="12550" width="9" style="10" customWidth="1"/>
    <col min="12551" max="12552" width="9.85546875" style="10" customWidth="1"/>
    <col min="12553" max="12553" width="11.140625" style="10" customWidth="1"/>
    <col min="12554" max="12554" width="2.85546875" style="10" customWidth="1"/>
    <col min="12555" max="12555" width="3.5703125" style="10" customWidth="1"/>
    <col min="12556" max="12800" width="9.140625" style="10"/>
    <col min="12801" max="12801" width="8.7109375" style="10" customWidth="1"/>
    <col min="12802" max="12802" width="9.85546875" style="10" customWidth="1"/>
    <col min="12803" max="12803" width="14.42578125" style="10" customWidth="1"/>
    <col min="12804" max="12804" width="7.28515625" style="10" customWidth="1"/>
    <col min="12805" max="12805" width="5.5703125" style="10" customWidth="1"/>
    <col min="12806" max="12806" width="9" style="10" customWidth="1"/>
    <col min="12807" max="12808" width="9.85546875" style="10" customWidth="1"/>
    <col min="12809" max="12809" width="11.140625" style="10" customWidth="1"/>
    <col min="12810" max="12810" width="2.85546875" style="10" customWidth="1"/>
    <col min="12811" max="12811" width="3.5703125" style="10" customWidth="1"/>
    <col min="12812" max="13056" width="9.140625" style="10"/>
    <col min="13057" max="13057" width="8.7109375" style="10" customWidth="1"/>
    <col min="13058" max="13058" width="9.85546875" style="10" customWidth="1"/>
    <col min="13059" max="13059" width="14.42578125" style="10" customWidth="1"/>
    <col min="13060" max="13060" width="7.28515625" style="10" customWidth="1"/>
    <col min="13061" max="13061" width="5.5703125" style="10" customWidth="1"/>
    <col min="13062" max="13062" width="9" style="10" customWidth="1"/>
    <col min="13063" max="13064" width="9.85546875" style="10" customWidth="1"/>
    <col min="13065" max="13065" width="11.140625" style="10" customWidth="1"/>
    <col min="13066" max="13066" width="2.85546875" style="10" customWidth="1"/>
    <col min="13067" max="13067" width="3.5703125" style="10" customWidth="1"/>
    <col min="13068" max="13312" width="9.140625" style="10"/>
    <col min="13313" max="13313" width="8.7109375" style="10" customWidth="1"/>
    <col min="13314" max="13314" width="9.85546875" style="10" customWidth="1"/>
    <col min="13315" max="13315" width="14.42578125" style="10" customWidth="1"/>
    <col min="13316" max="13316" width="7.28515625" style="10" customWidth="1"/>
    <col min="13317" max="13317" width="5.5703125" style="10" customWidth="1"/>
    <col min="13318" max="13318" width="9" style="10" customWidth="1"/>
    <col min="13319" max="13320" width="9.85546875" style="10" customWidth="1"/>
    <col min="13321" max="13321" width="11.140625" style="10" customWidth="1"/>
    <col min="13322" max="13322" width="2.85546875" style="10" customWidth="1"/>
    <col min="13323" max="13323" width="3.5703125" style="10" customWidth="1"/>
    <col min="13324" max="13568" width="9.140625" style="10"/>
    <col min="13569" max="13569" width="8.7109375" style="10" customWidth="1"/>
    <col min="13570" max="13570" width="9.85546875" style="10" customWidth="1"/>
    <col min="13571" max="13571" width="14.42578125" style="10" customWidth="1"/>
    <col min="13572" max="13572" width="7.28515625" style="10" customWidth="1"/>
    <col min="13573" max="13573" width="5.5703125" style="10" customWidth="1"/>
    <col min="13574" max="13574" width="9" style="10" customWidth="1"/>
    <col min="13575" max="13576" width="9.85546875" style="10" customWidth="1"/>
    <col min="13577" max="13577" width="11.140625" style="10" customWidth="1"/>
    <col min="13578" max="13578" width="2.85546875" style="10" customWidth="1"/>
    <col min="13579" max="13579" width="3.5703125" style="10" customWidth="1"/>
    <col min="13580" max="13824" width="9.140625" style="10"/>
    <col min="13825" max="13825" width="8.7109375" style="10" customWidth="1"/>
    <col min="13826" max="13826" width="9.85546875" style="10" customWidth="1"/>
    <col min="13827" max="13827" width="14.42578125" style="10" customWidth="1"/>
    <col min="13828" max="13828" width="7.28515625" style="10" customWidth="1"/>
    <col min="13829" max="13829" width="5.5703125" style="10" customWidth="1"/>
    <col min="13830" max="13830" width="9" style="10" customWidth="1"/>
    <col min="13831" max="13832" width="9.85546875" style="10" customWidth="1"/>
    <col min="13833" max="13833" width="11.140625" style="10" customWidth="1"/>
    <col min="13834" max="13834" width="2.85546875" style="10" customWidth="1"/>
    <col min="13835" max="13835" width="3.5703125" style="10" customWidth="1"/>
    <col min="13836" max="14080" width="9.140625" style="10"/>
    <col min="14081" max="14081" width="8.7109375" style="10" customWidth="1"/>
    <col min="14082" max="14082" width="9.85546875" style="10" customWidth="1"/>
    <col min="14083" max="14083" width="14.42578125" style="10" customWidth="1"/>
    <col min="14084" max="14084" width="7.28515625" style="10" customWidth="1"/>
    <col min="14085" max="14085" width="5.5703125" style="10" customWidth="1"/>
    <col min="14086" max="14086" width="9" style="10" customWidth="1"/>
    <col min="14087" max="14088" width="9.85546875" style="10" customWidth="1"/>
    <col min="14089" max="14089" width="11.140625" style="10" customWidth="1"/>
    <col min="14090" max="14090" width="2.85546875" style="10" customWidth="1"/>
    <col min="14091" max="14091" width="3.5703125" style="10" customWidth="1"/>
    <col min="14092" max="14336" width="9.140625" style="10"/>
    <col min="14337" max="14337" width="8.7109375" style="10" customWidth="1"/>
    <col min="14338" max="14338" width="9.85546875" style="10" customWidth="1"/>
    <col min="14339" max="14339" width="14.42578125" style="10" customWidth="1"/>
    <col min="14340" max="14340" width="7.28515625" style="10" customWidth="1"/>
    <col min="14341" max="14341" width="5.5703125" style="10" customWidth="1"/>
    <col min="14342" max="14342" width="9" style="10" customWidth="1"/>
    <col min="14343" max="14344" width="9.85546875" style="10" customWidth="1"/>
    <col min="14345" max="14345" width="11.140625" style="10" customWidth="1"/>
    <col min="14346" max="14346" width="2.85546875" style="10" customWidth="1"/>
    <col min="14347" max="14347" width="3.5703125" style="10" customWidth="1"/>
    <col min="14348" max="14592" width="9.140625" style="10"/>
    <col min="14593" max="14593" width="8.7109375" style="10" customWidth="1"/>
    <col min="14594" max="14594" width="9.85546875" style="10" customWidth="1"/>
    <col min="14595" max="14595" width="14.42578125" style="10" customWidth="1"/>
    <col min="14596" max="14596" width="7.28515625" style="10" customWidth="1"/>
    <col min="14597" max="14597" width="5.5703125" style="10" customWidth="1"/>
    <col min="14598" max="14598" width="9" style="10" customWidth="1"/>
    <col min="14599" max="14600" width="9.85546875" style="10" customWidth="1"/>
    <col min="14601" max="14601" width="11.140625" style="10" customWidth="1"/>
    <col min="14602" max="14602" width="2.85546875" style="10" customWidth="1"/>
    <col min="14603" max="14603" width="3.5703125" style="10" customWidth="1"/>
    <col min="14604" max="14848" width="9.140625" style="10"/>
    <col min="14849" max="14849" width="8.7109375" style="10" customWidth="1"/>
    <col min="14850" max="14850" width="9.85546875" style="10" customWidth="1"/>
    <col min="14851" max="14851" width="14.42578125" style="10" customWidth="1"/>
    <col min="14852" max="14852" width="7.28515625" style="10" customWidth="1"/>
    <col min="14853" max="14853" width="5.5703125" style="10" customWidth="1"/>
    <col min="14854" max="14854" width="9" style="10" customWidth="1"/>
    <col min="14855" max="14856" width="9.85546875" style="10" customWidth="1"/>
    <col min="14857" max="14857" width="11.140625" style="10" customWidth="1"/>
    <col min="14858" max="14858" width="2.85546875" style="10" customWidth="1"/>
    <col min="14859" max="14859" width="3.5703125" style="10" customWidth="1"/>
    <col min="14860" max="15104" width="9.140625" style="10"/>
    <col min="15105" max="15105" width="8.7109375" style="10" customWidth="1"/>
    <col min="15106" max="15106" width="9.85546875" style="10" customWidth="1"/>
    <col min="15107" max="15107" width="14.42578125" style="10" customWidth="1"/>
    <col min="15108" max="15108" width="7.28515625" style="10" customWidth="1"/>
    <col min="15109" max="15109" width="5.5703125" style="10" customWidth="1"/>
    <col min="15110" max="15110" width="9" style="10" customWidth="1"/>
    <col min="15111" max="15112" width="9.85546875" style="10" customWidth="1"/>
    <col min="15113" max="15113" width="11.140625" style="10" customWidth="1"/>
    <col min="15114" max="15114" width="2.85546875" style="10" customWidth="1"/>
    <col min="15115" max="15115" width="3.5703125" style="10" customWidth="1"/>
    <col min="15116" max="15360" width="9.140625" style="10"/>
    <col min="15361" max="15361" width="8.7109375" style="10" customWidth="1"/>
    <col min="15362" max="15362" width="9.85546875" style="10" customWidth="1"/>
    <col min="15363" max="15363" width="14.42578125" style="10" customWidth="1"/>
    <col min="15364" max="15364" width="7.28515625" style="10" customWidth="1"/>
    <col min="15365" max="15365" width="5.5703125" style="10" customWidth="1"/>
    <col min="15366" max="15366" width="9" style="10" customWidth="1"/>
    <col min="15367" max="15368" width="9.85546875" style="10" customWidth="1"/>
    <col min="15369" max="15369" width="11.140625" style="10" customWidth="1"/>
    <col min="15370" max="15370" width="2.85546875" style="10" customWidth="1"/>
    <col min="15371" max="15371" width="3.5703125" style="10" customWidth="1"/>
    <col min="15372" max="15616" width="9.140625" style="10"/>
    <col min="15617" max="15617" width="8.7109375" style="10" customWidth="1"/>
    <col min="15618" max="15618" width="9.85546875" style="10" customWidth="1"/>
    <col min="15619" max="15619" width="14.42578125" style="10" customWidth="1"/>
    <col min="15620" max="15620" width="7.28515625" style="10" customWidth="1"/>
    <col min="15621" max="15621" width="5.5703125" style="10" customWidth="1"/>
    <col min="15622" max="15622" width="9" style="10" customWidth="1"/>
    <col min="15623" max="15624" width="9.85546875" style="10" customWidth="1"/>
    <col min="15625" max="15625" width="11.140625" style="10" customWidth="1"/>
    <col min="15626" max="15626" width="2.85546875" style="10" customWidth="1"/>
    <col min="15627" max="15627" width="3.5703125" style="10" customWidth="1"/>
    <col min="15628" max="15872" width="9.140625" style="10"/>
    <col min="15873" max="15873" width="8.7109375" style="10" customWidth="1"/>
    <col min="15874" max="15874" width="9.85546875" style="10" customWidth="1"/>
    <col min="15875" max="15875" width="14.42578125" style="10" customWidth="1"/>
    <col min="15876" max="15876" width="7.28515625" style="10" customWidth="1"/>
    <col min="15877" max="15877" width="5.5703125" style="10" customWidth="1"/>
    <col min="15878" max="15878" width="9" style="10" customWidth="1"/>
    <col min="15879" max="15880" width="9.85546875" style="10" customWidth="1"/>
    <col min="15881" max="15881" width="11.140625" style="10" customWidth="1"/>
    <col min="15882" max="15882" width="2.85546875" style="10" customWidth="1"/>
    <col min="15883" max="15883" width="3.5703125" style="10" customWidth="1"/>
    <col min="15884" max="16128" width="9.140625" style="10"/>
    <col min="16129" max="16129" width="8.7109375" style="10" customWidth="1"/>
    <col min="16130" max="16130" width="9.85546875" style="10" customWidth="1"/>
    <col min="16131" max="16131" width="14.42578125" style="10" customWidth="1"/>
    <col min="16132" max="16132" width="7.28515625" style="10" customWidth="1"/>
    <col min="16133" max="16133" width="5.5703125" style="10" customWidth="1"/>
    <col min="16134" max="16134" width="9" style="10" customWidth="1"/>
    <col min="16135" max="16136" width="9.85546875" style="10" customWidth="1"/>
    <col min="16137" max="16137" width="11.140625" style="10" customWidth="1"/>
    <col min="16138" max="16138" width="2.85546875" style="10" customWidth="1"/>
    <col min="16139" max="16139" width="3.5703125" style="10" customWidth="1"/>
    <col min="16140" max="16384" width="9.140625" style="10"/>
  </cols>
  <sheetData>
    <row r="1" spans="1:10" ht="46.5" customHeight="1" x14ac:dyDescent="0.25">
      <c r="A1" s="206" t="s">
        <v>317</v>
      </c>
      <c r="B1" s="207"/>
      <c r="C1" s="207"/>
      <c r="D1" s="207"/>
      <c r="E1" s="207"/>
      <c r="F1" s="207"/>
      <c r="G1" s="207"/>
      <c r="H1" s="207"/>
      <c r="I1" s="207"/>
      <c r="J1" s="208"/>
    </row>
    <row r="2" spans="1:10" ht="16.5" customHeight="1" x14ac:dyDescent="0.25">
      <c r="A2" s="209" t="s">
        <v>0</v>
      </c>
      <c r="B2" s="210"/>
      <c r="C2" s="210"/>
      <c r="D2" s="210"/>
      <c r="E2" s="210"/>
      <c r="F2" s="210"/>
      <c r="G2" s="210"/>
      <c r="H2" s="210"/>
      <c r="I2" s="210"/>
      <c r="J2" s="211"/>
    </row>
    <row r="3" spans="1:10" x14ac:dyDescent="0.25">
      <c r="A3" s="185" t="s">
        <v>1</v>
      </c>
      <c r="B3" s="186"/>
      <c r="C3" s="186"/>
      <c r="D3" s="186"/>
      <c r="E3" s="187"/>
      <c r="F3" s="212" t="str">
        <f ca="1">TEXT(TODAY(),"DD/MM/YYYY")</f>
        <v>15/07/2025</v>
      </c>
      <c r="G3" s="213"/>
      <c r="H3" s="213"/>
      <c r="I3" s="213"/>
      <c r="J3" s="214"/>
    </row>
    <row r="4" spans="1:10" ht="15" customHeight="1" x14ac:dyDescent="0.25">
      <c r="A4" s="185" t="s">
        <v>2</v>
      </c>
      <c r="B4" s="186"/>
      <c r="C4" s="186"/>
      <c r="D4" s="186"/>
      <c r="E4" s="187"/>
      <c r="F4" s="188" t="s">
        <v>188</v>
      </c>
      <c r="G4" s="189"/>
      <c r="H4" s="189"/>
      <c r="I4" s="189"/>
      <c r="J4" s="190"/>
    </row>
    <row r="5" spans="1:10" x14ac:dyDescent="0.25">
      <c r="A5" s="185" t="s">
        <v>3</v>
      </c>
      <c r="B5" s="186"/>
      <c r="C5" s="186"/>
      <c r="D5" s="186"/>
      <c r="E5" s="187"/>
      <c r="F5" s="212">
        <v>45847</v>
      </c>
      <c r="G5" s="213"/>
      <c r="H5" s="213"/>
      <c r="I5" s="213"/>
      <c r="J5" s="214"/>
    </row>
    <row r="6" spans="1:10" ht="16.5" customHeight="1" x14ac:dyDescent="0.25">
      <c r="A6" s="185" t="s">
        <v>4</v>
      </c>
      <c r="B6" s="186"/>
      <c r="C6" s="186"/>
      <c r="D6" s="186"/>
      <c r="E6" s="187"/>
      <c r="F6" s="168" t="s">
        <v>233</v>
      </c>
      <c r="G6" s="169"/>
      <c r="H6" s="169"/>
      <c r="I6" s="169"/>
      <c r="J6" s="170"/>
    </row>
    <row r="7" spans="1:10" ht="15" customHeight="1" x14ac:dyDescent="0.25">
      <c r="A7" s="185" t="s">
        <v>5</v>
      </c>
      <c r="B7" s="186"/>
      <c r="C7" s="186"/>
      <c r="D7" s="186"/>
      <c r="E7" s="187"/>
      <c r="F7" s="168" t="str">
        <f>F6</f>
        <v>M/s.Satya Shiv Developers</v>
      </c>
      <c r="G7" s="169"/>
      <c r="H7" s="169"/>
      <c r="I7" s="169"/>
      <c r="J7" s="170"/>
    </row>
    <row r="8" spans="1:10" x14ac:dyDescent="0.25">
      <c r="A8" s="185" t="s">
        <v>6</v>
      </c>
      <c r="B8" s="186"/>
      <c r="C8" s="186"/>
      <c r="D8" s="186"/>
      <c r="E8" s="187"/>
      <c r="F8" s="200" t="s">
        <v>189</v>
      </c>
      <c r="G8" s="201"/>
      <c r="H8" s="201"/>
      <c r="I8" s="201"/>
      <c r="J8" s="202"/>
    </row>
    <row r="9" spans="1:10" x14ac:dyDescent="0.25">
      <c r="A9" s="185" t="s">
        <v>314</v>
      </c>
      <c r="B9" s="186"/>
      <c r="C9" s="186"/>
      <c r="D9" s="186"/>
      <c r="E9" s="187"/>
      <c r="F9" s="185">
        <v>9930244957</v>
      </c>
      <c r="G9" s="186"/>
      <c r="H9" s="186"/>
      <c r="I9" s="186"/>
      <c r="J9" s="187"/>
    </row>
    <row r="10" spans="1:10" x14ac:dyDescent="0.25">
      <c r="A10" s="185" t="s">
        <v>315</v>
      </c>
      <c r="B10" s="186"/>
      <c r="C10" s="186"/>
      <c r="D10" s="186"/>
      <c r="E10" s="187"/>
      <c r="F10" s="168" t="s">
        <v>340</v>
      </c>
      <c r="G10" s="186"/>
      <c r="H10" s="186"/>
      <c r="I10" s="186"/>
      <c r="J10" s="187"/>
    </row>
    <row r="11" spans="1:10" ht="49.5" customHeight="1" x14ac:dyDescent="0.25">
      <c r="A11" s="185" t="s">
        <v>8</v>
      </c>
      <c r="B11" s="186"/>
      <c r="C11" s="186"/>
      <c r="D11" s="186"/>
      <c r="E11" s="187"/>
      <c r="F11" s="215" t="s">
        <v>319</v>
      </c>
      <c r="G11" s="218"/>
      <c r="H11" s="218"/>
      <c r="I11" s="218"/>
      <c r="J11" s="219"/>
    </row>
    <row r="12" spans="1:10" ht="16.5" customHeight="1" x14ac:dyDescent="0.25">
      <c r="A12" s="185" t="s">
        <v>9</v>
      </c>
      <c r="B12" s="186"/>
      <c r="C12" s="186"/>
      <c r="D12" s="186"/>
      <c r="E12" s="187"/>
      <c r="F12" s="215" t="s">
        <v>10</v>
      </c>
      <c r="G12" s="216"/>
      <c r="H12" s="216"/>
      <c r="I12" s="216"/>
      <c r="J12" s="217"/>
    </row>
    <row r="13" spans="1:10" ht="52.5" customHeight="1" x14ac:dyDescent="0.25">
      <c r="A13" s="185" t="s">
        <v>11</v>
      </c>
      <c r="B13" s="186"/>
      <c r="C13" s="186"/>
      <c r="D13" s="186"/>
      <c r="E13" s="187"/>
      <c r="F13" s="168" t="s">
        <v>337</v>
      </c>
      <c r="G13" s="186"/>
      <c r="H13" s="186"/>
      <c r="I13" s="186"/>
      <c r="J13" s="187"/>
    </row>
    <row r="14" spans="1:10" ht="31.5" customHeight="1" x14ac:dyDescent="0.25">
      <c r="A14" s="167" t="s">
        <v>12</v>
      </c>
      <c r="B14" s="167"/>
      <c r="C14" s="168" t="str">
        <f>CONCATENATE((IF(OR(F8="",F8="NA"),"",F8)),", ",(IF(OR(A15="",A15="NA"),"",A15)),".",(IF(OR(C15="",C15="NA"),"",C15)),", ",(IF(OR(C17="",C16="NA"),"",C16)),", ",(IF(OR(H16="",H16="NA"),"",H16)),", ",(IF(OR(H17="",H17="NA"),"",H17)),", ",(IF(OR(H18="",H18="NA"),"",H18)),".")</f>
        <v>Shree Siddhivinayak Park, Survey No/H.No.66/7, 76/5/P, Internal Road, Murbad, Thane, 421401.</v>
      </c>
      <c r="D14" s="169"/>
      <c r="E14" s="169"/>
      <c r="F14" s="169"/>
      <c r="G14" s="169"/>
      <c r="H14" s="169"/>
      <c r="I14" s="169"/>
      <c r="J14" s="170"/>
    </row>
    <row r="15" spans="1:10" ht="15.75" customHeight="1" x14ac:dyDescent="0.25">
      <c r="A15" s="168" t="s">
        <v>234</v>
      </c>
      <c r="B15" s="170"/>
      <c r="C15" s="168" t="s">
        <v>212</v>
      </c>
      <c r="D15" s="169"/>
      <c r="E15" s="169"/>
      <c r="F15" s="169"/>
      <c r="G15" s="169"/>
      <c r="H15" s="169"/>
      <c r="I15" s="169"/>
      <c r="J15" s="170"/>
    </row>
    <row r="16" spans="1:10" ht="15.75" customHeight="1" x14ac:dyDescent="0.25">
      <c r="A16" s="168" t="s">
        <v>13</v>
      </c>
      <c r="B16" s="170"/>
      <c r="C16" s="171" t="s">
        <v>216</v>
      </c>
      <c r="D16" s="171"/>
      <c r="E16" s="171"/>
      <c r="F16" s="172" t="s">
        <v>150</v>
      </c>
      <c r="G16" s="173"/>
      <c r="H16" s="168" t="s">
        <v>191</v>
      </c>
      <c r="I16" s="169"/>
      <c r="J16" s="170"/>
    </row>
    <row r="17" spans="1:10" x14ac:dyDescent="0.25">
      <c r="A17" s="171" t="s">
        <v>15</v>
      </c>
      <c r="B17" s="171"/>
      <c r="C17" s="171" t="s">
        <v>191</v>
      </c>
      <c r="D17" s="171"/>
      <c r="E17" s="171"/>
      <c r="F17" s="172" t="s">
        <v>14</v>
      </c>
      <c r="G17" s="173"/>
      <c r="H17" s="174" t="s">
        <v>192</v>
      </c>
      <c r="I17" s="174"/>
      <c r="J17" s="174"/>
    </row>
    <row r="18" spans="1:10" x14ac:dyDescent="0.25">
      <c r="A18" s="171" t="s">
        <v>151</v>
      </c>
      <c r="B18" s="171"/>
      <c r="C18" s="168" t="s">
        <v>191</v>
      </c>
      <c r="D18" s="169"/>
      <c r="E18" s="170"/>
      <c r="F18" s="172" t="s">
        <v>16</v>
      </c>
      <c r="G18" s="173"/>
      <c r="H18" s="168">
        <v>421401</v>
      </c>
      <c r="I18" s="169"/>
      <c r="J18" s="170"/>
    </row>
    <row r="19" spans="1:10" ht="32.25" customHeight="1" x14ac:dyDescent="0.25">
      <c r="A19" s="171" t="s">
        <v>17</v>
      </c>
      <c r="B19" s="171"/>
      <c r="C19" s="220" t="s">
        <v>217</v>
      </c>
      <c r="D19" s="220"/>
      <c r="E19" s="220"/>
      <c r="F19" s="167" t="s">
        <v>18</v>
      </c>
      <c r="G19" s="167"/>
      <c r="H19" s="216" t="s">
        <v>215</v>
      </c>
      <c r="I19" s="216"/>
      <c r="J19" s="217"/>
    </row>
    <row r="20" spans="1:10" ht="15" customHeight="1" x14ac:dyDescent="0.25">
      <c r="A20" s="172" t="s">
        <v>162</v>
      </c>
      <c r="B20" s="181"/>
      <c r="C20" s="181"/>
      <c r="D20" s="181"/>
      <c r="E20" s="173"/>
      <c r="F20" s="221" t="s">
        <v>19</v>
      </c>
      <c r="G20" s="222"/>
      <c r="H20" s="222"/>
      <c r="I20" s="222"/>
      <c r="J20" s="223"/>
    </row>
    <row r="21" spans="1:10" ht="18.75" customHeight="1" x14ac:dyDescent="0.25">
      <c r="A21" s="182"/>
      <c r="B21" s="183"/>
      <c r="C21" s="183"/>
      <c r="D21" s="183"/>
      <c r="E21" s="184"/>
      <c r="F21" s="224"/>
      <c r="G21" s="225"/>
      <c r="H21" s="225"/>
      <c r="I21" s="225"/>
      <c r="J21" s="226"/>
    </row>
    <row r="22" spans="1:10" ht="15" customHeight="1" x14ac:dyDescent="0.25">
      <c r="A22" s="172" t="s">
        <v>20</v>
      </c>
      <c r="B22" s="181"/>
      <c r="C22" s="181"/>
      <c r="D22" s="181"/>
      <c r="E22" s="173"/>
      <c r="F22" s="172" t="s">
        <v>21</v>
      </c>
      <c r="G22" s="181"/>
      <c r="H22" s="181"/>
      <c r="I22" s="181"/>
      <c r="J22" s="173"/>
    </row>
    <row r="23" spans="1:10" x14ac:dyDescent="0.25">
      <c r="A23" s="182"/>
      <c r="B23" s="183"/>
      <c r="C23" s="183"/>
      <c r="D23" s="183"/>
      <c r="E23" s="184"/>
      <c r="F23" s="182"/>
      <c r="G23" s="183"/>
      <c r="H23" s="183"/>
      <c r="I23" s="183"/>
      <c r="J23" s="184"/>
    </row>
    <row r="24" spans="1:10" ht="15" customHeight="1" x14ac:dyDescent="0.25">
      <c r="A24" s="185" t="s">
        <v>22</v>
      </c>
      <c r="B24" s="186"/>
      <c r="C24" s="186"/>
      <c r="D24" s="186"/>
      <c r="E24" s="187"/>
      <c r="F24" s="188" t="s">
        <v>23</v>
      </c>
      <c r="G24" s="189"/>
      <c r="H24" s="189"/>
      <c r="I24" s="189"/>
      <c r="J24" s="190"/>
    </row>
    <row r="25" spans="1:10" x14ac:dyDescent="0.25">
      <c r="A25" s="185" t="s">
        <v>24</v>
      </c>
      <c r="B25" s="186"/>
      <c r="C25" s="186"/>
      <c r="D25" s="186"/>
      <c r="E25" s="187"/>
      <c r="F25" s="188" t="s">
        <v>25</v>
      </c>
      <c r="G25" s="189"/>
      <c r="H25" s="189"/>
      <c r="I25" s="189"/>
      <c r="J25" s="190"/>
    </row>
    <row r="26" spans="1:10" ht="15" customHeight="1" x14ac:dyDescent="0.25">
      <c r="A26" s="185" t="s">
        <v>26</v>
      </c>
      <c r="B26" s="186"/>
      <c r="C26" s="186"/>
      <c r="D26" s="186"/>
      <c r="E26" s="187"/>
      <c r="F26" s="188" t="s">
        <v>27</v>
      </c>
      <c r="G26" s="189"/>
      <c r="H26" s="189"/>
      <c r="I26" s="189"/>
      <c r="J26" s="190"/>
    </row>
    <row r="27" spans="1:10" x14ac:dyDescent="0.25">
      <c r="A27" s="185" t="s">
        <v>28</v>
      </c>
      <c r="B27" s="186"/>
      <c r="C27" s="186"/>
      <c r="D27" s="186"/>
      <c r="E27" s="187"/>
      <c r="F27" s="188" t="s">
        <v>29</v>
      </c>
      <c r="G27" s="189"/>
      <c r="H27" s="189"/>
      <c r="I27" s="189"/>
      <c r="J27" s="190"/>
    </row>
    <row r="28" spans="1:10" x14ac:dyDescent="0.25">
      <c r="A28" s="227" t="s">
        <v>30</v>
      </c>
      <c r="B28" s="228"/>
      <c r="C28" s="227" t="s">
        <v>31</v>
      </c>
      <c r="D28" s="228"/>
      <c r="E28" s="227" t="s">
        <v>32</v>
      </c>
      <c r="F28" s="228"/>
      <c r="G28" s="227" t="s">
        <v>34</v>
      </c>
      <c r="H28" s="228"/>
      <c r="I28" s="227" t="s">
        <v>33</v>
      </c>
      <c r="J28" s="228"/>
    </row>
    <row r="29" spans="1:10" x14ac:dyDescent="0.25">
      <c r="A29" s="229" t="s">
        <v>35</v>
      </c>
      <c r="B29" s="230"/>
      <c r="C29" s="229" t="s">
        <v>36</v>
      </c>
      <c r="D29" s="230"/>
      <c r="E29" s="229" t="s">
        <v>36</v>
      </c>
      <c r="F29" s="230"/>
      <c r="G29" s="229" t="s">
        <v>36</v>
      </c>
      <c r="H29" s="230"/>
      <c r="I29" s="229" t="s">
        <v>36</v>
      </c>
      <c r="J29" s="230"/>
    </row>
    <row r="30" spans="1:10" x14ac:dyDescent="0.25">
      <c r="A30" s="229" t="s">
        <v>37</v>
      </c>
      <c r="B30" s="230"/>
      <c r="C30" s="229" t="s">
        <v>219</v>
      </c>
      <c r="D30" s="230"/>
      <c r="E30" s="229" t="s">
        <v>219</v>
      </c>
      <c r="F30" s="230"/>
      <c r="G30" s="229" t="s">
        <v>218</v>
      </c>
      <c r="H30" s="230"/>
      <c r="I30" s="229" t="s">
        <v>219</v>
      </c>
      <c r="J30" s="230"/>
    </row>
    <row r="31" spans="1:10" x14ac:dyDescent="0.25">
      <c r="A31" s="171" t="s">
        <v>38</v>
      </c>
      <c r="B31" s="171"/>
      <c r="C31" s="171"/>
      <c r="D31" s="171"/>
      <c r="E31" s="171"/>
      <c r="F31" s="171"/>
      <c r="G31" s="171"/>
      <c r="H31" s="171"/>
      <c r="I31" s="171"/>
      <c r="J31" s="171"/>
    </row>
    <row r="32" spans="1:10" x14ac:dyDescent="0.25">
      <c r="A32" s="171" t="s">
        <v>39</v>
      </c>
      <c r="B32" s="171"/>
      <c r="C32" s="171"/>
      <c r="D32" s="171"/>
      <c r="E32" s="171"/>
      <c r="F32" s="171"/>
      <c r="G32" s="171"/>
      <c r="H32" s="171"/>
      <c r="I32" s="171"/>
      <c r="J32" s="171"/>
    </row>
    <row r="33" spans="1:10" x14ac:dyDescent="0.25">
      <c r="A33" s="171" t="s">
        <v>40</v>
      </c>
      <c r="B33" s="171"/>
      <c r="C33" s="231" t="s">
        <v>318</v>
      </c>
      <c r="D33" s="231"/>
      <c r="E33" s="231"/>
      <c r="F33" s="231"/>
      <c r="G33" s="231"/>
      <c r="H33" s="231"/>
      <c r="I33" s="231"/>
      <c r="J33" s="231"/>
    </row>
    <row r="34" spans="1:10" x14ac:dyDescent="0.25">
      <c r="A34" s="171" t="s">
        <v>312</v>
      </c>
      <c r="B34" s="171"/>
      <c r="C34" s="233" t="s">
        <v>313</v>
      </c>
      <c r="D34" s="171"/>
      <c r="E34" s="171"/>
      <c r="F34" s="171"/>
      <c r="G34" s="171"/>
      <c r="H34" s="171"/>
      <c r="I34" s="171"/>
      <c r="J34" s="171"/>
    </row>
    <row r="35" spans="1:10" x14ac:dyDescent="0.25">
      <c r="A35" s="231" t="s">
        <v>43</v>
      </c>
      <c r="B35" s="231"/>
      <c r="C35" s="231"/>
      <c r="D35" s="231"/>
      <c r="E35" s="231"/>
      <c r="F35" s="231"/>
      <c r="G35" s="231"/>
      <c r="H35" s="231"/>
      <c r="I35" s="231"/>
      <c r="J35" s="231"/>
    </row>
    <row r="36" spans="1:10" ht="15" customHeight="1" x14ac:dyDescent="0.25">
      <c r="A36" s="167" t="s">
        <v>44</v>
      </c>
      <c r="B36" s="167"/>
      <c r="C36" s="167"/>
      <c r="D36" s="167"/>
      <c r="E36" s="167"/>
      <c r="F36" s="232" t="s">
        <v>193</v>
      </c>
      <c r="G36" s="232"/>
      <c r="H36" s="232"/>
      <c r="I36" s="232"/>
      <c r="J36" s="232"/>
    </row>
    <row r="37" spans="1:10" ht="15" customHeight="1" x14ac:dyDescent="0.25">
      <c r="A37" s="167" t="s">
        <v>45</v>
      </c>
      <c r="B37" s="167"/>
      <c r="C37" s="167"/>
      <c r="D37" s="167"/>
      <c r="E37" s="167"/>
      <c r="F37" s="167" t="s">
        <v>46</v>
      </c>
      <c r="G37" s="167"/>
      <c r="H37" s="167"/>
      <c r="I37" s="167"/>
      <c r="J37" s="167"/>
    </row>
    <row r="38" spans="1:10" x14ac:dyDescent="0.25">
      <c r="A38" s="231" t="s">
        <v>47</v>
      </c>
      <c r="B38" s="231"/>
      <c r="C38" s="231"/>
      <c r="D38" s="231"/>
      <c r="E38" s="231"/>
      <c r="F38" s="231"/>
      <c r="G38" s="231"/>
      <c r="H38" s="231"/>
      <c r="I38" s="231"/>
      <c r="J38" s="231"/>
    </row>
    <row r="39" spans="1:10" x14ac:dyDescent="0.25">
      <c r="A39" s="171" t="s">
        <v>48</v>
      </c>
      <c r="B39" s="171"/>
      <c r="C39" s="171"/>
      <c r="D39" s="171"/>
      <c r="E39" s="171"/>
      <c r="F39" s="239">
        <v>5645</v>
      </c>
      <c r="G39" s="239"/>
      <c r="H39" s="239"/>
      <c r="I39" s="239"/>
      <c r="J39" s="239"/>
    </row>
    <row r="40" spans="1:10" x14ac:dyDescent="0.25">
      <c r="A40" s="171" t="s">
        <v>49</v>
      </c>
      <c r="B40" s="171"/>
      <c r="C40" s="171"/>
      <c r="D40" s="171"/>
      <c r="E40" s="171"/>
      <c r="F40" s="234">
        <v>0.9</v>
      </c>
      <c r="G40" s="234"/>
      <c r="H40" s="234"/>
      <c r="I40" s="234"/>
      <c r="J40" s="234"/>
    </row>
    <row r="41" spans="1:10" x14ac:dyDescent="0.25">
      <c r="A41" s="171" t="s">
        <v>50</v>
      </c>
      <c r="B41" s="171"/>
      <c r="C41" s="171"/>
      <c r="D41" s="171"/>
      <c r="E41" s="171"/>
      <c r="F41" s="234">
        <f>F43/F39-F40</f>
        <v>0.18000000000000005</v>
      </c>
      <c r="G41" s="234"/>
      <c r="H41" s="234"/>
      <c r="I41" s="234"/>
      <c r="J41" s="234"/>
    </row>
    <row r="42" spans="1:10" x14ac:dyDescent="0.25">
      <c r="A42" s="171" t="s">
        <v>51</v>
      </c>
      <c r="B42" s="171"/>
      <c r="C42" s="171"/>
      <c r="D42" s="171"/>
      <c r="E42" s="171"/>
      <c r="F42" s="234">
        <f>F40+F41</f>
        <v>1.08</v>
      </c>
      <c r="G42" s="234"/>
      <c r="H42" s="234"/>
      <c r="I42" s="234"/>
      <c r="J42" s="234"/>
    </row>
    <row r="43" spans="1:10" x14ac:dyDescent="0.25">
      <c r="A43" s="185" t="s">
        <v>52</v>
      </c>
      <c r="B43" s="186"/>
      <c r="C43" s="186"/>
      <c r="D43" s="186"/>
      <c r="E43" s="187"/>
      <c r="F43" s="235">
        <v>6096.6</v>
      </c>
      <c r="G43" s="236"/>
      <c r="H43" s="236"/>
      <c r="I43" s="236"/>
      <c r="J43" s="237"/>
    </row>
    <row r="44" spans="1:10" x14ac:dyDescent="0.25">
      <c r="A44" s="185" t="s">
        <v>53</v>
      </c>
      <c r="B44" s="186"/>
      <c r="C44" s="186"/>
      <c r="D44" s="186"/>
      <c r="E44" s="187"/>
      <c r="F44" s="238" t="s">
        <v>338</v>
      </c>
      <c r="G44" s="218"/>
      <c r="H44" s="218"/>
      <c r="I44" s="218"/>
      <c r="J44" s="219"/>
    </row>
    <row r="45" spans="1:10" x14ac:dyDescent="0.25">
      <c r="A45" s="200" t="s">
        <v>54</v>
      </c>
      <c r="B45" s="201"/>
      <c r="C45" s="201"/>
      <c r="D45" s="201"/>
      <c r="E45" s="201"/>
      <c r="F45" s="201"/>
      <c r="G45" s="201"/>
      <c r="H45" s="201"/>
      <c r="I45" s="201"/>
      <c r="J45" s="202"/>
    </row>
    <row r="46" spans="1:10" x14ac:dyDescent="0.25">
      <c r="A46" s="168" t="s">
        <v>55</v>
      </c>
      <c r="B46" s="170"/>
      <c r="C46" s="240" t="s">
        <v>308</v>
      </c>
      <c r="D46" s="241"/>
      <c r="E46" s="241"/>
      <c r="F46" s="242"/>
      <c r="G46" s="74" t="s">
        <v>56</v>
      </c>
      <c r="H46" s="243">
        <v>44603</v>
      </c>
      <c r="I46" s="216"/>
      <c r="J46" s="217"/>
    </row>
    <row r="47" spans="1:10" x14ac:dyDescent="0.25">
      <c r="A47" s="168" t="s">
        <v>57</v>
      </c>
      <c r="B47" s="170"/>
      <c r="C47" s="240" t="str">
        <f>C46</f>
        <v>JK No.22</v>
      </c>
      <c r="D47" s="241"/>
      <c r="E47" s="241"/>
      <c r="F47" s="242"/>
      <c r="G47" s="74" t="s">
        <v>56</v>
      </c>
      <c r="H47" s="243">
        <f>H46</f>
        <v>44603</v>
      </c>
      <c r="I47" s="216"/>
      <c r="J47" s="217"/>
    </row>
    <row r="48" spans="1:10" x14ac:dyDescent="0.25">
      <c r="A48" s="172" t="s">
        <v>58</v>
      </c>
      <c r="B48" s="173"/>
      <c r="C48" s="240" t="s">
        <v>309</v>
      </c>
      <c r="D48" s="244"/>
      <c r="E48" s="244"/>
      <c r="F48" s="245"/>
      <c r="G48" s="75" t="s">
        <v>56</v>
      </c>
      <c r="H48" s="243">
        <v>44603</v>
      </c>
      <c r="I48" s="216"/>
      <c r="J48" s="217"/>
    </row>
    <row r="49" spans="1:12" ht="67.5" customHeight="1" x14ac:dyDescent="0.25">
      <c r="A49" s="182"/>
      <c r="B49" s="184"/>
      <c r="C49" s="240" t="s">
        <v>323</v>
      </c>
      <c r="D49" s="241"/>
      <c r="E49" s="241"/>
      <c r="F49" s="241"/>
      <c r="G49" s="241"/>
      <c r="H49" s="241"/>
      <c r="I49" s="241"/>
      <c r="J49" s="242"/>
    </row>
    <row r="50" spans="1:12" ht="32.25" customHeight="1" x14ac:dyDescent="0.25">
      <c r="A50" s="246" t="s">
        <v>321</v>
      </c>
      <c r="B50" s="247"/>
      <c r="C50" s="175" t="s">
        <v>320</v>
      </c>
      <c r="D50" s="176"/>
      <c r="E50" s="176"/>
      <c r="F50" s="177" t="s">
        <v>61</v>
      </c>
      <c r="G50" s="73" t="s">
        <v>56</v>
      </c>
      <c r="H50" s="178">
        <v>44707</v>
      </c>
      <c r="I50" s="179" t="s">
        <v>36</v>
      </c>
      <c r="J50" s="180"/>
    </row>
    <row r="51" spans="1:12" ht="50.25" customHeight="1" x14ac:dyDescent="0.25">
      <c r="A51" s="248"/>
      <c r="B51" s="249"/>
      <c r="C51" s="175" t="s">
        <v>322</v>
      </c>
      <c r="D51" s="176"/>
      <c r="E51" s="176"/>
      <c r="F51" s="177" t="s">
        <v>61</v>
      </c>
      <c r="G51" s="73" t="s">
        <v>56</v>
      </c>
      <c r="H51" s="178">
        <v>44221</v>
      </c>
      <c r="I51" s="179"/>
      <c r="J51" s="180"/>
    </row>
    <row r="52" spans="1:12" x14ac:dyDescent="0.25">
      <c r="A52" s="171" t="s">
        <v>62</v>
      </c>
      <c r="B52" s="171"/>
      <c r="C52" s="171"/>
      <c r="D52" s="250">
        <v>44135</v>
      </c>
      <c r="E52" s="251"/>
      <c r="F52" s="185" t="s">
        <v>63</v>
      </c>
      <c r="G52" s="252"/>
      <c r="H52" s="253">
        <v>47848</v>
      </c>
      <c r="I52" s="218"/>
      <c r="J52" s="219"/>
    </row>
    <row r="53" spans="1:12" ht="18.75" customHeight="1" x14ac:dyDescent="0.25">
      <c r="A53" s="254" t="s">
        <v>64</v>
      </c>
      <c r="B53" s="255"/>
      <c r="C53" s="255"/>
      <c r="D53" s="255"/>
      <c r="E53" s="255"/>
      <c r="F53" s="255"/>
      <c r="G53" s="255"/>
      <c r="H53" s="255"/>
      <c r="I53" s="255"/>
      <c r="J53" s="256"/>
    </row>
    <row r="54" spans="1:12" x14ac:dyDescent="0.25">
      <c r="A54" s="185" t="s">
        <v>65</v>
      </c>
      <c r="B54" s="186"/>
      <c r="C54" s="187"/>
      <c r="D54" s="257">
        <f>1398.13+2920.32</f>
        <v>4318.4500000000007</v>
      </c>
      <c r="E54" s="258"/>
      <c r="F54" s="259" t="s">
        <v>66</v>
      </c>
      <c r="G54" s="260"/>
      <c r="H54" s="215" t="s">
        <v>339</v>
      </c>
      <c r="I54" s="218"/>
      <c r="J54" s="219"/>
    </row>
    <row r="55" spans="1:12" x14ac:dyDescent="0.25">
      <c r="A55" s="185" t="s">
        <v>65</v>
      </c>
      <c r="B55" s="186"/>
      <c r="C55" s="187"/>
      <c r="D55" s="81">
        <f>2594.17+2449.2</f>
        <v>5043.37</v>
      </c>
      <c r="E55" s="218" t="s">
        <v>334</v>
      </c>
      <c r="F55" s="218"/>
      <c r="G55" s="218"/>
      <c r="H55" s="218"/>
      <c r="I55" s="218"/>
      <c r="J55" s="219"/>
    </row>
    <row r="56" spans="1:12" ht="66" customHeight="1" x14ac:dyDescent="0.25">
      <c r="A56" s="215" t="s">
        <v>67</v>
      </c>
      <c r="B56" s="216"/>
      <c r="C56" s="215" t="s">
        <v>335</v>
      </c>
      <c r="D56" s="216"/>
      <c r="E56" s="216"/>
      <c r="F56" s="216"/>
      <c r="G56" s="216"/>
      <c r="H56" s="216"/>
      <c r="I56" s="216"/>
      <c r="J56" s="217"/>
    </row>
    <row r="57" spans="1:12" ht="66" customHeight="1" x14ac:dyDescent="0.25">
      <c r="A57" s="215" t="s">
        <v>336</v>
      </c>
      <c r="B57" s="216"/>
      <c r="C57" s="215" t="s">
        <v>335</v>
      </c>
      <c r="D57" s="216"/>
      <c r="E57" s="216"/>
      <c r="F57" s="216"/>
      <c r="G57" s="216"/>
      <c r="H57" s="216"/>
      <c r="I57" s="216"/>
      <c r="J57" s="217"/>
    </row>
    <row r="58" spans="1:12" ht="15.75" customHeight="1" x14ac:dyDescent="0.25">
      <c r="A58" s="185" t="s">
        <v>69</v>
      </c>
      <c r="B58" s="186"/>
      <c r="C58" s="186"/>
      <c r="D58" s="168" t="s">
        <v>70</v>
      </c>
      <c r="E58" s="169"/>
      <c r="F58" s="169"/>
      <c r="G58" s="169"/>
      <c r="H58" s="169"/>
      <c r="I58" s="169"/>
      <c r="J58" s="170"/>
    </row>
    <row r="59" spans="1:12" s="35" customFormat="1" ht="16.5" thickBot="1" x14ac:dyDescent="0.3">
      <c r="A59" s="238" t="s">
        <v>221</v>
      </c>
      <c r="B59" s="218"/>
      <c r="C59" s="218"/>
      <c r="D59" s="218"/>
      <c r="E59" s="218"/>
      <c r="F59" s="218"/>
      <c r="G59" s="218"/>
      <c r="H59" s="218"/>
      <c r="I59" s="218"/>
      <c r="J59" s="219"/>
    </row>
    <row r="60" spans="1:12" ht="33" customHeight="1" x14ac:dyDescent="0.25">
      <c r="A60" s="155" t="s">
        <v>278</v>
      </c>
      <c r="B60" s="156"/>
      <c r="C60" s="157" t="s">
        <v>324</v>
      </c>
      <c r="D60" s="158"/>
      <c r="E60" s="158"/>
      <c r="F60" s="158"/>
      <c r="G60" s="158"/>
      <c r="H60" s="158"/>
      <c r="I60" s="158"/>
      <c r="J60" s="159"/>
      <c r="K60" s="56" t="e">
        <f>(IF(#REF!&gt;99%,"All work completed. Please provide OC.",IF(#REF!&gt;89.8%,"Plinth, RCC, Brick, Plaster, Flooring, Painting work Completed. Finishing work is in process.",IF(#REF!&lt;94%,(IF(#REF!=0,"Work not yet Started.",IF(#REF!=25%,"Piling work in process",IF(#REF!=50%,"Excavation work in process",IF(#REF!=100%,"Excavation work Completed. ","0")))&amp;(IF(#REF!=0%,"",IF(#REF!=#REF!,"Footing work is process",IF(#REF!=#REF!,"Footing work Completed",IF(#REF!=#REF!,"1st Basement Completed",IF(#REF!=#REF!,"1st &amp; 2nd Basement Completed",IF(#REF!=#REF!,"1st to 3rd Basement Completed",IF(#REF!=#REF!,"1st to 4th Basement Completed",IF(#REF!=#REF!,"Plinth work is process",IF(#REF!=#REF!,"Plinth work completed","0")))))))))))&amp;(IF(#REF!=(D61+G61+I61),", RCC Slab",IF(#REF!&gt;0,", RCC upto "&amp;#REF!&amp;" Slab",""))&amp;(IF(#REF!=I61,", Brickwork",IF(#REF!&gt;0,", Brickwork upto "&amp;#REF!&amp;" Floor",""))&amp;(IF(#REF!=I61,", Internal Plaster",IF(#REF!&gt;0,", Internal Plaster upto "&amp;#REF!&amp;" Floor",""))&amp;(IF(#REF!=I61,", External Plaster",IF(#REF!&gt;0,", External Plaster upto "&amp;#REF!&amp;" Floor",""))&amp;(IF(#REF!=I61,", Flooring",IF(#REF!&gt;0,", Flooring upto "&amp;#REF!&amp;" Floor",""))&amp;(IF(#REF!=I61,", Painting",IF(#REF!&gt;0,", Painting upto "&amp;#REF!&amp;" Floor",""))&amp;(IF(#REF!&gt;0,", Finishing upto "&amp;#REF!&amp;" Floor","")&amp;(IF(#REF!&gt;0.5," Completed",""))))))))))))))</f>
        <v>#REF!</v>
      </c>
      <c r="L60" s="57"/>
    </row>
    <row r="61" spans="1:12" s="35" customFormat="1" ht="15.75" customHeight="1" x14ac:dyDescent="0.25">
      <c r="A61" s="58" t="s">
        <v>146</v>
      </c>
      <c r="B61" s="59">
        <v>0</v>
      </c>
      <c r="C61" s="59" t="s">
        <v>148</v>
      </c>
      <c r="D61" s="59">
        <v>1</v>
      </c>
      <c r="E61" s="160" t="s">
        <v>147</v>
      </c>
      <c r="F61" s="161"/>
      <c r="G61" s="59">
        <v>0</v>
      </c>
      <c r="H61" s="59" t="s">
        <v>279</v>
      </c>
      <c r="I61" s="160">
        <f ca="1">--TRIM(RIGHT(SUBSTITUTE(LEFT(C60,_xlfn.AGGREGATE(16,6,FIND({0,1,2,3,4,5,6,7,8,9},C60,ROW(INDIRECT("1:"&amp;LEN(C60)))),1))," ",REPT(" ",LEN(C60))),LEN(C60)))</f>
        <v>4</v>
      </c>
      <c r="J61" s="162"/>
      <c r="K61" s="60"/>
      <c r="L61" s="61"/>
    </row>
    <row r="62" spans="1:12" ht="15" customHeight="1" x14ac:dyDescent="0.25">
      <c r="A62" s="163" t="s">
        <v>280</v>
      </c>
      <c r="B62" s="115"/>
      <c r="C62" s="164" t="str">
        <f>K62</f>
        <v>All work Completed. OC Received.</v>
      </c>
      <c r="D62" s="165"/>
      <c r="E62" s="165"/>
      <c r="F62" s="165"/>
      <c r="G62" s="165"/>
      <c r="H62" s="165"/>
      <c r="I62" s="165"/>
      <c r="J62" s="166"/>
      <c r="K62" s="60" t="s">
        <v>281</v>
      </c>
      <c r="L62" s="61"/>
    </row>
    <row r="63" spans="1:12" ht="15" customHeight="1" x14ac:dyDescent="0.25">
      <c r="A63" s="96" t="s">
        <v>284</v>
      </c>
      <c r="B63" s="97"/>
      <c r="C63" s="100">
        <v>1</v>
      </c>
      <c r="D63" s="101"/>
      <c r="E63" s="103" t="s">
        <v>285</v>
      </c>
      <c r="F63" s="103"/>
      <c r="G63" s="103"/>
      <c r="H63" s="105">
        <v>1</v>
      </c>
      <c r="I63" s="106"/>
      <c r="J63" s="107"/>
      <c r="K63" s="60"/>
      <c r="L63" s="61"/>
    </row>
    <row r="64" spans="1:12" ht="15" customHeight="1" thickBot="1" x14ac:dyDescent="0.3">
      <c r="A64" s="98"/>
      <c r="B64" s="99"/>
      <c r="C64" s="102"/>
      <c r="D64" s="102"/>
      <c r="E64" s="104"/>
      <c r="F64" s="104"/>
      <c r="G64" s="104"/>
      <c r="H64" s="108"/>
      <c r="I64" s="109"/>
      <c r="J64" s="110"/>
      <c r="K64" s="60"/>
      <c r="L64" s="61"/>
    </row>
    <row r="65" spans="1:12" ht="15" customHeight="1" x14ac:dyDescent="0.25">
      <c r="A65" s="155" t="s">
        <v>278</v>
      </c>
      <c r="B65" s="156"/>
      <c r="C65" s="157" t="s">
        <v>307</v>
      </c>
      <c r="D65" s="158"/>
      <c r="E65" s="158"/>
      <c r="F65" s="158"/>
      <c r="G65" s="158"/>
      <c r="H65" s="158"/>
      <c r="I65" s="158"/>
      <c r="J65" s="159"/>
      <c r="K65" s="56"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completed","0")))))))))))&amp;(IF(C73=(D66+G66+I66),", RCC Slab",IF(C73&gt;0,", RCC upto "&amp;C73&amp;" Slab",""))&amp;(IF(C74=I66,", Brickwork",IF(C74&gt;0,", Brickwork upto "&amp;C74&amp;" Floor",""))&amp;(IF(C75=I66,", Internal Plaster",IF(C75&gt;0,", Internal Plaster upto "&amp;C75&amp;" Floor",""))&amp;(IF(C76=I66,", External Plaster",IF(C76&gt;0,", External Plaster upto "&amp;C76&amp;" Floor",""))&amp;(IF(C77=I66,", Flooring",IF(C77&gt;0,", Flooring upto "&amp;C77&amp;" Floor",""))&amp;(IF(C78=I66,", Painting",IF(C78&gt;0,", Painting upto "&amp;C78&amp;" Floor",""))&amp;(IF(C79&gt;0,", Finishing upto "&amp;C79&amp;" Floor","")&amp;(IF(C73&gt;0.5," Completed",""))))))))))))))</f>
        <v>All work completed. Please provide OC.</v>
      </c>
      <c r="L65" s="57"/>
    </row>
    <row r="66" spans="1:12" s="35" customFormat="1" ht="15.75" customHeight="1" x14ac:dyDescent="0.25">
      <c r="A66" s="58" t="s">
        <v>146</v>
      </c>
      <c r="B66" s="59">
        <v>0</v>
      </c>
      <c r="C66" s="59" t="s">
        <v>148</v>
      </c>
      <c r="D66" s="59">
        <v>1</v>
      </c>
      <c r="E66" s="160" t="s">
        <v>147</v>
      </c>
      <c r="F66" s="161"/>
      <c r="G66" s="59">
        <v>0</v>
      </c>
      <c r="H66" s="59" t="s">
        <v>279</v>
      </c>
      <c r="I66" s="160">
        <f ca="1">--TRIM(RIGHT(SUBSTITUTE(LEFT(C65,_xlfn.AGGREGATE(16,6,FIND({0,1,2,3,4,5,6,7,8,9},C65,ROW(INDIRECT("1:"&amp;LEN(C65)))),1))," ",REPT(" ",LEN(C65))),LEN(C65)))</f>
        <v>7</v>
      </c>
      <c r="J66" s="162"/>
      <c r="K66" s="60"/>
      <c r="L66" s="61"/>
    </row>
    <row r="67" spans="1:12" x14ac:dyDescent="0.25">
      <c r="A67" s="163" t="s">
        <v>280</v>
      </c>
      <c r="B67" s="115"/>
      <c r="C67" s="164" t="str">
        <f ca="1">K65</f>
        <v>All work completed. Please provide OC.</v>
      </c>
      <c r="D67" s="165"/>
      <c r="E67" s="165"/>
      <c r="F67" s="165"/>
      <c r="G67" s="165"/>
      <c r="H67" s="165"/>
      <c r="I67" s="165"/>
      <c r="J67" s="166"/>
      <c r="K67" s="60" t="s">
        <v>281</v>
      </c>
      <c r="L67" s="61"/>
    </row>
    <row r="68" spans="1:12" ht="15" customHeight="1" x14ac:dyDescent="0.25">
      <c r="A68" s="96" t="s">
        <v>284</v>
      </c>
      <c r="B68" s="97"/>
      <c r="C68" s="100">
        <v>1</v>
      </c>
      <c r="D68" s="101"/>
      <c r="E68" s="103" t="s">
        <v>285</v>
      </c>
      <c r="F68" s="103"/>
      <c r="G68" s="103"/>
      <c r="H68" s="105">
        <v>1</v>
      </c>
      <c r="I68" s="106"/>
      <c r="J68" s="107"/>
      <c r="K68" s="60"/>
      <c r="L68" s="61"/>
    </row>
    <row r="69" spans="1:12" ht="15" customHeight="1" thickBot="1" x14ac:dyDescent="0.3">
      <c r="A69" s="98"/>
      <c r="B69" s="99"/>
      <c r="C69" s="102"/>
      <c r="D69" s="102"/>
      <c r="E69" s="104"/>
      <c r="F69" s="104"/>
      <c r="G69" s="104"/>
      <c r="H69" s="108"/>
      <c r="I69" s="109"/>
      <c r="J69" s="110"/>
      <c r="K69" s="60"/>
      <c r="L69" s="61"/>
    </row>
    <row r="70" spans="1:12" hidden="1" x14ac:dyDescent="0.25">
      <c r="A70" s="117" t="s">
        <v>72</v>
      </c>
      <c r="B70" s="118"/>
      <c r="C70" s="69" t="s">
        <v>282</v>
      </c>
      <c r="D70" s="91" t="s">
        <v>283</v>
      </c>
      <c r="E70" s="91"/>
      <c r="F70" s="91" t="s">
        <v>284</v>
      </c>
      <c r="G70" s="91"/>
      <c r="H70" s="91" t="s">
        <v>285</v>
      </c>
      <c r="I70" s="91"/>
      <c r="J70" s="119"/>
      <c r="K70" s="62" t="s">
        <v>286</v>
      </c>
      <c r="L70" s="63">
        <f ca="1">I66*25%</f>
        <v>1.75</v>
      </c>
    </row>
    <row r="71" spans="1:12" hidden="1" x14ac:dyDescent="0.25">
      <c r="A71" s="120" t="s">
        <v>287</v>
      </c>
      <c r="B71" s="91"/>
      <c r="C71" s="70">
        <f ca="1">L72</f>
        <v>7</v>
      </c>
      <c r="D71" s="121">
        <f ca="1">((100/I66)*C71)/100</f>
        <v>1</v>
      </c>
      <c r="E71" s="122"/>
      <c r="F71" s="92">
        <f ca="1">(((C72/I66*10)+(40/(D66+G66+I66)*C73)+(7.5/(I66)*C74)+(7.5/(I66)*C75)+(10/I66*C76)+(10/I66*C77)+(5/I66*C78)+(5/I66*C79)+(5/I66*C80))/100)</f>
        <v>1</v>
      </c>
      <c r="G71" s="92"/>
      <c r="H71" s="124">
        <f ca="1">((((C71/I66)*20)+((C72/I66)*25)+(30/(I66+G66+D66)*C73)+(5/I66*C74)+(5/I66*C75)+(5/I66*C76)+(5/I66*C77)+(0/I66*C78)+(0/I66*C79)+(5/I66*C80))/100)</f>
        <v>1</v>
      </c>
      <c r="I71" s="125"/>
      <c r="J71" s="126"/>
      <c r="K71" s="62" t="s">
        <v>154</v>
      </c>
      <c r="L71" s="64">
        <f ca="1">I66*50%</f>
        <v>3.5</v>
      </c>
    </row>
    <row r="72" spans="1:12" hidden="1" x14ac:dyDescent="0.25">
      <c r="A72" s="120" t="s">
        <v>74</v>
      </c>
      <c r="B72" s="91"/>
      <c r="C72" s="71">
        <f ca="1">L80</f>
        <v>7</v>
      </c>
      <c r="D72" s="121">
        <f ca="1">((100/I66)*C72)/100</f>
        <v>1</v>
      </c>
      <c r="E72" s="122"/>
      <c r="F72" s="92"/>
      <c r="G72" s="92"/>
      <c r="H72" s="127"/>
      <c r="I72" s="128"/>
      <c r="J72" s="129"/>
      <c r="K72" s="62" t="s">
        <v>155</v>
      </c>
      <c r="L72" s="64">
        <f ca="1">I66</f>
        <v>7</v>
      </c>
    </row>
    <row r="73" spans="1:12" hidden="1" x14ac:dyDescent="0.25">
      <c r="A73" s="133" t="s">
        <v>288</v>
      </c>
      <c r="B73" s="95"/>
      <c r="C73" s="71">
        <v>8</v>
      </c>
      <c r="D73" s="121">
        <f ca="1">((100/(D66+G66+I66))*C73)/100</f>
        <v>1</v>
      </c>
      <c r="E73" s="122"/>
      <c r="F73" s="92"/>
      <c r="G73" s="92"/>
      <c r="H73" s="127"/>
      <c r="I73" s="128"/>
      <c r="J73" s="129"/>
      <c r="K73" s="62" t="s">
        <v>156</v>
      </c>
      <c r="L73" s="65">
        <f ca="1">(IF(B66&gt;1,(I66/(B66+2)),I66/4))</f>
        <v>1.75</v>
      </c>
    </row>
    <row r="74" spans="1:12" hidden="1" x14ac:dyDescent="0.25">
      <c r="A74" s="120" t="s">
        <v>289</v>
      </c>
      <c r="B74" s="91" t="s">
        <v>290</v>
      </c>
      <c r="C74" s="70">
        <v>7</v>
      </c>
      <c r="D74" s="121">
        <f ca="1">((100/I66)*C74)/100</f>
        <v>1</v>
      </c>
      <c r="E74" s="122"/>
      <c r="F74" s="92"/>
      <c r="G74" s="92"/>
      <c r="H74" s="127"/>
      <c r="I74" s="128"/>
      <c r="J74" s="129"/>
      <c r="K74" s="62" t="s">
        <v>157</v>
      </c>
      <c r="L74" s="65">
        <f ca="1">(IF(B66&gt;1,(I66/(B66+2)+L73),I66/4+L73))</f>
        <v>3.5</v>
      </c>
    </row>
    <row r="75" spans="1:12" ht="15" hidden="1" customHeight="1" x14ac:dyDescent="0.25">
      <c r="A75" s="120" t="s">
        <v>291</v>
      </c>
      <c r="B75" s="91" t="s">
        <v>290</v>
      </c>
      <c r="C75" s="70">
        <v>7</v>
      </c>
      <c r="D75" s="121">
        <f ca="1">((100/I66)*C75)/100</f>
        <v>1</v>
      </c>
      <c r="E75" s="122"/>
      <c r="F75" s="92"/>
      <c r="G75" s="92"/>
      <c r="H75" s="127"/>
      <c r="I75" s="128"/>
      <c r="J75" s="129"/>
      <c r="K75" s="62" t="s">
        <v>292</v>
      </c>
      <c r="L75" s="65">
        <f>(IF(B66&gt;1,(I66/(B66+2)+L74),0))</f>
        <v>0</v>
      </c>
    </row>
    <row r="76" spans="1:12" hidden="1" x14ac:dyDescent="0.25">
      <c r="A76" s="120" t="s">
        <v>293</v>
      </c>
      <c r="B76" s="91" t="s">
        <v>294</v>
      </c>
      <c r="C76" s="70">
        <v>7</v>
      </c>
      <c r="D76" s="121">
        <f ca="1">((100/(I66))*C76)/100</f>
        <v>1</v>
      </c>
      <c r="E76" s="122"/>
      <c r="F76" s="92"/>
      <c r="G76" s="92"/>
      <c r="H76" s="127"/>
      <c r="I76" s="128"/>
      <c r="J76" s="129"/>
      <c r="K76" s="62" t="s">
        <v>295</v>
      </c>
      <c r="L76" s="65">
        <f>(IF(B66&gt;2,(I66/(B66+2)+L75),0))</f>
        <v>0</v>
      </c>
    </row>
    <row r="77" spans="1:12" hidden="1" x14ac:dyDescent="0.25">
      <c r="A77" s="120" t="s">
        <v>296</v>
      </c>
      <c r="B77" s="91" t="s">
        <v>296</v>
      </c>
      <c r="C77" s="70">
        <v>7</v>
      </c>
      <c r="D77" s="121">
        <f ca="1">((100/I66)*C77)/100</f>
        <v>1</v>
      </c>
      <c r="E77" s="122"/>
      <c r="F77" s="92"/>
      <c r="G77" s="92"/>
      <c r="H77" s="127"/>
      <c r="I77" s="128"/>
      <c r="J77" s="129"/>
      <c r="K77" s="62" t="s">
        <v>297</v>
      </c>
      <c r="L77" s="66">
        <f>(IF(B66&gt;3,(I66/(B66+2)+L76),0))</f>
        <v>0</v>
      </c>
    </row>
    <row r="78" spans="1:12" ht="15" hidden="1" customHeight="1" x14ac:dyDescent="0.25">
      <c r="A78" s="120" t="s">
        <v>298</v>
      </c>
      <c r="B78" s="91"/>
      <c r="C78" s="70">
        <v>7</v>
      </c>
      <c r="D78" s="121">
        <f ca="1">((100/I66)*C78)/100</f>
        <v>1</v>
      </c>
      <c r="E78" s="122"/>
      <c r="F78" s="92"/>
      <c r="G78" s="92"/>
      <c r="H78" s="127"/>
      <c r="I78" s="128"/>
      <c r="J78" s="129"/>
      <c r="K78" s="62" t="s">
        <v>299</v>
      </c>
      <c r="L78" s="65">
        <f>(IF(B66&gt;4,(I66/(B66+2)+L77),0))</f>
        <v>0</v>
      </c>
    </row>
    <row r="79" spans="1:12" hidden="1" x14ac:dyDescent="0.25">
      <c r="A79" s="120" t="s">
        <v>300</v>
      </c>
      <c r="B79" s="91" t="s">
        <v>300</v>
      </c>
      <c r="C79" s="70">
        <v>7</v>
      </c>
      <c r="D79" s="121">
        <f ca="1">((100/(I66))*C79)/100</f>
        <v>1</v>
      </c>
      <c r="E79" s="122"/>
      <c r="F79" s="92"/>
      <c r="G79" s="92"/>
      <c r="H79" s="127"/>
      <c r="I79" s="128"/>
      <c r="J79" s="129"/>
      <c r="K79" s="62" t="s">
        <v>158</v>
      </c>
      <c r="L79" s="65">
        <f ca="1">(IF(B66=1,(I66/(B66+3)+L74),IF(B66=0,(I66/4+L74),IF(B66&gt;1,0))))</f>
        <v>5.25</v>
      </c>
    </row>
    <row r="80" spans="1:12" ht="16.5" hidden="1" thickBot="1" x14ac:dyDescent="0.3">
      <c r="A80" s="111" t="s">
        <v>301</v>
      </c>
      <c r="B80" s="112"/>
      <c r="C80" s="72">
        <v>7</v>
      </c>
      <c r="D80" s="113">
        <f ca="1">((100/(I66))*C80)/100</f>
        <v>1</v>
      </c>
      <c r="E80" s="114"/>
      <c r="F80" s="123"/>
      <c r="G80" s="123"/>
      <c r="H80" s="130"/>
      <c r="I80" s="131"/>
      <c r="J80" s="132"/>
      <c r="K80" s="67" t="s">
        <v>159</v>
      </c>
      <c r="L80" s="68">
        <f ca="1">(IF(B66&gt;1.5,(I66/(B66+2)+L74+MAX(0,L75-L74)+MAX(0,L76-L75)+MAX(0,L77-L76)+MAX(0,L78-L77)+MAX(0,L79-L78)),IF(B66=1,(I66/(B66+3)+L79),IF(B66=0,I66/4+L79))))</f>
        <v>7</v>
      </c>
    </row>
    <row r="81" spans="1:12" ht="15" customHeight="1" x14ac:dyDescent="0.25">
      <c r="A81" s="155" t="s">
        <v>278</v>
      </c>
      <c r="B81" s="156"/>
      <c r="C81" s="157" t="s">
        <v>341</v>
      </c>
      <c r="D81" s="158"/>
      <c r="E81" s="158"/>
      <c r="F81" s="158"/>
      <c r="G81" s="158"/>
      <c r="H81" s="158"/>
      <c r="I81" s="158"/>
      <c r="J81" s="159"/>
      <c r="K81" s="56"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Excavation work Completed. Plinth work completed</v>
      </c>
      <c r="L81" s="57"/>
    </row>
    <row r="82" spans="1:12" s="35" customFormat="1" ht="15.75" customHeight="1" x14ac:dyDescent="0.25">
      <c r="A82" s="78" t="s">
        <v>146</v>
      </c>
      <c r="B82" s="79">
        <v>0</v>
      </c>
      <c r="C82" s="79" t="s">
        <v>148</v>
      </c>
      <c r="D82" s="79">
        <v>1</v>
      </c>
      <c r="E82" s="160" t="s">
        <v>147</v>
      </c>
      <c r="F82" s="161"/>
      <c r="G82" s="79">
        <v>0</v>
      </c>
      <c r="H82" s="79" t="s">
        <v>279</v>
      </c>
      <c r="I82" s="160">
        <f ca="1">--TRIM(RIGHT(SUBSTITUTE(LEFT(C81,_xlfn.AGGREGATE(16,6,FIND({0,1,2,3,4,5,6,7,8,9},C81,ROW(INDIRECT("1:"&amp;LEN(C81)))),1))," ",REPT(" ",LEN(C81))),LEN(C81)))</f>
        <v>7</v>
      </c>
      <c r="J82" s="162"/>
      <c r="K82" s="60"/>
      <c r="L82" s="61"/>
    </row>
    <row r="83" spans="1:12" x14ac:dyDescent="0.25">
      <c r="A83" s="163" t="s">
        <v>280</v>
      </c>
      <c r="B83" s="115"/>
      <c r="C83" s="164" t="str">
        <f ca="1">K81</f>
        <v>Excavation work Completed. Plinth work completed</v>
      </c>
      <c r="D83" s="165"/>
      <c r="E83" s="165"/>
      <c r="F83" s="165"/>
      <c r="G83" s="165"/>
      <c r="H83" s="165"/>
      <c r="I83" s="165"/>
      <c r="J83" s="166"/>
      <c r="K83" s="60" t="s">
        <v>281</v>
      </c>
      <c r="L83" s="61"/>
    </row>
    <row r="84" spans="1:12" x14ac:dyDescent="0.25">
      <c r="A84" s="117" t="s">
        <v>72</v>
      </c>
      <c r="B84" s="118"/>
      <c r="C84" s="77" t="s">
        <v>282</v>
      </c>
      <c r="D84" s="91" t="s">
        <v>283</v>
      </c>
      <c r="E84" s="91"/>
      <c r="F84" s="91" t="s">
        <v>284</v>
      </c>
      <c r="G84" s="91"/>
      <c r="H84" s="91" t="s">
        <v>285</v>
      </c>
      <c r="I84" s="91"/>
      <c r="J84" s="119"/>
      <c r="K84" s="62" t="s">
        <v>286</v>
      </c>
      <c r="L84" s="63">
        <f ca="1">I82*25%</f>
        <v>1.75</v>
      </c>
    </row>
    <row r="85" spans="1:12" x14ac:dyDescent="0.25">
      <c r="A85" s="120" t="s">
        <v>287</v>
      </c>
      <c r="B85" s="91"/>
      <c r="C85" s="70">
        <f ca="1">L86</f>
        <v>7</v>
      </c>
      <c r="D85" s="121">
        <f ca="1">((100/I82)*C85)/100</f>
        <v>1</v>
      </c>
      <c r="E85" s="122"/>
      <c r="F85" s="92">
        <f ca="1">(((C86/I82*10)+(40/(D82+G82+I82)*C87)+(7.5/(I82)*C88)+(7.5/(I82)*C89)+(10/I82*C90)+(10/I82*C91)+(5/I82*C92)+(5/I82*C93)+(5/I82*C94))/100)</f>
        <v>0.1</v>
      </c>
      <c r="G85" s="92"/>
      <c r="H85" s="124">
        <f ca="1">((((C85/I82)*20)+((C86/I82)*25)+(30/(I82+G82+D82)*C87)+(5/I82*C88)+(5/I82*C89)+(5/I82*C90)+(5/I82*C91)+(0/I82*C92)+(0/I82*C93)+(5/I82*C94))/100)</f>
        <v>0.45</v>
      </c>
      <c r="I85" s="125"/>
      <c r="J85" s="126"/>
      <c r="K85" s="62" t="s">
        <v>154</v>
      </c>
      <c r="L85" s="64">
        <f ca="1">I82*50%</f>
        <v>3.5</v>
      </c>
    </row>
    <row r="86" spans="1:12" x14ac:dyDescent="0.25">
      <c r="A86" s="120" t="s">
        <v>74</v>
      </c>
      <c r="B86" s="91"/>
      <c r="C86" s="71">
        <f ca="1">L94</f>
        <v>7</v>
      </c>
      <c r="D86" s="121">
        <f ca="1">((100/I82)*C86)/100</f>
        <v>1</v>
      </c>
      <c r="E86" s="122"/>
      <c r="F86" s="92"/>
      <c r="G86" s="92"/>
      <c r="H86" s="127"/>
      <c r="I86" s="128"/>
      <c r="J86" s="129"/>
      <c r="K86" s="62" t="s">
        <v>155</v>
      </c>
      <c r="L86" s="64">
        <f ca="1">I82</f>
        <v>7</v>
      </c>
    </row>
    <row r="87" spans="1:12" x14ac:dyDescent="0.25">
      <c r="A87" s="133" t="s">
        <v>288</v>
      </c>
      <c r="B87" s="95"/>
      <c r="C87" s="71">
        <v>0</v>
      </c>
      <c r="D87" s="121">
        <f ca="1">((100/(D82+G82+I82))*C87)/100</f>
        <v>0</v>
      </c>
      <c r="E87" s="122"/>
      <c r="F87" s="92"/>
      <c r="G87" s="92"/>
      <c r="H87" s="127"/>
      <c r="I87" s="128"/>
      <c r="J87" s="129"/>
      <c r="K87" s="62" t="s">
        <v>156</v>
      </c>
      <c r="L87" s="65">
        <f ca="1">(IF(B82&gt;1,(I82/(B82+2)),I82/4))</f>
        <v>1.75</v>
      </c>
    </row>
    <row r="88" spans="1:12" x14ac:dyDescent="0.25">
      <c r="A88" s="120" t="s">
        <v>289</v>
      </c>
      <c r="B88" s="91" t="s">
        <v>290</v>
      </c>
      <c r="C88" s="70">
        <v>0</v>
      </c>
      <c r="D88" s="121">
        <f ca="1">((100/I82)*C88)/100</f>
        <v>0</v>
      </c>
      <c r="E88" s="122"/>
      <c r="F88" s="92"/>
      <c r="G88" s="92"/>
      <c r="H88" s="127"/>
      <c r="I88" s="128"/>
      <c r="J88" s="129"/>
      <c r="K88" s="62" t="s">
        <v>157</v>
      </c>
      <c r="L88" s="65">
        <f ca="1">(IF(B82&gt;1,(I82/(B82+2)+L87),I82/4+L87))</f>
        <v>3.5</v>
      </c>
    </row>
    <row r="89" spans="1:12" ht="15" customHeight="1" x14ac:dyDescent="0.25">
      <c r="A89" s="120" t="s">
        <v>291</v>
      </c>
      <c r="B89" s="91" t="s">
        <v>290</v>
      </c>
      <c r="C89" s="70">
        <v>0</v>
      </c>
      <c r="D89" s="121">
        <f ca="1">((100/I82)*C89)/100</f>
        <v>0</v>
      </c>
      <c r="E89" s="122"/>
      <c r="F89" s="92"/>
      <c r="G89" s="92"/>
      <c r="H89" s="127"/>
      <c r="I89" s="128"/>
      <c r="J89" s="129"/>
      <c r="K89" s="62" t="s">
        <v>292</v>
      </c>
      <c r="L89" s="65">
        <f>(IF(B82&gt;1,(I82/(B82+2)+L88),0))</f>
        <v>0</v>
      </c>
    </row>
    <row r="90" spans="1:12" x14ac:dyDescent="0.25">
      <c r="A90" s="120" t="s">
        <v>293</v>
      </c>
      <c r="B90" s="91" t="s">
        <v>294</v>
      </c>
      <c r="C90" s="70">
        <v>0</v>
      </c>
      <c r="D90" s="121">
        <f ca="1">((100/(I82))*C90)/100</f>
        <v>0</v>
      </c>
      <c r="E90" s="122"/>
      <c r="F90" s="92"/>
      <c r="G90" s="92"/>
      <c r="H90" s="127"/>
      <c r="I90" s="128"/>
      <c r="J90" s="129"/>
      <c r="K90" s="62" t="s">
        <v>295</v>
      </c>
      <c r="L90" s="65">
        <f>(IF(B82&gt;2,(I82/(B82+2)+L89),0))</f>
        <v>0</v>
      </c>
    </row>
    <row r="91" spans="1:12" x14ac:dyDescent="0.25">
      <c r="A91" s="120" t="s">
        <v>296</v>
      </c>
      <c r="B91" s="91" t="s">
        <v>296</v>
      </c>
      <c r="C91" s="70">
        <v>0</v>
      </c>
      <c r="D91" s="121">
        <f ca="1">((100/I82)*C91)/100</f>
        <v>0</v>
      </c>
      <c r="E91" s="122"/>
      <c r="F91" s="92"/>
      <c r="G91" s="92"/>
      <c r="H91" s="127"/>
      <c r="I91" s="128"/>
      <c r="J91" s="129"/>
      <c r="K91" s="62" t="s">
        <v>297</v>
      </c>
      <c r="L91" s="66">
        <f>(IF(B82&gt;3,(I82/(B82+2)+L90),0))</f>
        <v>0</v>
      </c>
    </row>
    <row r="92" spans="1:12" ht="15" customHeight="1" x14ac:dyDescent="0.25">
      <c r="A92" s="120" t="s">
        <v>298</v>
      </c>
      <c r="B92" s="91"/>
      <c r="C92" s="70">
        <v>0</v>
      </c>
      <c r="D92" s="121">
        <f ca="1">((100/I82)*C92)/100</f>
        <v>0</v>
      </c>
      <c r="E92" s="122"/>
      <c r="F92" s="92"/>
      <c r="G92" s="92"/>
      <c r="H92" s="127"/>
      <c r="I92" s="128"/>
      <c r="J92" s="129"/>
      <c r="K92" s="62" t="s">
        <v>299</v>
      </c>
      <c r="L92" s="65">
        <f>(IF(B82&gt;4,(I82/(B82+2)+L91),0))</f>
        <v>0</v>
      </c>
    </row>
    <row r="93" spans="1:12" x14ac:dyDescent="0.25">
      <c r="A93" s="120" t="s">
        <v>300</v>
      </c>
      <c r="B93" s="91" t="s">
        <v>300</v>
      </c>
      <c r="C93" s="70">
        <v>0</v>
      </c>
      <c r="D93" s="121">
        <f ca="1">((100/(I82))*C93)/100</f>
        <v>0</v>
      </c>
      <c r="E93" s="122"/>
      <c r="F93" s="92"/>
      <c r="G93" s="92"/>
      <c r="H93" s="127"/>
      <c r="I93" s="128"/>
      <c r="J93" s="129"/>
      <c r="K93" s="62" t="s">
        <v>158</v>
      </c>
      <c r="L93" s="65">
        <f ca="1">(IF(B82=1,(I82/(B82+3)+L88),IF(B82=0,(I82/4+L88),IF(B82&gt;1,0))))</f>
        <v>5.25</v>
      </c>
    </row>
    <row r="94" spans="1:12" ht="16.5" thickBot="1" x14ac:dyDescent="0.3">
      <c r="A94" s="111" t="s">
        <v>301</v>
      </c>
      <c r="B94" s="112"/>
      <c r="C94" s="72">
        <v>0</v>
      </c>
      <c r="D94" s="113">
        <f ca="1">((100/(I82))*C94)/100</f>
        <v>0</v>
      </c>
      <c r="E94" s="114"/>
      <c r="F94" s="123"/>
      <c r="G94" s="123"/>
      <c r="H94" s="130"/>
      <c r="I94" s="131"/>
      <c r="J94" s="132"/>
      <c r="K94" s="67" t="s">
        <v>159</v>
      </c>
      <c r="L94" s="68">
        <f ca="1">(IF(B82&gt;1.5,(I82/(B82+2)+L88+MAX(0,L89-L88)+MAX(0,L90-L89)+MAX(0,L91-L90)+MAX(0,L92-L91)+MAX(0,L93-L92)),IF(B82=1,(I82/(B82+3)+L93),IF(B82=0,I82/4+L93))))</f>
        <v>7</v>
      </c>
    </row>
    <row r="95" spans="1:12" ht="15" customHeight="1" x14ac:dyDescent="0.25">
      <c r="A95" s="155" t="s">
        <v>278</v>
      </c>
      <c r="B95" s="156"/>
      <c r="C95" s="157" t="s">
        <v>342</v>
      </c>
      <c r="D95" s="158"/>
      <c r="E95" s="158"/>
      <c r="F95" s="158"/>
      <c r="G95" s="158"/>
      <c r="H95" s="158"/>
      <c r="I95" s="158"/>
      <c r="J95" s="159"/>
      <c r="K95" s="56" t="str">
        <f ca="1">(IF(F99&gt;99%,"All work completed. Please provide OC.",IF(F99&gt;89.8%,"Plinth, RCC, Brick, Plaster, Flooring, Painting work Completed. Finishing work is in process.",IF(F99&lt;94%,(IF(C99=0,"Work not yet Started.",IF(D99=25%,"Piling work in process",IF(D99=50%,"Excavation work in process",IF(D99=100%,"Excavation work Completed. ","0")))&amp;(IF(C100=0%,"",IF(C100=L101,"Footing work is process",IF(C100=L102,"Footing work Completed",IF(C100=L103,"1st Basement Completed",IF(C100=L104,"1st &amp; 2nd Basement Completed",IF(C100=L105,"1st to 3rd Basement Completed",IF(C100=L106,"1st to 4th Basement Completed",IF(C100=L107,"Plinth work is process",IF(C100=L108,"Plinth work completed","0")))))))))))&amp;(IF(C101=(D96+G96+I96),", RCC Slab",IF(C101&gt;0,", RCC upto "&amp;C101&amp;" Slab",""))&amp;(IF(C102=I96,", Brickwork",IF(C102&gt;0,", Brickwork upto "&amp;C102&amp;" Floor",""))&amp;(IF(C103=I96,", Internal Plaster",IF(C103&gt;0,", Internal Plaster upto "&amp;C103&amp;" Floor",""))&amp;(IF(C104=I96,", External Plaster",IF(C104&gt;0,", External Plaster upto "&amp;C104&amp;" Floor",""))&amp;(IF(C105=I96,", Flooring",IF(C105&gt;0,", Flooring upto "&amp;C105&amp;" Floor",""))&amp;(IF(C106=I96,", Painting",IF(C106&gt;0,", Painting upto "&amp;C106&amp;" Floor",""))&amp;(IF(C107&gt;0,", Finishing upto "&amp;C107&amp;" Floor","")&amp;(IF(C101&gt;0.5," Completed",""))))))))))))))</f>
        <v>Excavation work Completed. Plinth work completed, RCC Slab, Brickwork upto 3 Floor Completed</v>
      </c>
      <c r="L95" s="57"/>
    </row>
    <row r="96" spans="1:12" s="35" customFormat="1" ht="15.75" customHeight="1" x14ac:dyDescent="0.25">
      <c r="A96" s="86" t="s">
        <v>146</v>
      </c>
      <c r="B96" s="87">
        <v>0</v>
      </c>
      <c r="C96" s="87" t="s">
        <v>148</v>
      </c>
      <c r="D96" s="87">
        <v>1</v>
      </c>
      <c r="E96" s="160" t="s">
        <v>147</v>
      </c>
      <c r="F96" s="161"/>
      <c r="G96" s="87">
        <v>0</v>
      </c>
      <c r="H96" s="87" t="s">
        <v>279</v>
      </c>
      <c r="I96" s="160">
        <f ca="1">--TRIM(RIGHT(SUBSTITUTE(LEFT(C95,_xlfn.AGGREGATE(16,6,FIND({0,1,2,3,4,5,6,7,8,9},C95,ROW(INDIRECT("1:"&amp;LEN(C95)))),1))," ",REPT(" ",LEN(C95))),LEN(C95)))</f>
        <v>7</v>
      </c>
      <c r="J96" s="162"/>
      <c r="K96" s="60"/>
      <c r="L96" s="61"/>
    </row>
    <row r="97" spans="1:12" ht="32.450000000000003" customHeight="1" x14ac:dyDescent="0.25">
      <c r="A97" s="163" t="s">
        <v>280</v>
      </c>
      <c r="B97" s="115"/>
      <c r="C97" s="164" t="str">
        <f ca="1">K95</f>
        <v>Excavation work Completed. Plinth work completed, RCC Slab, Brickwork upto 3 Floor Completed</v>
      </c>
      <c r="D97" s="165"/>
      <c r="E97" s="165"/>
      <c r="F97" s="165"/>
      <c r="G97" s="165"/>
      <c r="H97" s="165"/>
      <c r="I97" s="165"/>
      <c r="J97" s="166"/>
      <c r="K97" s="60" t="s">
        <v>281</v>
      </c>
      <c r="L97" s="61"/>
    </row>
    <row r="98" spans="1:12" x14ac:dyDescent="0.25">
      <c r="A98" s="117" t="s">
        <v>72</v>
      </c>
      <c r="B98" s="118"/>
      <c r="C98" s="85" t="s">
        <v>282</v>
      </c>
      <c r="D98" s="91" t="s">
        <v>283</v>
      </c>
      <c r="E98" s="91"/>
      <c r="F98" s="91" t="s">
        <v>284</v>
      </c>
      <c r="G98" s="91"/>
      <c r="H98" s="91" t="s">
        <v>285</v>
      </c>
      <c r="I98" s="91"/>
      <c r="J98" s="119"/>
      <c r="K98" s="62" t="s">
        <v>286</v>
      </c>
      <c r="L98" s="63">
        <f ca="1">I96*25%</f>
        <v>1.75</v>
      </c>
    </row>
    <row r="99" spans="1:12" x14ac:dyDescent="0.25">
      <c r="A99" s="91" t="s">
        <v>287</v>
      </c>
      <c r="B99" s="91"/>
      <c r="C99" s="70">
        <f ca="1">L100</f>
        <v>7</v>
      </c>
      <c r="D99" s="92">
        <f ca="1">((100/I96)*C99)/100</f>
        <v>1</v>
      </c>
      <c r="E99" s="92"/>
      <c r="F99" s="92">
        <f ca="1">(((C100/I96*10)+(40/(D96+G96+I96)*C101)+(7.5/(I96)*C102)+(7.5/(I96)*C103)+(10/I96*C104)+(10/I96*C105)+(5/I96*C106)+(5/I96*C107)+(5/I96*C108))/100)</f>
        <v>0.53214285714285714</v>
      </c>
      <c r="G99" s="92"/>
      <c r="H99" s="92">
        <f ca="1">((((C99/I96)*20)+((C100/I96)*25)+(30/(I96+G96+D96)*C101)+(5/I96*C102)+(5/I96*C103)+(5/I96*C104)+(5/I96*C105)+(0/I96*C106)+(0/I96*C107)+(5/I96*C108))/100)</f>
        <v>0.77142857142857135</v>
      </c>
      <c r="I99" s="92"/>
      <c r="J99" s="92"/>
      <c r="K99" s="62" t="s">
        <v>154</v>
      </c>
      <c r="L99" s="64">
        <f ca="1">I96*50%</f>
        <v>3.5</v>
      </c>
    </row>
    <row r="100" spans="1:12" x14ac:dyDescent="0.25">
      <c r="A100" s="91" t="s">
        <v>74</v>
      </c>
      <c r="B100" s="91"/>
      <c r="C100" s="71">
        <f ca="1">L108</f>
        <v>7</v>
      </c>
      <c r="D100" s="92">
        <f ca="1">((100/I96)*C100)/100</f>
        <v>1</v>
      </c>
      <c r="E100" s="92"/>
      <c r="F100" s="92"/>
      <c r="G100" s="92"/>
      <c r="H100" s="92"/>
      <c r="I100" s="92"/>
      <c r="J100" s="92"/>
      <c r="K100" s="62" t="s">
        <v>155</v>
      </c>
      <c r="L100" s="64">
        <f ca="1">I96</f>
        <v>7</v>
      </c>
    </row>
    <row r="101" spans="1:12" x14ac:dyDescent="0.25">
      <c r="A101" s="95" t="s">
        <v>288</v>
      </c>
      <c r="B101" s="95"/>
      <c r="C101" s="71">
        <v>8</v>
      </c>
      <c r="D101" s="92">
        <f ca="1">((100/(D96+G96+I96))*C101)/100</f>
        <v>1</v>
      </c>
      <c r="E101" s="92"/>
      <c r="F101" s="92"/>
      <c r="G101" s="92"/>
      <c r="H101" s="92"/>
      <c r="I101" s="92"/>
      <c r="J101" s="92"/>
      <c r="K101" s="62" t="s">
        <v>156</v>
      </c>
      <c r="L101" s="65">
        <f ca="1">(IF(B96&gt;1,(I96/(B96+2)),I96/4))</f>
        <v>1.75</v>
      </c>
    </row>
    <row r="102" spans="1:12" x14ac:dyDescent="0.25">
      <c r="A102" s="91" t="s">
        <v>289</v>
      </c>
      <c r="B102" s="91" t="s">
        <v>290</v>
      </c>
      <c r="C102" s="70">
        <v>3</v>
      </c>
      <c r="D102" s="92">
        <f ca="1">((100/I96)*C102)/100</f>
        <v>0.4285714285714286</v>
      </c>
      <c r="E102" s="92"/>
      <c r="F102" s="92"/>
      <c r="G102" s="92"/>
      <c r="H102" s="92"/>
      <c r="I102" s="92"/>
      <c r="J102" s="92"/>
      <c r="K102" s="62" t="s">
        <v>157</v>
      </c>
      <c r="L102" s="65">
        <f ca="1">(IF(B96&gt;1,(I96/(B96+2)+L101),I96/4+L101))</f>
        <v>3.5</v>
      </c>
    </row>
    <row r="103" spans="1:12" ht="15" customHeight="1" x14ac:dyDescent="0.25">
      <c r="A103" s="91" t="s">
        <v>291</v>
      </c>
      <c r="B103" s="91" t="s">
        <v>290</v>
      </c>
      <c r="C103" s="70">
        <v>0</v>
      </c>
      <c r="D103" s="92">
        <f ca="1">((100/I96)*C103)/100</f>
        <v>0</v>
      </c>
      <c r="E103" s="92"/>
      <c r="F103" s="92"/>
      <c r="G103" s="92"/>
      <c r="H103" s="92"/>
      <c r="I103" s="92"/>
      <c r="J103" s="92"/>
      <c r="K103" s="62" t="s">
        <v>292</v>
      </c>
      <c r="L103" s="65">
        <f>(IF(B96&gt;1,(I96/(B96+2)+L102),0))</f>
        <v>0</v>
      </c>
    </row>
    <row r="104" spans="1:12" x14ac:dyDescent="0.25">
      <c r="A104" s="91" t="s">
        <v>293</v>
      </c>
      <c r="B104" s="91" t="s">
        <v>294</v>
      </c>
      <c r="C104" s="70">
        <v>0</v>
      </c>
      <c r="D104" s="92">
        <f ca="1">((100/(I96))*C104)/100</f>
        <v>0</v>
      </c>
      <c r="E104" s="92"/>
      <c r="F104" s="92"/>
      <c r="G104" s="92"/>
      <c r="H104" s="92"/>
      <c r="I104" s="92"/>
      <c r="J104" s="92"/>
      <c r="K104" s="62" t="s">
        <v>295</v>
      </c>
      <c r="L104" s="65">
        <f>(IF(B96&gt;2,(I96/(B96+2)+L103),0))</f>
        <v>0</v>
      </c>
    </row>
    <row r="105" spans="1:12" x14ac:dyDescent="0.25">
      <c r="A105" s="91" t="s">
        <v>296</v>
      </c>
      <c r="B105" s="91" t="s">
        <v>296</v>
      </c>
      <c r="C105" s="70">
        <v>0</v>
      </c>
      <c r="D105" s="92">
        <f ca="1">((100/I96)*C105)/100</f>
        <v>0</v>
      </c>
      <c r="E105" s="92"/>
      <c r="F105" s="92"/>
      <c r="G105" s="92"/>
      <c r="H105" s="92"/>
      <c r="I105" s="92"/>
      <c r="J105" s="92"/>
      <c r="K105" s="62" t="s">
        <v>297</v>
      </c>
      <c r="L105" s="66">
        <f>(IF(B96&gt;3,(I96/(B96+2)+L104),0))</f>
        <v>0</v>
      </c>
    </row>
    <row r="106" spans="1:12" ht="15" customHeight="1" x14ac:dyDescent="0.25">
      <c r="A106" s="91" t="s">
        <v>298</v>
      </c>
      <c r="B106" s="91"/>
      <c r="C106" s="70">
        <v>0</v>
      </c>
      <c r="D106" s="92">
        <f ca="1">((100/I96)*C106)/100</f>
        <v>0</v>
      </c>
      <c r="E106" s="92"/>
      <c r="F106" s="92"/>
      <c r="G106" s="92"/>
      <c r="H106" s="92"/>
      <c r="I106" s="92"/>
      <c r="J106" s="92"/>
      <c r="K106" s="62" t="s">
        <v>299</v>
      </c>
      <c r="L106" s="65">
        <f>(IF(B96&gt;4,(I96/(B96+2)+L105),0))</f>
        <v>0</v>
      </c>
    </row>
    <row r="107" spans="1:12" x14ac:dyDescent="0.25">
      <c r="A107" s="91" t="s">
        <v>300</v>
      </c>
      <c r="B107" s="91" t="s">
        <v>300</v>
      </c>
      <c r="C107" s="70">
        <v>0</v>
      </c>
      <c r="D107" s="92">
        <f ca="1">((100/(I96))*C107)/100</f>
        <v>0</v>
      </c>
      <c r="E107" s="92"/>
      <c r="F107" s="92"/>
      <c r="G107" s="92"/>
      <c r="H107" s="92"/>
      <c r="I107" s="92"/>
      <c r="J107" s="92"/>
      <c r="K107" s="62" t="s">
        <v>158</v>
      </c>
      <c r="L107" s="65">
        <f ca="1">(IF(B96=1,(I96/(B96+3)+L102),IF(B96=0,(I96/4+L102),IF(B96&gt;1,0))))</f>
        <v>5.25</v>
      </c>
    </row>
    <row r="108" spans="1:12" ht="16.5" thickBot="1" x14ac:dyDescent="0.3">
      <c r="A108" s="91" t="s">
        <v>301</v>
      </c>
      <c r="B108" s="91"/>
      <c r="C108" s="70">
        <v>0</v>
      </c>
      <c r="D108" s="92">
        <f ca="1">((100/(I96))*C108)/100</f>
        <v>0</v>
      </c>
      <c r="E108" s="92"/>
      <c r="F108" s="92"/>
      <c r="G108" s="92"/>
      <c r="H108" s="92"/>
      <c r="I108" s="92"/>
      <c r="J108" s="92"/>
      <c r="K108" s="67" t="s">
        <v>159</v>
      </c>
      <c r="L108" s="68">
        <f ca="1">(IF(B96&gt;1.5,(I96/(B96+2)+L102+MAX(0,L103-L102)+MAX(0,L104-L103)+MAX(0,L105-L104)+MAX(0,L106-L105)+MAX(0,L107-L106)),IF(B96=1,(I96/(B96+3)+L107),IF(B96=0,I96/4+L107))))</f>
        <v>7</v>
      </c>
    </row>
    <row r="109" spans="1:12" ht="30.6" customHeight="1" thickBot="1" x14ac:dyDescent="0.3">
      <c r="A109" s="93" t="s">
        <v>343</v>
      </c>
      <c r="B109" s="93"/>
      <c r="C109" s="94">
        <f ca="1">AVERAGE(F85,F99)</f>
        <v>0.31607142857142856</v>
      </c>
      <c r="D109" s="93"/>
      <c r="E109" s="93"/>
      <c r="F109" s="93" t="s">
        <v>344</v>
      </c>
      <c r="G109" s="93"/>
      <c r="H109" s="94">
        <f ca="1">AVERAGE(H85,H99)</f>
        <v>0.61071428571428565</v>
      </c>
      <c r="I109" s="93"/>
      <c r="J109" s="93"/>
      <c r="K109" s="56"/>
      <c r="L109" s="57"/>
    </row>
    <row r="110" spans="1:12" ht="15" customHeight="1" x14ac:dyDescent="0.25">
      <c r="A110" s="193" t="s">
        <v>278</v>
      </c>
      <c r="B110" s="193"/>
      <c r="C110" s="116" t="s">
        <v>325</v>
      </c>
      <c r="D110" s="116"/>
      <c r="E110" s="116"/>
      <c r="F110" s="116"/>
      <c r="G110" s="116"/>
      <c r="H110" s="116"/>
      <c r="I110" s="116"/>
      <c r="J110" s="116"/>
      <c r="K110" s="56" t="str">
        <f ca="1">(IF(F114&gt;99%,"All work completed. Please provide OC.",IF(F114&gt;89.8%,"Plinth, RCC, Brick, Plaster, Flooring, Painting work Completed. Finishing work is in process.",IF(F114&lt;94%,(IF(C114=0,"Work not yet Started.",IF(D114=25%,"Piling work in process",IF(D114=50%,"Excavation work in process",IF(D114=100%,"Excavation work Completed. ","0")))&amp;(IF(C115=0%,"",IF(C115=L116,"Footing work is process",IF(C115=L117,"Footing work Completed",IF(C115=L118,"1st Basement Completed",IF(C115=L119,"1st &amp; 2nd Basement Completed",IF(C115=L120,"1st to 3rd Basement Completed",IF(C115=L121,"1st to 4th Basement Completed",IF(C115=L122,"Plinth work is process",IF(C115=L123,"Plinth work completed","0")))))))))))&amp;(IF(C116=(D111+G111+I111),", RCC Slab",IF(C116&gt;0,", RCC upto "&amp;C116&amp;" Slab",""))&amp;(IF(C117=I111,", Brickwork",IF(C117&gt;0,", Brickwork upto "&amp;C117&amp;" Floor",""))&amp;(IF(C118=I111,", Internal Plaster",IF(C118&gt;0,", Internal Plaster upto "&amp;C118&amp;" Floor",""))&amp;(IF(C119=I111,", External Plaster",IF(C119&gt;0,", External Plaster upto "&amp;C119&amp;" Floor",""))&amp;(IF(C120=I111,", Flooring",IF(C120&gt;0,", Flooring upto "&amp;C120&amp;" Floor",""))&amp;(IF(C121=I111,", Painting",IF(C121&gt;0,", Painting upto "&amp;C121&amp;" Floor",""))&amp;(IF(C122&gt;0,", Finishing upto "&amp;C122&amp;" Floor","")&amp;(IF(C116&gt;0.5," Completed",""))))))))))))))</f>
        <v>Excavation work Completed. Plinth work completed, RCC Slab, Brickwork, Internal Plaster, External Plaster upto 5 Floor Completed</v>
      </c>
      <c r="L110" s="57"/>
    </row>
    <row r="111" spans="1:12" s="35" customFormat="1" ht="15.75" customHeight="1" x14ac:dyDescent="0.25">
      <c r="A111" s="87" t="s">
        <v>146</v>
      </c>
      <c r="B111" s="87">
        <v>0</v>
      </c>
      <c r="C111" s="87" t="s">
        <v>148</v>
      </c>
      <c r="D111" s="87">
        <v>1</v>
      </c>
      <c r="E111" s="95" t="s">
        <v>147</v>
      </c>
      <c r="F111" s="95"/>
      <c r="G111" s="87">
        <v>0</v>
      </c>
      <c r="H111" s="87" t="s">
        <v>279</v>
      </c>
      <c r="I111" s="95">
        <f ca="1">--TRIM(RIGHT(SUBSTITUTE(LEFT(C110,_xlfn.AGGREGATE(16,6,FIND({0,1,2,3,4,5,6,7,8,9},C110,ROW(INDIRECT("1:"&amp;LEN(C110)))),1))," ",REPT(" ",LEN(C110))),LEN(C110)))</f>
        <v>7</v>
      </c>
      <c r="J111" s="95"/>
      <c r="K111" s="60"/>
      <c r="L111" s="61"/>
    </row>
    <row r="112" spans="1:12" ht="34.5" customHeight="1" x14ac:dyDescent="0.25">
      <c r="A112" s="115" t="s">
        <v>280</v>
      </c>
      <c r="B112" s="115"/>
      <c r="C112" s="116" t="str">
        <f ca="1">K110</f>
        <v>Excavation work Completed. Plinth work completed, RCC Slab, Brickwork, Internal Plaster, External Plaster upto 5 Floor Completed</v>
      </c>
      <c r="D112" s="116"/>
      <c r="E112" s="116"/>
      <c r="F112" s="116"/>
      <c r="G112" s="116"/>
      <c r="H112" s="116"/>
      <c r="I112" s="116"/>
      <c r="J112" s="116"/>
      <c r="K112" s="60" t="s">
        <v>281</v>
      </c>
      <c r="L112" s="61"/>
    </row>
    <row r="113" spans="1:17" x14ac:dyDescent="0.25">
      <c r="A113" s="117" t="s">
        <v>72</v>
      </c>
      <c r="B113" s="118"/>
      <c r="C113" s="77" t="s">
        <v>282</v>
      </c>
      <c r="D113" s="91" t="s">
        <v>283</v>
      </c>
      <c r="E113" s="91"/>
      <c r="F113" s="91" t="s">
        <v>284</v>
      </c>
      <c r="G113" s="91"/>
      <c r="H113" s="91" t="s">
        <v>285</v>
      </c>
      <c r="I113" s="91"/>
      <c r="J113" s="119"/>
      <c r="K113" s="62" t="s">
        <v>286</v>
      </c>
      <c r="L113" s="63">
        <f ca="1">I111*25%</f>
        <v>1.75</v>
      </c>
    </row>
    <row r="114" spans="1:17" x14ac:dyDescent="0.25">
      <c r="A114" s="120" t="s">
        <v>287</v>
      </c>
      <c r="B114" s="91"/>
      <c r="C114" s="71">
        <f ca="1">L115</f>
        <v>7</v>
      </c>
      <c r="D114" s="121">
        <f ca="1">((100/I111)*C114)/100</f>
        <v>1</v>
      </c>
      <c r="E114" s="122"/>
      <c r="F114" s="92">
        <f ca="1">(((C115/I111*10)+(40/(D111+G111+I111)*C116)+(7.5/(I111)*C117)+(7.5/(I111)*C118)+(10/I111*C119)+(10/I111*C120)+(5/I111*C121)+(5/I111*C122)+(5/I111*C123))/100)</f>
        <v>0.72142857142857142</v>
      </c>
      <c r="G114" s="92"/>
      <c r="H114" s="124">
        <f ca="1">((((C114/I111)*20)+((C115/I111)*25)+(30/(I111+G111+D111)*C116)+(5/I111*C117)+(5/I111*C118)+(5/I111*C119)+(5/I111*C120)+(0/I111*C121)+(0/I111*C122)+(5/I111*C123))/100)</f>
        <v>0.88571428571428568</v>
      </c>
      <c r="I114" s="125"/>
      <c r="J114" s="126"/>
      <c r="K114" s="62" t="s">
        <v>154</v>
      </c>
      <c r="L114" s="64">
        <f ca="1">I111*50%</f>
        <v>3.5</v>
      </c>
    </row>
    <row r="115" spans="1:17" x14ac:dyDescent="0.25">
      <c r="A115" s="120" t="s">
        <v>74</v>
      </c>
      <c r="B115" s="91"/>
      <c r="C115" s="71">
        <f ca="1">L123</f>
        <v>7</v>
      </c>
      <c r="D115" s="121">
        <f ca="1">((100/I111)*C115)/100</f>
        <v>1</v>
      </c>
      <c r="E115" s="122"/>
      <c r="F115" s="92"/>
      <c r="G115" s="92"/>
      <c r="H115" s="127"/>
      <c r="I115" s="128"/>
      <c r="J115" s="129"/>
      <c r="K115" s="62" t="s">
        <v>155</v>
      </c>
      <c r="L115" s="64">
        <f ca="1">I111</f>
        <v>7</v>
      </c>
    </row>
    <row r="116" spans="1:17" x14ac:dyDescent="0.25">
      <c r="A116" s="133" t="s">
        <v>288</v>
      </c>
      <c r="B116" s="95"/>
      <c r="C116" s="71">
        <v>8</v>
      </c>
      <c r="D116" s="121">
        <f ca="1">((100/(D111+G111+I111))*C116)/100</f>
        <v>1</v>
      </c>
      <c r="E116" s="122"/>
      <c r="F116" s="92"/>
      <c r="G116" s="92"/>
      <c r="H116" s="127"/>
      <c r="I116" s="128"/>
      <c r="J116" s="129"/>
      <c r="K116" s="62" t="s">
        <v>156</v>
      </c>
      <c r="L116" s="65">
        <f ca="1">(IF(B111&gt;1,(I111/(B111+2)),I111/4))</f>
        <v>1.75</v>
      </c>
    </row>
    <row r="117" spans="1:17" x14ac:dyDescent="0.25">
      <c r="A117" s="120" t="s">
        <v>289</v>
      </c>
      <c r="B117" s="91" t="s">
        <v>290</v>
      </c>
      <c r="C117" s="70">
        <v>7</v>
      </c>
      <c r="D117" s="121">
        <f ca="1">((100/I111)*C117)/100</f>
        <v>1</v>
      </c>
      <c r="E117" s="122"/>
      <c r="F117" s="92"/>
      <c r="G117" s="92"/>
      <c r="H117" s="127"/>
      <c r="I117" s="128"/>
      <c r="J117" s="129"/>
      <c r="K117" s="62" t="s">
        <v>157</v>
      </c>
      <c r="L117" s="65">
        <f ca="1">(IF(B111&gt;1,(I111/(B111+2)+L116),I111/4+L116))</f>
        <v>3.5</v>
      </c>
    </row>
    <row r="118" spans="1:17" ht="15" customHeight="1" x14ac:dyDescent="0.25">
      <c r="A118" s="120" t="s">
        <v>291</v>
      </c>
      <c r="B118" s="91" t="s">
        <v>290</v>
      </c>
      <c r="C118" s="70">
        <v>7</v>
      </c>
      <c r="D118" s="121">
        <f ca="1">((100/I111)*C118)/100</f>
        <v>1</v>
      </c>
      <c r="E118" s="122"/>
      <c r="F118" s="92"/>
      <c r="G118" s="92"/>
      <c r="H118" s="127"/>
      <c r="I118" s="128"/>
      <c r="J118" s="129"/>
      <c r="K118" s="62" t="s">
        <v>292</v>
      </c>
      <c r="L118" s="65">
        <f>(IF(B111&gt;1,(I111/(B111+2)+L117),0))</f>
        <v>0</v>
      </c>
    </row>
    <row r="119" spans="1:17" x14ac:dyDescent="0.25">
      <c r="A119" s="120" t="s">
        <v>293</v>
      </c>
      <c r="B119" s="91" t="s">
        <v>294</v>
      </c>
      <c r="C119" s="70">
        <v>5</v>
      </c>
      <c r="D119" s="121">
        <f ca="1">((100/(I111))*C119)/100</f>
        <v>0.7142857142857143</v>
      </c>
      <c r="E119" s="122"/>
      <c r="F119" s="92"/>
      <c r="G119" s="92"/>
      <c r="H119" s="127"/>
      <c r="I119" s="128"/>
      <c r="J119" s="129"/>
      <c r="K119" s="62" t="s">
        <v>295</v>
      </c>
      <c r="L119" s="65">
        <f>(IF(B111&gt;2,(I111/(B111+2)+L118),0))</f>
        <v>0</v>
      </c>
    </row>
    <row r="120" spans="1:17" x14ac:dyDescent="0.25">
      <c r="A120" s="120" t="s">
        <v>296</v>
      </c>
      <c r="B120" s="91" t="s">
        <v>296</v>
      </c>
      <c r="C120" s="70">
        <v>0</v>
      </c>
      <c r="D120" s="121">
        <f ca="1">((100/I111)*C120)/100</f>
        <v>0</v>
      </c>
      <c r="E120" s="122"/>
      <c r="F120" s="92"/>
      <c r="G120" s="92"/>
      <c r="H120" s="127"/>
      <c r="I120" s="128"/>
      <c r="J120" s="129"/>
      <c r="K120" s="62" t="s">
        <v>297</v>
      </c>
      <c r="L120" s="66">
        <f>(IF(B111&gt;3,(I111/(B111+2)+L119),0))</f>
        <v>0</v>
      </c>
    </row>
    <row r="121" spans="1:17" ht="15" customHeight="1" x14ac:dyDescent="0.25">
      <c r="A121" s="120" t="s">
        <v>298</v>
      </c>
      <c r="B121" s="91"/>
      <c r="C121" s="70">
        <v>0</v>
      </c>
      <c r="D121" s="121">
        <f ca="1">((100/I111)*C121)/100</f>
        <v>0</v>
      </c>
      <c r="E121" s="122"/>
      <c r="F121" s="92"/>
      <c r="G121" s="92"/>
      <c r="H121" s="127"/>
      <c r="I121" s="128"/>
      <c r="J121" s="129"/>
      <c r="K121" s="62" t="s">
        <v>299</v>
      </c>
      <c r="L121" s="65">
        <f>(IF(B111&gt;4,(I111/(B111+2)+L120),0))</f>
        <v>0</v>
      </c>
    </row>
    <row r="122" spans="1:17" x14ac:dyDescent="0.25">
      <c r="A122" s="120" t="s">
        <v>300</v>
      </c>
      <c r="B122" s="91" t="s">
        <v>300</v>
      </c>
      <c r="C122" s="70">
        <v>0</v>
      </c>
      <c r="D122" s="121">
        <f ca="1">((100/(I111))*C122)/100</f>
        <v>0</v>
      </c>
      <c r="E122" s="122"/>
      <c r="F122" s="92"/>
      <c r="G122" s="92"/>
      <c r="H122" s="127"/>
      <c r="I122" s="128"/>
      <c r="J122" s="129"/>
      <c r="K122" s="62" t="s">
        <v>158</v>
      </c>
      <c r="L122" s="65">
        <f ca="1">(IF(B111=1,(I111/(B111+3)+L117),IF(B111=0,(I111/4+L117),IF(B111&gt;1,0))))</f>
        <v>5.25</v>
      </c>
    </row>
    <row r="123" spans="1:17" ht="16.5" thickBot="1" x14ac:dyDescent="0.3">
      <c r="A123" s="111" t="s">
        <v>301</v>
      </c>
      <c r="B123" s="112"/>
      <c r="C123" s="72">
        <v>0</v>
      </c>
      <c r="D123" s="113">
        <f ca="1">((100/(I111))*C123)/100</f>
        <v>0</v>
      </c>
      <c r="E123" s="114"/>
      <c r="F123" s="123"/>
      <c r="G123" s="123"/>
      <c r="H123" s="130"/>
      <c r="I123" s="131"/>
      <c r="J123" s="132"/>
      <c r="K123" s="67" t="s">
        <v>159</v>
      </c>
      <c r="L123" s="68">
        <f ca="1">(IF(B111&gt;1.5,(I111/(B111+2)+L117+MAX(0,L118-L117)+MAX(0,L119-L118)+MAX(0,L120-L119)+MAX(0,L121-L120)+MAX(0,L122-L121)),IF(B111=1,(I111/(B111+3)+L122),IF(B111=0,I111/4+L122))))</f>
        <v>7</v>
      </c>
    </row>
    <row r="124" spans="1:17" x14ac:dyDescent="0.25">
      <c r="A124" s="194" t="s">
        <v>229</v>
      </c>
      <c r="B124" s="195"/>
      <c r="C124" s="195"/>
      <c r="D124" s="195"/>
      <c r="E124" s="195"/>
      <c r="F124" s="195"/>
      <c r="G124" s="195"/>
      <c r="H124" s="195"/>
      <c r="I124" s="195"/>
      <c r="J124" s="196"/>
    </row>
    <row r="125" spans="1:17" x14ac:dyDescent="0.25">
      <c r="A125" s="185" t="s">
        <v>83</v>
      </c>
      <c r="B125" s="186"/>
      <c r="C125" s="186"/>
      <c r="D125" s="186"/>
      <c r="E125" s="186"/>
      <c r="F125" s="186"/>
      <c r="G125" s="186"/>
      <c r="H125" s="186"/>
      <c r="I125" s="186"/>
      <c r="J125" s="187"/>
    </row>
    <row r="126" spans="1:17" ht="15" customHeight="1" x14ac:dyDescent="0.25">
      <c r="A126" s="194" t="s">
        <v>152</v>
      </c>
      <c r="B126" s="196"/>
      <c r="C126" s="197" t="s">
        <v>153</v>
      </c>
      <c r="D126" s="198"/>
      <c r="E126" s="198"/>
      <c r="F126" s="198"/>
      <c r="G126" s="198"/>
      <c r="H126" s="198"/>
      <c r="I126" s="198"/>
      <c r="J126" s="199"/>
    </row>
    <row r="127" spans="1:17" x14ac:dyDescent="0.25">
      <c r="A127" s="200" t="s">
        <v>84</v>
      </c>
      <c r="B127" s="201"/>
      <c r="C127" s="201"/>
      <c r="D127" s="201"/>
      <c r="E127" s="201"/>
      <c r="F127" s="201"/>
      <c r="G127" s="201"/>
      <c r="H127" s="201"/>
      <c r="I127" s="201"/>
      <c r="J127" s="202"/>
    </row>
    <row r="128" spans="1:17" x14ac:dyDescent="0.25">
      <c r="A128" s="185" t="s">
        <v>161</v>
      </c>
      <c r="B128" s="186"/>
      <c r="C128" s="186"/>
      <c r="D128" s="186"/>
      <c r="E128" s="186"/>
      <c r="F128" s="187"/>
      <c r="G128" s="261">
        <v>3600</v>
      </c>
      <c r="H128" s="262"/>
      <c r="I128" s="262"/>
      <c r="J128" s="263"/>
      <c r="L128" s="42" t="s">
        <v>264</v>
      </c>
      <c r="M128" s="42"/>
      <c r="N128" s="42"/>
      <c r="O128" s="42"/>
      <c r="P128" s="76">
        <v>44753</v>
      </c>
      <c r="Q128" s="42"/>
    </row>
    <row r="129" spans="1:10" x14ac:dyDescent="0.25">
      <c r="A129" s="185" t="s">
        <v>262</v>
      </c>
      <c r="B129" s="186"/>
      <c r="C129" s="186"/>
      <c r="D129" s="186"/>
      <c r="E129" s="186"/>
      <c r="F129" s="187"/>
      <c r="G129" s="261" t="s">
        <v>263</v>
      </c>
      <c r="H129" s="262"/>
      <c r="I129" s="262"/>
      <c r="J129" s="263"/>
    </row>
    <row r="130" spans="1:10" x14ac:dyDescent="0.25">
      <c r="A130" s="185" t="s">
        <v>253</v>
      </c>
      <c r="B130" s="186"/>
      <c r="C130" s="186"/>
      <c r="D130" s="186"/>
      <c r="E130" s="186"/>
      <c r="F130" s="187"/>
      <c r="G130" s="203" t="s">
        <v>167</v>
      </c>
      <c r="H130" s="204"/>
      <c r="I130" s="204"/>
      <c r="J130" s="205"/>
    </row>
    <row r="131" spans="1:10" x14ac:dyDescent="0.25">
      <c r="A131" s="185" t="s">
        <v>310</v>
      </c>
      <c r="B131" s="186"/>
      <c r="C131" s="186"/>
      <c r="D131" s="186"/>
      <c r="E131" s="186"/>
      <c r="F131" s="187"/>
      <c r="G131" s="203" t="s">
        <v>311</v>
      </c>
      <c r="H131" s="204"/>
      <c r="I131" s="204"/>
      <c r="J131" s="205"/>
    </row>
    <row r="132" spans="1:10" hidden="1" x14ac:dyDescent="0.25">
      <c r="A132" s="185" t="s">
        <v>254</v>
      </c>
      <c r="B132" s="186"/>
      <c r="C132" s="186"/>
      <c r="D132" s="186"/>
      <c r="E132" s="186"/>
      <c r="F132" s="187"/>
      <c r="G132" s="203" t="s">
        <v>255</v>
      </c>
      <c r="H132" s="204"/>
      <c r="I132" s="204"/>
      <c r="J132" s="205"/>
    </row>
    <row r="133" spans="1:10" x14ac:dyDescent="0.25">
      <c r="A133" s="185" t="s">
        <v>86</v>
      </c>
      <c r="B133" s="186"/>
      <c r="C133" s="186"/>
      <c r="D133" s="186"/>
      <c r="E133" s="186"/>
      <c r="F133" s="187"/>
      <c r="G133" s="203" t="s">
        <v>169</v>
      </c>
      <c r="H133" s="204"/>
      <c r="I133" s="204"/>
      <c r="J133" s="205"/>
    </row>
    <row r="134" spans="1:10" x14ac:dyDescent="0.25">
      <c r="A134" s="185" t="s">
        <v>209</v>
      </c>
      <c r="B134" s="186"/>
      <c r="C134" s="186"/>
      <c r="D134" s="186"/>
      <c r="E134" s="186"/>
      <c r="F134" s="187"/>
      <c r="G134" s="203" t="s">
        <v>169</v>
      </c>
      <c r="H134" s="204"/>
      <c r="I134" s="204"/>
      <c r="J134" s="205"/>
    </row>
    <row r="135" spans="1:10" s="12" customFormat="1" ht="14.45" customHeight="1" x14ac:dyDescent="0.25">
      <c r="A135" s="200" t="s">
        <v>87</v>
      </c>
      <c r="B135" s="201"/>
      <c r="C135" s="201"/>
      <c r="D135" s="201"/>
      <c r="E135" s="201"/>
      <c r="F135" s="202"/>
      <c r="G135" s="261">
        <f>G128*0.8</f>
        <v>2880</v>
      </c>
      <c r="H135" s="262"/>
      <c r="I135" s="262"/>
      <c r="J135" s="263"/>
    </row>
    <row r="136" spans="1:10" s="1" customFormat="1" x14ac:dyDescent="0.25">
      <c r="A136" s="264" t="s">
        <v>316</v>
      </c>
      <c r="B136" s="265"/>
      <c r="C136" s="265"/>
      <c r="D136" s="265"/>
      <c r="E136" s="265"/>
      <c r="F136" s="265"/>
      <c r="G136" s="265"/>
      <c r="H136" s="265"/>
      <c r="I136" s="265"/>
      <c r="J136" s="266"/>
    </row>
    <row r="137" spans="1:10" s="1" customFormat="1" x14ac:dyDescent="0.25">
      <c r="A137" s="267" t="s">
        <v>88</v>
      </c>
      <c r="B137" s="268"/>
      <c r="C137" s="9" t="s">
        <v>261</v>
      </c>
      <c r="D137" s="269" t="s">
        <v>89</v>
      </c>
      <c r="E137" s="270"/>
      <c r="F137" s="271"/>
      <c r="G137" s="267" t="s">
        <v>90</v>
      </c>
      <c r="H137" s="272"/>
      <c r="I137" s="272"/>
      <c r="J137" s="268"/>
    </row>
    <row r="138" spans="1:10" s="2" customFormat="1" ht="15.75" customHeight="1" x14ac:dyDescent="0.25">
      <c r="A138" s="273" t="s">
        <v>231</v>
      </c>
      <c r="B138" s="274"/>
      <c r="C138" s="32">
        <f>COUNT(D168:E169)</f>
        <v>2</v>
      </c>
      <c r="D138" s="151">
        <f>SUM(D168:E169)</f>
        <v>197.73467999999997</v>
      </c>
      <c r="E138" s="275"/>
      <c r="F138" s="152"/>
      <c r="G138" s="151">
        <f>SUM(G168:G169)</f>
        <v>430</v>
      </c>
      <c r="H138" s="275"/>
      <c r="I138" s="275"/>
      <c r="J138" s="152"/>
    </row>
    <row r="139" spans="1:10" s="2" customFormat="1" ht="15.75" customHeight="1" x14ac:dyDescent="0.25">
      <c r="A139" s="273" t="s">
        <v>326</v>
      </c>
      <c r="B139" s="274"/>
      <c r="C139" s="80">
        <f>COUNT(D191:E196)</f>
        <v>6</v>
      </c>
      <c r="D139" s="151">
        <f>SUM(D191:E196)</f>
        <v>791.58456000000001</v>
      </c>
      <c r="E139" s="275"/>
      <c r="F139" s="152"/>
      <c r="G139" s="151">
        <f>SUM(G191:H196)</f>
        <v>1583.16912</v>
      </c>
      <c r="H139" s="275"/>
      <c r="I139" s="275"/>
      <c r="J139" s="152"/>
    </row>
    <row r="140" spans="1:10" s="83" customFormat="1" ht="15.75" customHeight="1" x14ac:dyDescent="0.25">
      <c r="A140" s="276" t="s">
        <v>92</v>
      </c>
      <c r="B140" s="277"/>
      <c r="C140" s="82">
        <f>SUM(C138:C139)</f>
        <v>8</v>
      </c>
      <c r="D140" s="148">
        <f>SUM(D138:D139)</f>
        <v>989.31924000000004</v>
      </c>
      <c r="E140" s="149"/>
      <c r="F140" s="150"/>
      <c r="G140" s="148">
        <f>SUM(G138:G139)</f>
        <v>2013.16912</v>
      </c>
      <c r="H140" s="149"/>
      <c r="I140" s="149"/>
      <c r="J140" s="150"/>
    </row>
    <row r="141" spans="1:10" s="1" customFormat="1" x14ac:dyDescent="0.25">
      <c r="A141" s="264" t="s">
        <v>145</v>
      </c>
      <c r="B141" s="265"/>
      <c r="C141" s="265"/>
      <c r="D141" s="265"/>
      <c r="E141" s="265"/>
      <c r="F141" s="265"/>
      <c r="G141" s="265"/>
      <c r="H141" s="265"/>
      <c r="I141" s="265"/>
      <c r="J141" s="266"/>
    </row>
    <row r="142" spans="1:10" s="1" customFormat="1" x14ac:dyDescent="0.25">
      <c r="A142" s="267" t="s">
        <v>88</v>
      </c>
      <c r="B142" s="268"/>
      <c r="C142" s="9" t="s">
        <v>260</v>
      </c>
      <c r="D142" s="269" t="s">
        <v>89</v>
      </c>
      <c r="E142" s="270"/>
      <c r="F142" s="271"/>
      <c r="G142" s="267" t="s">
        <v>90</v>
      </c>
      <c r="H142" s="272"/>
      <c r="I142" s="272"/>
      <c r="J142" s="268"/>
    </row>
    <row r="143" spans="1:10" s="1" customFormat="1" x14ac:dyDescent="0.25">
      <c r="A143" s="283" t="s">
        <v>230</v>
      </c>
      <c r="B143" s="284"/>
      <c r="C143" s="32">
        <f>COUNT(D157:E158)+COUNT(D160:E163)*4</f>
        <v>18</v>
      </c>
      <c r="D143" s="285">
        <f>SUM(D157:E158)+SUM(D160:E163)*4</f>
        <v>6107.60124</v>
      </c>
      <c r="E143" s="286"/>
      <c r="F143" s="287"/>
      <c r="G143" s="288">
        <f>SUM(G157:G158)+SUM(G160:G163)*4</f>
        <v>10710</v>
      </c>
      <c r="H143" s="289"/>
      <c r="I143" s="289"/>
      <c r="J143" s="290"/>
    </row>
    <row r="144" spans="1:10" s="2" customFormat="1" ht="15.75" customHeight="1" x14ac:dyDescent="0.25">
      <c r="A144" s="283" t="s">
        <v>231</v>
      </c>
      <c r="B144" s="284"/>
      <c r="C144" s="32">
        <f>COUNT(D166:E167)+COUNT(D171:E174)*4</f>
        <v>18</v>
      </c>
      <c r="D144" s="151">
        <f>SUM(D166:E167)+SUM(D171:E174)*4</f>
        <v>6869.1542399999998</v>
      </c>
      <c r="E144" s="275"/>
      <c r="F144" s="152"/>
      <c r="G144" s="151">
        <f>SUM(G166:G167)+SUM(G171:G174)*4</f>
        <v>11880</v>
      </c>
      <c r="H144" s="275"/>
      <c r="I144" s="275"/>
      <c r="J144" s="152"/>
    </row>
    <row r="145" spans="1:10" s="1" customFormat="1" x14ac:dyDescent="0.25">
      <c r="A145" s="283" t="s">
        <v>326</v>
      </c>
      <c r="B145" s="284"/>
      <c r="C145" s="84">
        <f>COUNT(D197:E198)+COUNT(D200:E205)*7</f>
        <v>44</v>
      </c>
      <c r="D145" s="292">
        <f>SUM(D197:E198)+SUM(D200:E205)*7</f>
        <v>21964.130370000003</v>
      </c>
      <c r="E145" s="293"/>
      <c r="F145" s="294"/>
      <c r="G145" s="292">
        <f>SUM(G197:H198)+SUM(G200:H205)*7</f>
        <v>31695</v>
      </c>
      <c r="H145" s="293"/>
      <c r="I145" s="293"/>
      <c r="J145" s="294"/>
    </row>
    <row r="146" spans="1:10" s="2" customFormat="1" ht="15.75" customHeight="1" x14ac:dyDescent="0.25">
      <c r="A146" s="283" t="s">
        <v>327</v>
      </c>
      <c r="B146" s="284"/>
      <c r="C146" s="84">
        <f>COUNT(D208)+COUNT(D210:E214)*7</f>
        <v>36</v>
      </c>
      <c r="D146" s="153">
        <f>SUM(D208)+SUM(D210:E214)*7</f>
        <v>20543.605289999996</v>
      </c>
      <c r="E146" s="291"/>
      <c r="F146" s="154"/>
      <c r="G146" s="292">
        <f>SUM(G208)+SUM(G210:H214)*7</f>
        <v>29565</v>
      </c>
      <c r="H146" s="293"/>
      <c r="I146" s="293"/>
      <c r="J146" s="294"/>
    </row>
    <row r="147" spans="1:10" s="1" customFormat="1" x14ac:dyDescent="0.25">
      <c r="A147" s="283" t="s">
        <v>256</v>
      </c>
      <c r="B147" s="284"/>
      <c r="C147" s="32">
        <f>COUNT(D218:E221)+COUNT(D223:E228)*4+COUNT(D230:E235)*3</f>
        <v>46</v>
      </c>
      <c r="D147" s="285">
        <f>SUM(D218:E221)+SUM(D223:E228)*4+SUM(D230:E235)*3</f>
        <v>23212.216169999992</v>
      </c>
      <c r="E147" s="286"/>
      <c r="F147" s="287"/>
      <c r="G147" s="288">
        <f>SUM(G218:G221)+SUM(G223:G228)*4</f>
        <v>19955</v>
      </c>
      <c r="H147" s="289"/>
      <c r="I147" s="289"/>
      <c r="J147" s="290"/>
    </row>
    <row r="148" spans="1:10" s="2" customFormat="1" ht="15.75" customHeight="1" x14ac:dyDescent="0.25">
      <c r="A148" s="283" t="s">
        <v>257</v>
      </c>
      <c r="B148" s="284"/>
      <c r="C148" s="32">
        <f>COUNT(D238:E241)+COUNT(D243:E248)*4</f>
        <v>28</v>
      </c>
      <c r="D148" s="151">
        <f>SUM(D238:E241)+SUM(D243:E248)*4</f>
        <v>13531.747319999999</v>
      </c>
      <c r="E148" s="275"/>
      <c r="F148" s="152"/>
      <c r="G148" s="151">
        <f>SUM(G238:G241)+SUM(G243:G248)*4</f>
        <v>18630</v>
      </c>
      <c r="H148" s="275"/>
      <c r="I148" s="275"/>
      <c r="J148" s="152"/>
    </row>
    <row r="149" spans="1:10" s="2" customFormat="1" ht="15.75" customHeight="1" x14ac:dyDescent="0.25">
      <c r="A149" s="283" t="s">
        <v>258</v>
      </c>
      <c r="B149" s="284"/>
      <c r="C149" s="32">
        <f>COUNT(D251:E252)+COUNT(D254:E257)*4</f>
        <v>18</v>
      </c>
      <c r="D149" s="151">
        <f>SUM(D251:E252)+SUM(D254:E257)*4</f>
        <v>8222.0813999999991</v>
      </c>
      <c r="E149" s="275"/>
      <c r="F149" s="152"/>
      <c r="G149" s="151">
        <f>SUM(G251:G252)+SUM(G254:G257)*4</f>
        <v>11180</v>
      </c>
      <c r="H149" s="275"/>
      <c r="I149" s="275"/>
      <c r="J149" s="152"/>
    </row>
    <row r="150" spans="1:10" s="1" customFormat="1" x14ac:dyDescent="0.25">
      <c r="A150" s="264" t="s">
        <v>92</v>
      </c>
      <c r="B150" s="265"/>
      <c r="C150" s="36">
        <f>SUM(C143:C149)</f>
        <v>208</v>
      </c>
      <c r="D150" s="278">
        <f>SUM(D143:D149)</f>
        <v>100450.53602999999</v>
      </c>
      <c r="E150" s="279"/>
      <c r="F150" s="280"/>
      <c r="G150" s="267">
        <f>SUM(G143:G149)</f>
        <v>133615</v>
      </c>
      <c r="H150" s="272"/>
      <c r="I150" s="272"/>
      <c r="J150" s="268"/>
    </row>
    <row r="151" spans="1:10" s="12" customFormat="1" x14ac:dyDescent="0.25">
      <c r="A151" s="281" t="s">
        <v>93</v>
      </c>
      <c r="B151" s="281"/>
      <c r="C151" s="281"/>
      <c r="D151" s="281"/>
      <c r="E151" s="281"/>
      <c r="F151" s="281"/>
      <c r="G151" s="281"/>
      <c r="H151" s="281"/>
      <c r="I151" s="281"/>
      <c r="J151" s="281"/>
    </row>
    <row r="152" spans="1:10" x14ac:dyDescent="0.25">
      <c r="A152" s="281" t="s">
        <v>94</v>
      </c>
      <c r="B152" s="281"/>
      <c r="C152" s="281"/>
      <c r="D152" s="281"/>
      <c r="E152" s="281"/>
      <c r="F152" s="281"/>
      <c r="G152" s="281"/>
      <c r="H152" s="281"/>
      <c r="I152" s="281"/>
      <c r="J152" s="281"/>
    </row>
    <row r="153" spans="1:10" s="35" customFormat="1" ht="57" customHeight="1" x14ac:dyDescent="0.25">
      <c r="A153" s="37" t="s">
        <v>249</v>
      </c>
      <c r="B153" s="37" t="s">
        <v>248</v>
      </c>
      <c r="C153" s="37" t="s">
        <v>95</v>
      </c>
      <c r="D153" s="282" t="s">
        <v>96</v>
      </c>
      <c r="E153" s="282"/>
      <c r="F153" s="38" t="s">
        <v>97</v>
      </c>
      <c r="G153" s="37" t="s">
        <v>227</v>
      </c>
      <c r="H153" s="282" t="s">
        <v>99</v>
      </c>
      <c r="I153" s="282"/>
      <c r="J153" s="282"/>
    </row>
    <row r="154" spans="1:10" s="2" customFormat="1" ht="17.25" customHeight="1" x14ac:dyDescent="0.25">
      <c r="A154" s="145" t="s">
        <v>223</v>
      </c>
      <c r="B154" s="145"/>
      <c r="C154" s="145"/>
      <c r="D154" s="145"/>
      <c r="E154" s="145"/>
      <c r="F154" s="145"/>
      <c r="G154" s="145"/>
      <c r="H154" s="145"/>
      <c r="I154" s="145"/>
      <c r="J154" s="145"/>
    </row>
    <row r="155" spans="1:10" s="2" customFormat="1" ht="18.75" customHeight="1" x14ac:dyDescent="0.25">
      <c r="A155" s="145" t="s">
        <v>222</v>
      </c>
      <c r="B155" s="145"/>
      <c r="C155" s="145"/>
      <c r="D155" s="145"/>
      <c r="E155" s="145"/>
      <c r="F155" s="145"/>
      <c r="G155" s="145"/>
      <c r="H155" s="145"/>
      <c r="I155" s="145"/>
      <c r="J155" s="145"/>
    </row>
    <row r="156" spans="1:10" s="2" customFormat="1" x14ac:dyDescent="0.25">
      <c r="A156" s="145" t="s">
        <v>243</v>
      </c>
      <c r="B156" s="145"/>
      <c r="C156" s="145"/>
      <c r="D156" s="145"/>
      <c r="E156" s="145"/>
      <c r="F156" s="145"/>
      <c r="G156" s="145"/>
      <c r="H156" s="145"/>
      <c r="I156" s="145"/>
      <c r="J156" s="145"/>
    </row>
    <row r="157" spans="1:10" s="2" customFormat="1" ht="15.75" customHeight="1" x14ac:dyDescent="0.25">
      <c r="A157" s="3">
        <v>1</v>
      </c>
      <c r="B157" s="3">
        <v>1</v>
      </c>
      <c r="C157" s="3" t="s">
        <v>198</v>
      </c>
      <c r="D157" s="147">
        <f>(27.15*10.764)</f>
        <v>292.24259999999998</v>
      </c>
      <c r="E157" s="147"/>
      <c r="F157" s="3">
        <v>0</v>
      </c>
      <c r="G157" s="41">
        <v>530</v>
      </c>
      <c r="H157" s="147" t="s">
        <v>244</v>
      </c>
      <c r="I157" s="147"/>
      <c r="J157" s="147"/>
    </row>
    <row r="158" spans="1:10" s="2" customFormat="1" x14ac:dyDescent="0.25">
      <c r="A158" s="3">
        <v>2</v>
      </c>
      <c r="B158" s="3">
        <v>2</v>
      </c>
      <c r="C158" s="3" t="s">
        <v>198</v>
      </c>
      <c r="D158" s="147">
        <f>(27.9*10.764)</f>
        <v>300.31559999999996</v>
      </c>
      <c r="E158" s="147"/>
      <c r="F158" s="3">
        <v>0</v>
      </c>
      <c r="G158" s="41">
        <v>540</v>
      </c>
      <c r="H158" s="147"/>
      <c r="I158" s="147"/>
      <c r="J158" s="147"/>
    </row>
    <row r="159" spans="1:10" s="2" customFormat="1" x14ac:dyDescent="0.25">
      <c r="A159" s="148" t="s">
        <v>224</v>
      </c>
      <c r="B159" s="149"/>
      <c r="C159" s="149"/>
      <c r="D159" s="149"/>
      <c r="E159" s="149"/>
      <c r="F159" s="149"/>
      <c r="G159" s="149"/>
      <c r="H159" s="149"/>
      <c r="I159" s="149"/>
      <c r="J159" s="150"/>
    </row>
    <row r="160" spans="1:10" s="2" customFormat="1" ht="15.75" customHeight="1" x14ac:dyDescent="0.25">
      <c r="A160" s="3">
        <v>1</v>
      </c>
      <c r="B160" s="3">
        <v>1</v>
      </c>
      <c r="C160" s="3" t="s">
        <v>198</v>
      </c>
      <c r="D160" s="151">
        <f>(29.85*10.764)</f>
        <v>321.30540000000002</v>
      </c>
      <c r="E160" s="152"/>
      <c r="F160" s="3">
        <v>0</v>
      </c>
      <c r="G160" s="3">
        <v>600</v>
      </c>
      <c r="H160" s="136" t="str">
        <f>A159</f>
        <v>1st To 4th Floor</v>
      </c>
      <c r="I160" s="137"/>
      <c r="J160" s="138"/>
    </row>
    <row r="161" spans="1:15" s="2" customFormat="1" x14ac:dyDescent="0.25">
      <c r="A161" s="3">
        <v>2</v>
      </c>
      <c r="B161" s="3">
        <v>2</v>
      </c>
      <c r="C161" s="3" t="s">
        <v>198</v>
      </c>
      <c r="D161" s="151">
        <f>(32.5*10.764)</f>
        <v>349.83</v>
      </c>
      <c r="E161" s="152"/>
      <c r="F161" s="3">
        <v>0</v>
      </c>
      <c r="G161" s="3">
        <v>600</v>
      </c>
      <c r="H161" s="139"/>
      <c r="I161" s="140"/>
      <c r="J161" s="141"/>
    </row>
    <row r="162" spans="1:15" s="2" customFormat="1" x14ac:dyDescent="0.25">
      <c r="A162" s="3">
        <v>3</v>
      </c>
      <c r="B162" s="3">
        <v>3</v>
      </c>
      <c r="C162" s="3" t="s">
        <v>198</v>
      </c>
      <c r="D162" s="151">
        <f>(33.24*10.764)</f>
        <v>357.79536000000002</v>
      </c>
      <c r="E162" s="152"/>
      <c r="F162" s="3">
        <v>0</v>
      </c>
      <c r="G162" s="3">
        <v>610</v>
      </c>
      <c r="H162" s="139"/>
      <c r="I162" s="140"/>
      <c r="J162" s="141"/>
    </row>
    <row r="163" spans="1:15" s="2" customFormat="1" x14ac:dyDescent="0.25">
      <c r="A163" s="3">
        <v>4</v>
      </c>
      <c r="B163" s="3">
        <v>4</v>
      </c>
      <c r="C163" s="3" t="s">
        <v>198</v>
      </c>
      <c r="D163" s="151">
        <f>(32.5*10.764)</f>
        <v>349.83</v>
      </c>
      <c r="E163" s="152"/>
      <c r="F163" s="3">
        <v>0</v>
      </c>
      <c r="G163" s="3">
        <v>600</v>
      </c>
      <c r="H163" s="142"/>
      <c r="I163" s="143"/>
      <c r="J163" s="144"/>
    </row>
    <row r="164" spans="1:15" s="2" customFormat="1" x14ac:dyDescent="0.25">
      <c r="A164" s="148" t="s">
        <v>225</v>
      </c>
      <c r="B164" s="149"/>
      <c r="C164" s="149"/>
      <c r="D164" s="149"/>
      <c r="E164" s="149"/>
      <c r="F164" s="149"/>
      <c r="G164" s="149"/>
      <c r="H164" s="149"/>
      <c r="I164" s="149"/>
      <c r="J164" s="150"/>
    </row>
    <row r="165" spans="1:15" s="2" customFormat="1" ht="15.75" customHeight="1" x14ac:dyDescent="0.25">
      <c r="A165" s="148" t="s">
        <v>245</v>
      </c>
      <c r="B165" s="149"/>
      <c r="C165" s="149"/>
      <c r="D165" s="149"/>
      <c r="E165" s="149"/>
      <c r="F165" s="149"/>
      <c r="G165" s="149"/>
      <c r="H165" s="149"/>
      <c r="I165" s="149"/>
      <c r="J165" s="150"/>
    </row>
    <row r="166" spans="1:15" s="2" customFormat="1" ht="15.75" customHeight="1" x14ac:dyDescent="0.25">
      <c r="A166" s="3">
        <v>1</v>
      </c>
      <c r="B166" s="3">
        <v>3</v>
      </c>
      <c r="C166" s="3" t="s">
        <v>198</v>
      </c>
      <c r="D166" s="151">
        <f>(27.15*10.764)</f>
        <v>292.24259999999998</v>
      </c>
      <c r="E166" s="152"/>
      <c r="F166" s="3">
        <v>0</v>
      </c>
      <c r="G166" s="41">
        <v>530</v>
      </c>
      <c r="H166" s="136" t="str">
        <f>A165</f>
        <v>Ground Floor is for Parking, Residential &amp; Commercial</v>
      </c>
      <c r="I166" s="137"/>
      <c r="J166" s="138"/>
    </row>
    <row r="167" spans="1:15" s="2" customFormat="1" x14ac:dyDescent="0.25">
      <c r="A167" s="3">
        <v>2</v>
      </c>
      <c r="B167" s="3">
        <v>4</v>
      </c>
      <c r="C167" s="3" t="s">
        <v>199</v>
      </c>
      <c r="D167" s="151">
        <f>(37.49*10.764)</f>
        <v>403.54235999999997</v>
      </c>
      <c r="E167" s="152"/>
      <c r="F167" s="3">
        <v>0</v>
      </c>
      <c r="G167" s="41">
        <v>750</v>
      </c>
      <c r="H167" s="139"/>
      <c r="I167" s="140"/>
      <c r="J167" s="141"/>
    </row>
    <row r="168" spans="1:15" s="2" customFormat="1" ht="15.75" customHeight="1" x14ac:dyDescent="0.25">
      <c r="A168" s="3">
        <v>1</v>
      </c>
      <c r="B168" s="3">
        <v>1</v>
      </c>
      <c r="C168" s="3" t="s">
        <v>246</v>
      </c>
      <c r="D168" s="151">
        <f>11.96*10.764</f>
        <v>128.73743999999999</v>
      </c>
      <c r="E168" s="152"/>
      <c r="F168" s="3">
        <v>0</v>
      </c>
      <c r="G168" s="41">
        <v>280</v>
      </c>
      <c r="H168" s="139"/>
      <c r="I168" s="140"/>
      <c r="J168" s="141"/>
      <c r="K168" s="311" t="s">
        <v>259</v>
      </c>
      <c r="L168" s="312"/>
      <c r="M168" s="312"/>
      <c r="N168" s="312"/>
      <c r="O168" s="312"/>
    </row>
    <row r="169" spans="1:15" s="2" customFormat="1" x14ac:dyDescent="0.25">
      <c r="A169" s="3">
        <v>1</v>
      </c>
      <c r="B169" s="3">
        <v>1</v>
      </c>
      <c r="C169" s="3" t="s">
        <v>246</v>
      </c>
      <c r="D169" s="151">
        <f>6.41*10.764</f>
        <v>68.997239999999991</v>
      </c>
      <c r="E169" s="152"/>
      <c r="F169" s="3">
        <v>0</v>
      </c>
      <c r="G169" s="41">
        <v>150</v>
      </c>
      <c r="H169" s="142"/>
      <c r="I169" s="143"/>
      <c r="J169" s="144"/>
      <c r="K169" s="311"/>
      <c r="L169" s="312"/>
      <c r="M169" s="312"/>
      <c r="N169" s="312"/>
      <c r="O169" s="312"/>
    </row>
    <row r="170" spans="1:15" s="2" customFormat="1" x14ac:dyDescent="0.25">
      <c r="A170" s="148" t="s">
        <v>224</v>
      </c>
      <c r="B170" s="149"/>
      <c r="C170" s="149"/>
      <c r="D170" s="149"/>
      <c r="E170" s="149"/>
      <c r="F170" s="149"/>
      <c r="G170" s="149"/>
      <c r="H170" s="149"/>
      <c r="I170" s="149"/>
      <c r="J170" s="150"/>
    </row>
    <row r="171" spans="1:15" s="2" customFormat="1" ht="15.75" customHeight="1" x14ac:dyDescent="0.25">
      <c r="A171" s="3">
        <v>1</v>
      </c>
      <c r="B171" s="3">
        <v>5</v>
      </c>
      <c r="C171" s="3" t="s">
        <v>198</v>
      </c>
      <c r="D171" s="151">
        <f>(32.5*10.764)</f>
        <v>349.83</v>
      </c>
      <c r="E171" s="152"/>
      <c r="F171" s="3">
        <v>0</v>
      </c>
      <c r="G171" s="3">
        <v>600</v>
      </c>
      <c r="H171" s="136" t="str">
        <f>A170</f>
        <v>1st To 4th Floor</v>
      </c>
      <c r="I171" s="137"/>
      <c r="J171" s="138"/>
    </row>
    <row r="172" spans="1:15" s="2" customFormat="1" x14ac:dyDescent="0.25">
      <c r="A172" s="3">
        <v>2</v>
      </c>
      <c r="B172" s="3">
        <v>6</v>
      </c>
      <c r="C172" s="3" t="s">
        <v>199</v>
      </c>
      <c r="D172" s="151">
        <f>(45.84*10.764)</f>
        <v>493.42176000000001</v>
      </c>
      <c r="E172" s="152"/>
      <c r="F172" s="3">
        <v>0</v>
      </c>
      <c r="G172" s="3">
        <v>850</v>
      </c>
      <c r="H172" s="139"/>
      <c r="I172" s="140"/>
      <c r="J172" s="141"/>
    </row>
    <row r="173" spans="1:15" s="2" customFormat="1" x14ac:dyDescent="0.25">
      <c r="A173" s="3">
        <v>3</v>
      </c>
      <c r="B173" s="3">
        <v>7</v>
      </c>
      <c r="C173" s="3" t="s">
        <v>198</v>
      </c>
      <c r="D173" s="151">
        <f>(32.52*10.764)</f>
        <v>350.04527999999999</v>
      </c>
      <c r="E173" s="152"/>
      <c r="F173" s="3">
        <v>0</v>
      </c>
      <c r="G173" s="3">
        <v>600</v>
      </c>
      <c r="H173" s="139"/>
      <c r="I173" s="140"/>
      <c r="J173" s="141"/>
    </row>
    <row r="174" spans="1:15" s="2" customFormat="1" x14ac:dyDescent="0.25">
      <c r="A174" s="3">
        <v>4</v>
      </c>
      <c r="B174" s="3">
        <v>8</v>
      </c>
      <c r="C174" s="3" t="s">
        <v>198</v>
      </c>
      <c r="D174" s="151">
        <f>(32.52*10.764)</f>
        <v>350.04527999999999</v>
      </c>
      <c r="E174" s="152"/>
      <c r="F174" s="3">
        <v>0</v>
      </c>
      <c r="G174" s="3">
        <v>600</v>
      </c>
      <c r="H174" s="142"/>
      <c r="I174" s="143"/>
      <c r="J174" s="144"/>
      <c r="K174" s="191">
        <v>10.763999999999999</v>
      </c>
      <c r="L174" s="192"/>
    </row>
    <row r="175" spans="1:15" s="2" customFormat="1" hidden="1" x14ac:dyDescent="0.25">
      <c r="A175" s="148" t="s">
        <v>200</v>
      </c>
      <c r="B175" s="149"/>
      <c r="C175" s="149"/>
      <c r="D175" s="149"/>
      <c r="E175" s="149"/>
      <c r="F175" s="149"/>
      <c r="G175" s="149"/>
      <c r="H175" s="149"/>
      <c r="I175" s="149"/>
      <c r="J175" s="150"/>
    </row>
    <row r="176" spans="1:15" s="2" customFormat="1" hidden="1" x14ac:dyDescent="0.25">
      <c r="A176" s="148" t="s">
        <v>196</v>
      </c>
      <c r="B176" s="149"/>
      <c r="C176" s="149"/>
      <c r="D176" s="149"/>
      <c r="E176" s="149"/>
      <c r="F176" s="149"/>
      <c r="G176" s="149"/>
      <c r="H176" s="149"/>
      <c r="I176" s="149"/>
      <c r="J176" s="150"/>
    </row>
    <row r="177" spans="1:12" s="2" customFormat="1" hidden="1" x14ac:dyDescent="0.25">
      <c r="A177" s="148" t="s">
        <v>197</v>
      </c>
      <c r="B177" s="149"/>
      <c r="C177" s="149"/>
      <c r="D177" s="149"/>
      <c r="E177" s="149"/>
      <c r="F177" s="149"/>
      <c r="G177" s="149"/>
      <c r="H177" s="149"/>
      <c r="I177" s="149"/>
      <c r="J177" s="150"/>
    </row>
    <row r="178" spans="1:12" s="2" customFormat="1" hidden="1" x14ac:dyDescent="0.25">
      <c r="A178" s="148" t="s">
        <v>201</v>
      </c>
      <c r="B178" s="149"/>
      <c r="C178" s="149"/>
      <c r="D178" s="149"/>
      <c r="E178" s="149"/>
      <c r="F178" s="149"/>
      <c r="G178" s="149"/>
      <c r="H178" s="149"/>
      <c r="I178" s="149"/>
      <c r="J178" s="150"/>
    </row>
    <row r="179" spans="1:12" s="2" customFormat="1" hidden="1" x14ac:dyDescent="0.25">
      <c r="A179" s="3">
        <v>1</v>
      </c>
      <c r="B179" s="3">
        <v>1</v>
      </c>
      <c r="C179" s="3" t="s">
        <v>198</v>
      </c>
      <c r="D179" s="151">
        <f>(32.5*10.764)</f>
        <v>349.83</v>
      </c>
      <c r="E179" s="152"/>
      <c r="F179" s="3">
        <v>0</v>
      </c>
      <c r="G179" s="3">
        <v>600</v>
      </c>
      <c r="H179" s="3" t="s">
        <v>100</v>
      </c>
      <c r="I179" s="136" t="str">
        <f>A177</f>
        <v>1st,2nd,3rd&amp;4th Floor</v>
      </c>
      <c r="J179" s="138"/>
      <c r="L179" s="2">
        <f>SUM(D171:E174)*4</f>
        <v>6173.3692799999999</v>
      </c>
    </row>
    <row r="180" spans="1:12" s="2" customFormat="1" hidden="1" x14ac:dyDescent="0.25">
      <c r="A180" s="3">
        <v>2</v>
      </c>
      <c r="B180" s="3">
        <v>2</v>
      </c>
      <c r="C180" s="3" t="s">
        <v>198</v>
      </c>
      <c r="D180" s="151">
        <f>(32.5*10.764)</f>
        <v>349.83</v>
      </c>
      <c r="E180" s="152"/>
      <c r="F180" s="3">
        <v>0</v>
      </c>
      <c r="G180" s="3">
        <v>600</v>
      </c>
      <c r="H180" s="3" t="s">
        <v>100</v>
      </c>
      <c r="I180" s="139"/>
      <c r="J180" s="141"/>
    </row>
    <row r="181" spans="1:12" s="2" customFormat="1" hidden="1" x14ac:dyDescent="0.25">
      <c r="A181" s="3">
        <v>3</v>
      </c>
      <c r="B181" s="3">
        <v>3</v>
      </c>
      <c r="C181" s="3" t="s">
        <v>198</v>
      </c>
      <c r="D181" s="151">
        <f t="shared" ref="D181:D187" si="0">(32.5*10.764)</f>
        <v>349.83</v>
      </c>
      <c r="E181" s="152"/>
      <c r="F181" s="3">
        <v>0</v>
      </c>
      <c r="G181" s="3">
        <v>600</v>
      </c>
      <c r="H181" s="3" t="s">
        <v>100</v>
      </c>
      <c r="I181" s="139"/>
      <c r="J181" s="141"/>
      <c r="L181" s="2">
        <f>SUM(D179:E182)*4</f>
        <v>5597.28</v>
      </c>
    </row>
    <row r="182" spans="1:12" s="2" customFormat="1" hidden="1" x14ac:dyDescent="0.25">
      <c r="A182" s="3">
        <v>4</v>
      </c>
      <c r="B182" s="3">
        <v>4</v>
      </c>
      <c r="C182" s="3" t="s">
        <v>198</v>
      </c>
      <c r="D182" s="151">
        <f t="shared" si="0"/>
        <v>349.83</v>
      </c>
      <c r="E182" s="152"/>
      <c r="F182" s="3">
        <v>0</v>
      </c>
      <c r="G182" s="3">
        <v>600</v>
      </c>
      <c r="H182" s="3" t="s">
        <v>100</v>
      </c>
      <c r="I182" s="142"/>
      <c r="J182" s="144"/>
    </row>
    <row r="183" spans="1:12" s="2" customFormat="1" hidden="1" x14ac:dyDescent="0.25">
      <c r="A183" s="148" t="s">
        <v>202</v>
      </c>
      <c r="B183" s="149"/>
      <c r="C183" s="149"/>
      <c r="D183" s="149"/>
      <c r="E183" s="149"/>
      <c r="F183" s="149"/>
      <c r="G183" s="149"/>
      <c r="H183" s="149"/>
      <c r="I183" s="149"/>
      <c r="J183" s="150"/>
    </row>
    <row r="184" spans="1:12" s="2" customFormat="1" hidden="1" x14ac:dyDescent="0.25">
      <c r="A184" s="3">
        <v>1</v>
      </c>
      <c r="B184" s="3">
        <v>1</v>
      </c>
      <c r="C184" s="3" t="s">
        <v>198</v>
      </c>
      <c r="D184" s="151">
        <f t="shared" si="0"/>
        <v>349.83</v>
      </c>
      <c r="E184" s="152"/>
      <c r="F184" s="3">
        <v>0</v>
      </c>
      <c r="G184" s="3">
        <v>600</v>
      </c>
      <c r="H184" s="3" t="s">
        <v>100</v>
      </c>
      <c r="I184" s="136" t="str">
        <f>A177</f>
        <v>1st,2nd,3rd&amp;4th Floor</v>
      </c>
      <c r="J184" s="138"/>
    </row>
    <row r="185" spans="1:12" s="2" customFormat="1" hidden="1" x14ac:dyDescent="0.25">
      <c r="A185" s="3">
        <v>2</v>
      </c>
      <c r="B185" s="3">
        <v>2</v>
      </c>
      <c r="C185" s="3" t="s">
        <v>198</v>
      </c>
      <c r="D185" s="151">
        <f t="shared" si="0"/>
        <v>349.83</v>
      </c>
      <c r="E185" s="152"/>
      <c r="F185" s="3">
        <v>0</v>
      </c>
      <c r="G185" s="3">
        <v>600</v>
      </c>
      <c r="H185" s="3" t="s">
        <v>100</v>
      </c>
      <c r="I185" s="139"/>
      <c r="J185" s="141"/>
    </row>
    <row r="186" spans="1:12" s="2" customFormat="1" hidden="1" x14ac:dyDescent="0.25">
      <c r="A186" s="3">
        <v>3</v>
      </c>
      <c r="B186" s="3">
        <v>3</v>
      </c>
      <c r="C186" s="3" t="s">
        <v>198</v>
      </c>
      <c r="D186" s="151">
        <f t="shared" si="0"/>
        <v>349.83</v>
      </c>
      <c r="E186" s="152"/>
      <c r="F186" s="3">
        <v>0</v>
      </c>
      <c r="G186" s="3">
        <v>600</v>
      </c>
      <c r="H186" s="3" t="s">
        <v>100</v>
      </c>
      <c r="I186" s="139"/>
      <c r="J186" s="141"/>
      <c r="L186" s="2">
        <f>SUM(D184:E187)*4</f>
        <v>5597.28</v>
      </c>
    </row>
    <row r="187" spans="1:12" s="2" customFormat="1" hidden="1" x14ac:dyDescent="0.25">
      <c r="A187" s="3">
        <v>4</v>
      </c>
      <c r="B187" s="3">
        <v>4</v>
      </c>
      <c r="C187" s="3" t="s">
        <v>198</v>
      </c>
      <c r="D187" s="151">
        <f t="shared" si="0"/>
        <v>349.83</v>
      </c>
      <c r="E187" s="152"/>
      <c r="F187" s="3">
        <v>0</v>
      </c>
      <c r="G187" s="3">
        <v>600</v>
      </c>
      <c r="H187" s="3" t="s">
        <v>100</v>
      </c>
      <c r="I187" s="142"/>
      <c r="J187" s="144"/>
    </row>
    <row r="188" spans="1:12" s="2" customFormat="1" x14ac:dyDescent="0.25">
      <c r="A188" s="148" t="s">
        <v>328</v>
      </c>
      <c r="B188" s="149"/>
      <c r="C188" s="149"/>
      <c r="D188" s="149"/>
      <c r="E188" s="149"/>
      <c r="F188" s="149"/>
      <c r="G188" s="149"/>
      <c r="H188" s="149"/>
      <c r="I188" s="149"/>
      <c r="J188" s="150"/>
    </row>
    <row r="189" spans="1:12" s="2" customFormat="1" x14ac:dyDescent="0.25">
      <c r="A189" s="148" t="s">
        <v>329</v>
      </c>
      <c r="B189" s="149"/>
      <c r="C189" s="149"/>
      <c r="D189" s="149"/>
      <c r="E189" s="149"/>
      <c r="F189" s="149"/>
      <c r="G189" s="149"/>
      <c r="H189" s="149"/>
      <c r="I189" s="149"/>
      <c r="J189" s="150"/>
    </row>
    <row r="190" spans="1:12" s="2" customFormat="1" x14ac:dyDescent="0.25">
      <c r="A190" s="148" t="s">
        <v>332</v>
      </c>
      <c r="B190" s="149"/>
      <c r="C190" s="149"/>
      <c r="D190" s="149"/>
      <c r="E190" s="149"/>
      <c r="F190" s="149"/>
      <c r="G190" s="149"/>
      <c r="H190" s="149"/>
      <c r="I190" s="149"/>
      <c r="J190" s="150"/>
    </row>
    <row r="191" spans="1:12" s="2" customFormat="1" ht="15.75" customHeight="1" x14ac:dyDescent="0.25">
      <c r="A191" s="3">
        <v>1</v>
      </c>
      <c r="B191" s="3">
        <v>1</v>
      </c>
      <c r="C191" s="3" t="s">
        <v>246</v>
      </c>
      <c r="D191" s="151">
        <f>(13.17*10.764)</f>
        <v>141.76187999999999</v>
      </c>
      <c r="E191" s="152"/>
      <c r="F191" s="3">
        <v>0</v>
      </c>
      <c r="G191" s="41">
        <f>D191*2</f>
        <v>283.52375999999998</v>
      </c>
      <c r="H191" s="136" t="s">
        <v>244</v>
      </c>
      <c r="I191" s="137"/>
      <c r="J191" s="138"/>
    </row>
    <row r="192" spans="1:12" s="2" customFormat="1" x14ac:dyDescent="0.25">
      <c r="A192" s="3">
        <f>A191+1</f>
        <v>2</v>
      </c>
      <c r="B192" s="3">
        <f>B191+1</f>
        <v>2</v>
      </c>
      <c r="C192" s="3" t="s">
        <v>246</v>
      </c>
      <c r="D192" s="151">
        <f>(10.33*10.764)</f>
        <v>111.19211999999999</v>
      </c>
      <c r="E192" s="152"/>
      <c r="F192" s="3">
        <v>0</v>
      </c>
      <c r="G192" s="41">
        <f t="shared" ref="G192:G196" si="1">D192*2</f>
        <v>222.38423999999998</v>
      </c>
      <c r="H192" s="139"/>
      <c r="I192" s="140"/>
      <c r="J192" s="141"/>
    </row>
    <row r="193" spans="1:11" s="2" customFormat="1" ht="15.75" customHeight="1" x14ac:dyDescent="0.25">
      <c r="A193" s="3">
        <f t="shared" ref="A193:A196" si="2">A192+1</f>
        <v>3</v>
      </c>
      <c r="B193" s="3">
        <f t="shared" ref="B193:B196" si="3">B192+1</f>
        <v>3</v>
      </c>
      <c r="C193" s="3" t="s">
        <v>246</v>
      </c>
      <c r="D193" s="151">
        <f>(12.4*10.764)</f>
        <v>133.4736</v>
      </c>
      <c r="E193" s="152"/>
      <c r="F193" s="3">
        <v>0</v>
      </c>
      <c r="G193" s="41">
        <f t="shared" si="1"/>
        <v>266.94720000000001</v>
      </c>
      <c r="H193" s="139"/>
      <c r="I193" s="140"/>
      <c r="J193" s="141"/>
    </row>
    <row r="194" spans="1:11" s="2" customFormat="1" x14ac:dyDescent="0.25">
      <c r="A194" s="3">
        <f t="shared" si="2"/>
        <v>4</v>
      </c>
      <c r="B194" s="3">
        <f t="shared" si="3"/>
        <v>4</v>
      </c>
      <c r="C194" s="3" t="s">
        <v>246</v>
      </c>
      <c r="D194" s="151">
        <f>(15.32*10.764)</f>
        <v>164.90448000000001</v>
      </c>
      <c r="E194" s="152"/>
      <c r="F194" s="3">
        <v>0</v>
      </c>
      <c r="G194" s="41">
        <f t="shared" si="1"/>
        <v>329.80896000000001</v>
      </c>
      <c r="H194" s="139"/>
      <c r="I194" s="140"/>
      <c r="J194" s="141"/>
    </row>
    <row r="195" spans="1:11" s="2" customFormat="1" ht="15.75" customHeight="1" x14ac:dyDescent="0.25">
      <c r="A195" s="3">
        <f t="shared" si="2"/>
        <v>5</v>
      </c>
      <c r="B195" s="3">
        <f t="shared" si="3"/>
        <v>5</v>
      </c>
      <c r="C195" s="3" t="s">
        <v>246</v>
      </c>
      <c r="D195" s="151">
        <f>(12.48*10.764)</f>
        <v>134.33472</v>
      </c>
      <c r="E195" s="152"/>
      <c r="F195" s="3">
        <v>0</v>
      </c>
      <c r="G195" s="41">
        <f t="shared" si="1"/>
        <v>268.66944000000001</v>
      </c>
      <c r="H195" s="139"/>
      <c r="I195" s="140"/>
      <c r="J195" s="141"/>
    </row>
    <row r="196" spans="1:11" s="2" customFormat="1" x14ac:dyDescent="0.25">
      <c r="A196" s="3">
        <f t="shared" si="2"/>
        <v>6</v>
      </c>
      <c r="B196" s="3">
        <f t="shared" si="3"/>
        <v>6</v>
      </c>
      <c r="C196" s="3" t="s">
        <v>246</v>
      </c>
      <c r="D196" s="151">
        <f>(9.84*10.764)</f>
        <v>105.91775999999999</v>
      </c>
      <c r="E196" s="152"/>
      <c r="F196" s="3">
        <v>0</v>
      </c>
      <c r="G196" s="41">
        <f t="shared" si="1"/>
        <v>211.83551999999997</v>
      </c>
      <c r="H196" s="139"/>
      <c r="I196" s="140"/>
      <c r="J196" s="141"/>
    </row>
    <row r="197" spans="1:11" s="2" customFormat="1" ht="15.75" customHeight="1" x14ac:dyDescent="0.25">
      <c r="A197" s="3">
        <v>1</v>
      </c>
      <c r="B197" s="3">
        <v>1</v>
      </c>
      <c r="C197" s="3" t="s">
        <v>198</v>
      </c>
      <c r="D197" s="151">
        <f>(37.68*10.764)</f>
        <v>405.58751999999998</v>
      </c>
      <c r="E197" s="152"/>
      <c r="F197" s="3">
        <v>0</v>
      </c>
      <c r="G197" s="41">
        <v>610</v>
      </c>
      <c r="H197" s="139"/>
      <c r="I197" s="140"/>
      <c r="J197" s="141"/>
    </row>
    <row r="198" spans="1:11" s="2" customFormat="1" ht="15.75" customHeight="1" x14ac:dyDescent="0.25">
      <c r="A198" s="3">
        <v>2</v>
      </c>
      <c r="B198" s="3">
        <v>2</v>
      </c>
      <c r="C198" s="3" t="s">
        <v>198</v>
      </c>
      <c r="D198" s="151">
        <f>(37.22*10.764)</f>
        <v>400.63607999999994</v>
      </c>
      <c r="E198" s="152"/>
      <c r="F198" s="3">
        <v>0</v>
      </c>
      <c r="G198" s="41">
        <v>600</v>
      </c>
      <c r="H198" s="142"/>
      <c r="I198" s="143"/>
      <c r="J198" s="144"/>
    </row>
    <row r="199" spans="1:11" s="2" customFormat="1" x14ac:dyDescent="0.25">
      <c r="A199" s="148" t="s">
        <v>333</v>
      </c>
      <c r="B199" s="149"/>
      <c r="C199" s="149"/>
      <c r="D199" s="149"/>
      <c r="E199" s="149"/>
      <c r="F199" s="149"/>
      <c r="G199" s="149"/>
      <c r="H199" s="149"/>
      <c r="I199" s="149"/>
      <c r="J199" s="150"/>
    </row>
    <row r="200" spans="1:11" s="2" customFormat="1" ht="15.75" customHeight="1" x14ac:dyDescent="0.25">
      <c r="A200" s="3">
        <v>1</v>
      </c>
      <c r="B200" s="3">
        <v>1</v>
      </c>
      <c r="C200" s="3" t="s">
        <v>198</v>
      </c>
      <c r="D200" s="134">
        <f>(38.06+2.75+2.75+2.4*0.75)*10.764</f>
        <v>488.25503999999995</v>
      </c>
      <c r="E200" s="135"/>
      <c r="F200" s="3">
        <v>0</v>
      </c>
      <c r="G200" s="3">
        <v>675</v>
      </c>
      <c r="H200" s="136" t="str">
        <f>A199</f>
        <v xml:space="preserve">1st To 7th Floor For Residential </v>
      </c>
      <c r="I200" s="137"/>
      <c r="J200" s="138"/>
      <c r="K200" s="2">
        <f>2.75*5.45+2.4*2.4+2.75*3.45+1.2*1.55+1.2*0.9+0.9*2.4+0.3*1.2</f>
        <v>35.695000000000007</v>
      </c>
    </row>
    <row r="201" spans="1:11" s="2" customFormat="1" x14ac:dyDescent="0.25">
      <c r="A201" s="3">
        <f>A200+1</f>
        <v>2</v>
      </c>
      <c r="B201" s="3">
        <f>B200+1</f>
        <v>2</v>
      </c>
      <c r="C201" s="3" t="s">
        <v>198</v>
      </c>
      <c r="D201" s="134">
        <f>(38.62+2.75+2.85+2.4*0.75)*10.764</f>
        <v>495.3592799999999</v>
      </c>
      <c r="E201" s="135"/>
      <c r="F201" s="3">
        <v>0</v>
      </c>
      <c r="G201" s="3">
        <v>685</v>
      </c>
      <c r="H201" s="139"/>
      <c r="I201" s="140"/>
      <c r="J201" s="141"/>
    </row>
    <row r="202" spans="1:11" s="2" customFormat="1" x14ac:dyDescent="0.25">
      <c r="A202" s="3">
        <f t="shared" ref="A202:A205" si="4">A201+1</f>
        <v>3</v>
      </c>
      <c r="B202" s="3">
        <f t="shared" ref="B202:B205" si="5">B201+1</f>
        <v>3</v>
      </c>
      <c r="C202" s="3" t="s">
        <v>198</v>
      </c>
      <c r="D202" s="134">
        <f>(37.84+3.05+3.05+2.15*0.75)*10.764</f>
        <v>490.32710999999989</v>
      </c>
      <c r="E202" s="135"/>
      <c r="F202" s="3">
        <v>0</v>
      </c>
      <c r="G202" s="3">
        <v>670</v>
      </c>
      <c r="H202" s="139"/>
      <c r="I202" s="140"/>
      <c r="J202" s="141"/>
    </row>
    <row r="203" spans="1:11" s="2" customFormat="1" x14ac:dyDescent="0.25">
      <c r="A203" s="3">
        <f t="shared" si="4"/>
        <v>4</v>
      </c>
      <c r="B203" s="3">
        <f t="shared" si="5"/>
        <v>4</v>
      </c>
      <c r="C203" s="3" t="s">
        <v>198</v>
      </c>
      <c r="D203" s="134">
        <f>(37.66+2.75*1.05+1.4*0.75+2.4*0.75)*10.764</f>
        <v>467.1306899999999</v>
      </c>
      <c r="E203" s="135"/>
      <c r="F203" s="3">
        <v>0</v>
      </c>
      <c r="G203" s="3">
        <v>660</v>
      </c>
      <c r="H203" s="139"/>
      <c r="I203" s="140"/>
      <c r="J203" s="141"/>
    </row>
    <row r="204" spans="1:11" s="2" customFormat="1" x14ac:dyDescent="0.25">
      <c r="A204" s="3">
        <f t="shared" si="4"/>
        <v>5</v>
      </c>
      <c r="B204" s="3">
        <f t="shared" si="5"/>
        <v>5</v>
      </c>
      <c r="C204" s="3" t="s">
        <v>198</v>
      </c>
      <c r="D204" s="134">
        <f>(38.38+3.45+1.4*0.75)*10.764</f>
        <v>461.56031999999999</v>
      </c>
      <c r="E204" s="135"/>
      <c r="F204" s="3">
        <v>0</v>
      </c>
      <c r="G204" s="3">
        <v>670</v>
      </c>
      <c r="H204" s="139"/>
      <c r="I204" s="140"/>
      <c r="J204" s="141"/>
    </row>
    <row r="205" spans="1:11" s="2" customFormat="1" x14ac:dyDescent="0.25">
      <c r="A205" s="3">
        <f t="shared" si="4"/>
        <v>6</v>
      </c>
      <c r="B205" s="3">
        <f t="shared" si="5"/>
        <v>6</v>
      </c>
      <c r="C205" s="3" t="s">
        <v>199</v>
      </c>
      <c r="D205" s="134">
        <f>(50.05+3.05+2.75*0.75+2.24*0.75+1*0.75)*10.764</f>
        <v>619.92566999999985</v>
      </c>
      <c r="E205" s="135"/>
      <c r="F205" s="3">
        <v>0</v>
      </c>
      <c r="G205" s="3">
        <v>995</v>
      </c>
      <c r="H205" s="142"/>
      <c r="I205" s="143"/>
      <c r="J205" s="144"/>
    </row>
    <row r="206" spans="1:11" s="2" customFormat="1" x14ac:dyDescent="0.25">
      <c r="A206" s="145" t="s">
        <v>330</v>
      </c>
      <c r="B206" s="145"/>
      <c r="C206" s="145"/>
      <c r="D206" s="145"/>
      <c r="E206" s="145"/>
      <c r="F206" s="145"/>
      <c r="G206" s="145"/>
      <c r="H206" s="145"/>
      <c r="I206" s="145"/>
      <c r="J206" s="145"/>
    </row>
    <row r="207" spans="1:11" s="2" customFormat="1" x14ac:dyDescent="0.25">
      <c r="A207" s="145" t="s">
        <v>331</v>
      </c>
      <c r="B207" s="145"/>
      <c r="C207" s="145"/>
      <c r="D207" s="145"/>
      <c r="E207" s="145"/>
      <c r="F207" s="145"/>
      <c r="G207" s="145"/>
      <c r="H207" s="145"/>
      <c r="I207" s="145"/>
      <c r="J207" s="145"/>
    </row>
    <row r="208" spans="1:11" s="2" customFormat="1" ht="15.75" customHeight="1" x14ac:dyDescent="0.25">
      <c r="A208" s="3">
        <v>1</v>
      </c>
      <c r="B208" s="3">
        <v>1</v>
      </c>
      <c r="C208" s="3" t="s">
        <v>198</v>
      </c>
      <c r="D208" s="147">
        <f>(44.57*10.764)</f>
        <v>479.75147999999996</v>
      </c>
      <c r="E208" s="147"/>
      <c r="F208" s="3">
        <v>0</v>
      </c>
      <c r="G208" s="41">
        <v>690</v>
      </c>
      <c r="H208" s="147" t="str">
        <f>A207</f>
        <v>Ground Floor is for Parking, Driver Room, lobby &amp; Residential</v>
      </c>
      <c r="I208" s="147"/>
      <c r="J208" s="147"/>
    </row>
    <row r="209" spans="1:12" s="2" customFormat="1" x14ac:dyDescent="0.25">
      <c r="A209" s="145" t="s">
        <v>333</v>
      </c>
      <c r="B209" s="145"/>
      <c r="C209" s="145"/>
      <c r="D209" s="145"/>
      <c r="E209" s="145"/>
      <c r="F209" s="145"/>
      <c r="G209" s="145"/>
      <c r="H209" s="145"/>
      <c r="I209" s="145"/>
      <c r="J209" s="145"/>
    </row>
    <row r="210" spans="1:12" s="2" customFormat="1" ht="15.75" customHeight="1" x14ac:dyDescent="0.25">
      <c r="A210" s="3">
        <v>1</v>
      </c>
      <c r="B210" s="3">
        <v>1</v>
      </c>
      <c r="C210" s="3" t="s">
        <v>198</v>
      </c>
      <c r="D210" s="146">
        <f>(38.06+2.75+2.75+2.4*0.75)*10.764</f>
        <v>488.25503999999995</v>
      </c>
      <c r="E210" s="146"/>
      <c r="F210" s="3">
        <v>0</v>
      </c>
      <c r="G210" s="3">
        <v>685</v>
      </c>
      <c r="H210" s="147" t="str">
        <f>A209</f>
        <v xml:space="preserve">1st To 7th Floor For Residential </v>
      </c>
      <c r="I210" s="147"/>
      <c r="J210" s="147"/>
      <c r="L210" s="2">
        <f>G210/D210</f>
        <v>1.4029553079472565</v>
      </c>
    </row>
    <row r="211" spans="1:12" s="2" customFormat="1" x14ac:dyDescent="0.25">
      <c r="A211" s="3">
        <f>A210+1</f>
        <v>2</v>
      </c>
      <c r="B211" s="3">
        <f>B210+1</f>
        <v>2</v>
      </c>
      <c r="C211" s="3" t="s">
        <v>199</v>
      </c>
      <c r="D211" s="146">
        <f>(56.11+3.05+3+3.05+2.3*0.75)*10.764</f>
        <v>720.48833999999988</v>
      </c>
      <c r="E211" s="146"/>
      <c r="F211" s="3">
        <v>0</v>
      </c>
      <c r="G211" s="3">
        <v>1050</v>
      </c>
      <c r="H211" s="147"/>
      <c r="I211" s="147"/>
      <c r="J211" s="147"/>
      <c r="L211" s="2">
        <f t="shared" ref="L211:L214" si="6">G211/D211</f>
        <v>1.4573448891622593</v>
      </c>
    </row>
    <row r="212" spans="1:12" s="2" customFormat="1" x14ac:dyDescent="0.25">
      <c r="A212" s="3">
        <f t="shared" ref="A212:B214" si="7">A211+1</f>
        <v>3</v>
      </c>
      <c r="B212" s="3">
        <f t="shared" si="7"/>
        <v>3</v>
      </c>
      <c r="C212" s="3" t="s">
        <v>198</v>
      </c>
      <c r="D212" s="146">
        <f>(38.89+2.75*1.05+3.05*1.05+2.4*0.75)*10.764</f>
        <v>503.53992</v>
      </c>
      <c r="E212" s="146"/>
      <c r="F212" s="3">
        <v>0</v>
      </c>
      <c r="G212" s="3">
        <v>690</v>
      </c>
      <c r="H212" s="147"/>
      <c r="I212" s="147"/>
      <c r="J212" s="147"/>
      <c r="L212" s="2">
        <f t="shared" si="6"/>
        <v>1.3702985058265094</v>
      </c>
    </row>
    <row r="213" spans="1:12" s="2" customFormat="1" x14ac:dyDescent="0.25">
      <c r="A213" s="3">
        <f t="shared" si="7"/>
        <v>4</v>
      </c>
      <c r="B213" s="3">
        <f t="shared" si="7"/>
        <v>4</v>
      </c>
      <c r="C213" s="3" t="s">
        <v>198</v>
      </c>
      <c r="D213" s="146">
        <f>(38.55+2.8*1.05+3*1.05+2.4*0.75)*10.764</f>
        <v>499.88015999999988</v>
      </c>
      <c r="E213" s="146"/>
      <c r="F213" s="3">
        <v>0</v>
      </c>
      <c r="G213" s="3">
        <v>690</v>
      </c>
      <c r="H213" s="147"/>
      <c r="I213" s="147"/>
      <c r="J213" s="147"/>
      <c r="L213" s="2">
        <f t="shared" si="6"/>
        <v>1.3803308376951791</v>
      </c>
    </row>
    <row r="214" spans="1:12" s="2" customFormat="1" x14ac:dyDescent="0.25">
      <c r="A214" s="3">
        <f t="shared" si="7"/>
        <v>5</v>
      </c>
      <c r="B214" s="3">
        <f t="shared" si="7"/>
        <v>5</v>
      </c>
      <c r="C214" s="3" t="s">
        <v>199</v>
      </c>
      <c r="D214" s="146">
        <f>(50.05+3*1.05+2.75*1.05+2.24*0.75+3)*10.764</f>
        <v>654.10136999999997</v>
      </c>
      <c r="E214" s="146"/>
      <c r="F214" s="3">
        <v>0</v>
      </c>
      <c r="G214" s="3">
        <v>1010</v>
      </c>
      <c r="H214" s="147"/>
      <c r="I214" s="147"/>
      <c r="J214" s="147"/>
      <c r="L214" s="2">
        <f t="shared" si="6"/>
        <v>1.5441031716536537</v>
      </c>
    </row>
    <row r="215" spans="1:12" s="2" customFormat="1" x14ac:dyDescent="0.25">
      <c r="A215" s="148" t="s">
        <v>247</v>
      </c>
      <c r="B215" s="149"/>
      <c r="C215" s="149"/>
      <c r="D215" s="149"/>
      <c r="E215" s="149"/>
      <c r="F215" s="149"/>
      <c r="G215" s="149"/>
      <c r="H215" s="149"/>
      <c r="I215" s="149"/>
      <c r="J215" s="150"/>
    </row>
    <row r="216" spans="1:12" s="2" customFormat="1" x14ac:dyDescent="0.25">
      <c r="A216" s="148" t="s">
        <v>250</v>
      </c>
      <c r="B216" s="149"/>
      <c r="C216" s="149"/>
      <c r="D216" s="149"/>
      <c r="E216" s="149"/>
      <c r="F216" s="149"/>
      <c r="G216" s="149"/>
      <c r="H216" s="149"/>
      <c r="I216" s="149"/>
      <c r="J216" s="150"/>
    </row>
    <row r="217" spans="1:12" s="2" customFormat="1" x14ac:dyDescent="0.25">
      <c r="A217" s="148" t="s">
        <v>243</v>
      </c>
      <c r="B217" s="149"/>
      <c r="C217" s="149"/>
      <c r="D217" s="149"/>
      <c r="E217" s="149"/>
      <c r="F217" s="149"/>
      <c r="G217" s="149"/>
      <c r="H217" s="149"/>
      <c r="I217" s="149"/>
      <c r="J217" s="150"/>
    </row>
    <row r="218" spans="1:12" s="2" customFormat="1" ht="15.75" customHeight="1" x14ac:dyDescent="0.25">
      <c r="A218" s="41">
        <v>1</v>
      </c>
      <c r="B218" s="41" t="s">
        <v>302</v>
      </c>
      <c r="C218" s="41" t="s">
        <v>198</v>
      </c>
      <c r="D218" s="295">
        <f>(35.91)*10.764</f>
        <v>386.53523999999993</v>
      </c>
      <c r="E218" s="295"/>
      <c r="F218" s="41">
        <v>0</v>
      </c>
      <c r="G218" s="3">
        <v>560</v>
      </c>
      <c r="H218" s="136" t="str">
        <f>A217</f>
        <v>Ground Floor is for Parking &amp; Residential</v>
      </c>
      <c r="I218" s="137"/>
      <c r="J218" s="138"/>
      <c r="K218" s="2">
        <f>(4.6*2.75+2.25*2.25+3.4*3+1.6*1.2+0.9*1.2+1.4*1.1+0.9*1)</f>
        <v>33.352499999999992</v>
      </c>
    </row>
    <row r="219" spans="1:12" s="2" customFormat="1" x14ac:dyDescent="0.25">
      <c r="A219" s="41">
        <v>2</v>
      </c>
      <c r="B219" s="41" t="s">
        <v>303</v>
      </c>
      <c r="C219" s="41" t="s">
        <v>199</v>
      </c>
      <c r="D219" s="295">
        <f>(46.1)*10.764</f>
        <v>496.22039999999998</v>
      </c>
      <c r="E219" s="295"/>
      <c r="F219" s="41">
        <v>0</v>
      </c>
      <c r="G219" s="3">
        <v>820</v>
      </c>
      <c r="H219" s="139"/>
      <c r="I219" s="140"/>
      <c r="J219" s="141"/>
      <c r="L219" s="2">
        <f>SUM(D218:E222)*4</f>
        <v>6583.6929599999994</v>
      </c>
    </row>
    <row r="220" spans="1:12" s="2" customFormat="1" x14ac:dyDescent="0.25">
      <c r="A220" s="41">
        <v>3</v>
      </c>
      <c r="B220" s="41" t="s">
        <v>304</v>
      </c>
      <c r="C220" s="41" t="s">
        <v>198</v>
      </c>
      <c r="D220" s="295">
        <f>(35.38)*10.764</f>
        <v>380.83032000000003</v>
      </c>
      <c r="E220" s="295"/>
      <c r="F220" s="41">
        <v>0</v>
      </c>
      <c r="G220" s="41">
        <v>580</v>
      </c>
      <c r="H220" s="139"/>
      <c r="I220" s="140"/>
      <c r="J220" s="141"/>
    </row>
    <row r="221" spans="1:12" s="2" customFormat="1" x14ac:dyDescent="0.25">
      <c r="A221" s="41">
        <v>4</v>
      </c>
      <c r="B221" s="41" t="s">
        <v>305</v>
      </c>
      <c r="C221" s="41" t="s">
        <v>198</v>
      </c>
      <c r="D221" s="295">
        <f>(35.52)*10.764</f>
        <v>382.33728000000002</v>
      </c>
      <c r="E221" s="295"/>
      <c r="F221" s="41">
        <v>0</v>
      </c>
      <c r="G221" s="41">
        <v>575</v>
      </c>
      <c r="H221" s="142"/>
      <c r="I221" s="143"/>
      <c r="J221" s="144"/>
    </row>
    <row r="222" spans="1:12" s="2" customFormat="1" ht="15.75" customHeight="1" x14ac:dyDescent="0.25">
      <c r="A222" s="148" t="s">
        <v>224</v>
      </c>
      <c r="B222" s="149"/>
      <c r="C222" s="149"/>
      <c r="D222" s="149"/>
      <c r="E222" s="149"/>
      <c r="F222" s="149"/>
      <c r="G222" s="149"/>
      <c r="H222" s="149"/>
      <c r="I222" s="149"/>
      <c r="J222" s="150"/>
    </row>
    <row r="223" spans="1:12" s="2" customFormat="1" ht="15.75" customHeight="1" x14ac:dyDescent="0.25">
      <c r="A223" s="3">
        <v>1</v>
      </c>
      <c r="B223" s="3">
        <v>101</v>
      </c>
      <c r="C223" s="3" t="s">
        <v>198</v>
      </c>
      <c r="D223" s="151">
        <f>(36.61+0.75*(2.75+2.25)+0.6*2.1+1*3.3)*10.764</f>
        <v>483.51887999999991</v>
      </c>
      <c r="E223" s="152"/>
      <c r="F223" s="3">
        <v>0</v>
      </c>
      <c r="G223" s="41">
        <v>675</v>
      </c>
      <c r="H223" s="136" t="str">
        <f>A222</f>
        <v>1st To 4th Floor</v>
      </c>
      <c r="I223" s="137"/>
      <c r="J223" s="138"/>
    </row>
    <row r="224" spans="1:12" s="2" customFormat="1" x14ac:dyDescent="0.25">
      <c r="A224" s="3">
        <v>2</v>
      </c>
      <c r="B224" s="3">
        <v>102</v>
      </c>
      <c r="C224" s="3" t="s">
        <v>199</v>
      </c>
      <c r="D224" s="151">
        <f>(50.36+0.75*2.25+1*(2.75+3.8+3.15)+0.6*3)*10.764</f>
        <v>684.02528999999993</v>
      </c>
      <c r="E224" s="152"/>
      <c r="F224" s="3">
        <v>0</v>
      </c>
      <c r="G224" s="41">
        <v>990</v>
      </c>
      <c r="H224" s="139"/>
      <c r="I224" s="140"/>
      <c r="J224" s="141"/>
      <c r="L224" s="2">
        <f>SUM(D223:E228)*4</f>
        <v>12323.595959999997</v>
      </c>
    </row>
    <row r="225" spans="1:12" s="2" customFormat="1" x14ac:dyDescent="0.25">
      <c r="A225" s="41">
        <v>3</v>
      </c>
      <c r="B225" s="3">
        <v>103</v>
      </c>
      <c r="C225" s="41" t="s">
        <v>198</v>
      </c>
      <c r="D225" s="153">
        <f>(40.12+0.75*8.4)*10.764</f>
        <v>499.66487999999998</v>
      </c>
      <c r="E225" s="154"/>
      <c r="F225" s="41">
        <v>0</v>
      </c>
      <c r="G225" s="41">
        <v>685</v>
      </c>
      <c r="H225" s="139"/>
      <c r="I225" s="140"/>
      <c r="J225" s="141"/>
    </row>
    <row r="226" spans="1:12" s="2" customFormat="1" x14ac:dyDescent="0.25">
      <c r="A226" s="41">
        <v>4</v>
      </c>
      <c r="B226" s="3">
        <v>104</v>
      </c>
      <c r="C226" s="41" t="s">
        <v>198</v>
      </c>
      <c r="D226" s="153">
        <f>(37.2+0.75*(2.25+2.75)+1.05*3.5)*10.764</f>
        <v>480.34349999999995</v>
      </c>
      <c r="E226" s="154"/>
      <c r="F226" s="41">
        <v>0</v>
      </c>
      <c r="G226" s="41">
        <v>675</v>
      </c>
      <c r="H226" s="139"/>
      <c r="I226" s="140"/>
      <c r="J226" s="141"/>
    </row>
    <row r="227" spans="1:12" s="2" customFormat="1" x14ac:dyDescent="0.25">
      <c r="A227" s="3">
        <v>5</v>
      </c>
      <c r="B227" s="3">
        <v>105</v>
      </c>
      <c r="C227" s="3" t="s">
        <v>198</v>
      </c>
      <c r="D227" s="151">
        <f>(36.62+0.75*(2.75+2.1+2.75)+0.45*2.3)*10.764</f>
        <v>466.67321999999984</v>
      </c>
      <c r="E227" s="152"/>
      <c r="F227" s="3">
        <v>0</v>
      </c>
      <c r="G227" s="41">
        <v>665</v>
      </c>
      <c r="H227" s="139"/>
      <c r="I227" s="140"/>
      <c r="J227" s="141"/>
    </row>
    <row r="228" spans="1:12" s="2" customFormat="1" x14ac:dyDescent="0.25">
      <c r="A228" s="3">
        <v>6</v>
      </c>
      <c r="B228" s="3">
        <v>106</v>
      </c>
      <c r="C228" s="3" t="s">
        <v>198</v>
      </c>
      <c r="D228" s="151">
        <f>(36.62+0.75*(2.75+2.1+2.75)+0.45*2.3)*10.764</f>
        <v>466.67321999999984</v>
      </c>
      <c r="E228" s="152"/>
      <c r="F228" s="3">
        <v>0</v>
      </c>
      <c r="G228" s="3">
        <v>665</v>
      </c>
      <c r="H228" s="142"/>
      <c r="I228" s="143"/>
      <c r="J228" s="144"/>
    </row>
    <row r="229" spans="1:12" s="2" customFormat="1" ht="15.75" customHeight="1" x14ac:dyDescent="0.25">
      <c r="A229" s="148" t="s">
        <v>306</v>
      </c>
      <c r="B229" s="149"/>
      <c r="C229" s="149"/>
      <c r="D229" s="149"/>
      <c r="E229" s="149"/>
      <c r="F229" s="149"/>
      <c r="G229" s="149"/>
      <c r="H229" s="149"/>
      <c r="I229" s="149"/>
      <c r="J229" s="150"/>
    </row>
    <row r="230" spans="1:12" s="2" customFormat="1" ht="15.75" customHeight="1" x14ac:dyDescent="0.25">
      <c r="A230" s="3">
        <v>1</v>
      </c>
      <c r="B230" s="3">
        <v>1</v>
      </c>
      <c r="C230" s="3" t="s">
        <v>198</v>
      </c>
      <c r="D230" s="151">
        <f>(36.61+0.75*(2.75+2.25)+0.6*2.1+1*3.3)*10.764</f>
        <v>483.51887999999991</v>
      </c>
      <c r="E230" s="152"/>
      <c r="F230" s="3">
        <v>0</v>
      </c>
      <c r="G230" s="41">
        <v>675</v>
      </c>
      <c r="H230" s="136" t="str">
        <f>A229</f>
        <v>5th, 6th &amp; 7th Floor</v>
      </c>
      <c r="I230" s="137"/>
      <c r="J230" s="138"/>
    </row>
    <row r="231" spans="1:12" s="2" customFormat="1" x14ac:dyDescent="0.25">
      <c r="A231" s="3">
        <v>2</v>
      </c>
      <c r="B231" s="3">
        <v>2</v>
      </c>
      <c r="C231" s="3" t="s">
        <v>199</v>
      </c>
      <c r="D231" s="151">
        <f>(50.36+0.75*2.25+1*(2.75+3.8+3.15)+0.6*3)*10.764</f>
        <v>684.02528999999993</v>
      </c>
      <c r="E231" s="152"/>
      <c r="F231" s="3">
        <v>0</v>
      </c>
      <c r="G231" s="41">
        <v>990</v>
      </c>
      <c r="H231" s="139"/>
      <c r="I231" s="140"/>
      <c r="J231" s="141"/>
      <c r="L231" s="2">
        <f>SUM(D230:E235)*4</f>
        <v>12323.595959999997</v>
      </c>
    </row>
    <row r="232" spans="1:12" s="2" customFormat="1" x14ac:dyDescent="0.25">
      <c r="A232" s="41">
        <v>3</v>
      </c>
      <c r="B232" s="41">
        <v>3</v>
      </c>
      <c r="C232" s="41" t="s">
        <v>198</v>
      </c>
      <c r="D232" s="153">
        <f>(40.12+0.75*8.4)*10.764</f>
        <v>499.66487999999998</v>
      </c>
      <c r="E232" s="154"/>
      <c r="F232" s="41">
        <v>0</v>
      </c>
      <c r="G232" s="41">
        <v>685</v>
      </c>
      <c r="H232" s="139"/>
      <c r="I232" s="140"/>
      <c r="J232" s="141"/>
    </row>
    <row r="233" spans="1:12" s="2" customFormat="1" x14ac:dyDescent="0.25">
      <c r="A233" s="41">
        <v>4</v>
      </c>
      <c r="B233" s="41">
        <v>4</v>
      </c>
      <c r="C233" s="41" t="s">
        <v>198</v>
      </c>
      <c r="D233" s="153">
        <f>(37.2+0.75*(2.25+2.75)+1.05*3.5)*10.764</f>
        <v>480.34349999999995</v>
      </c>
      <c r="E233" s="154"/>
      <c r="F233" s="41">
        <v>0</v>
      </c>
      <c r="G233" s="41">
        <v>675</v>
      </c>
      <c r="H233" s="139"/>
      <c r="I233" s="140"/>
      <c r="J233" s="141"/>
    </row>
    <row r="234" spans="1:12" s="2" customFormat="1" x14ac:dyDescent="0.25">
      <c r="A234" s="3">
        <v>5</v>
      </c>
      <c r="B234" s="3">
        <v>5</v>
      </c>
      <c r="C234" s="3" t="s">
        <v>198</v>
      </c>
      <c r="D234" s="151">
        <f t="shared" ref="D234:D235" si="8">(36.62+0.75*(2.75+2.1+2.75)+0.45*2.3)*10.764</f>
        <v>466.67321999999984</v>
      </c>
      <c r="E234" s="152"/>
      <c r="F234" s="3">
        <v>0</v>
      </c>
      <c r="G234" s="41">
        <v>665</v>
      </c>
      <c r="H234" s="139"/>
      <c r="I234" s="140"/>
      <c r="J234" s="141"/>
    </row>
    <row r="235" spans="1:12" s="2" customFormat="1" x14ac:dyDescent="0.25">
      <c r="A235" s="3">
        <v>6</v>
      </c>
      <c r="B235" s="3">
        <v>6</v>
      </c>
      <c r="C235" s="3" t="s">
        <v>198</v>
      </c>
      <c r="D235" s="151">
        <f t="shared" si="8"/>
        <v>466.67321999999984</v>
      </c>
      <c r="E235" s="152"/>
      <c r="F235" s="3">
        <v>0</v>
      </c>
      <c r="G235" s="3">
        <v>665</v>
      </c>
      <c r="H235" s="142"/>
      <c r="I235" s="143"/>
      <c r="J235" s="144"/>
    </row>
    <row r="236" spans="1:12" s="2" customFormat="1" x14ac:dyDescent="0.25">
      <c r="A236" s="148" t="s">
        <v>251</v>
      </c>
      <c r="B236" s="149"/>
      <c r="C236" s="149"/>
      <c r="D236" s="149"/>
      <c r="E236" s="149"/>
      <c r="F236" s="149"/>
      <c r="G236" s="149"/>
      <c r="H236" s="149"/>
      <c r="I236" s="149"/>
      <c r="J236" s="150"/>
    </row>
    <row r="237" spans="1:12" s="2" customFormat="1" x14ac:dyDescent="0.25">
      <c r="A237" s="148" t="s">
        <v>243</v>
      </c>
      <c r="B237" s="149"/>
      <c r="C237" s="149"/>
      <c r="D237" s="149"/>
      <c r="E237" s="149"/>
      <c r="F237" s="149"/>
      <c r="G237" s="149"/>
      <c r="H237" s="149"/>
      <c r="I237" s="149"/>
      <c r="J237" s="150"/>
    </row>
    <row r="238" spans="1:12" s="2" customFormat="1" ht="15.75" customHeight="1" x14ac:dyDescent="0.25">
      <c r="A238" s="41">
        <v>1</v>
      </c>
      <c r="B238" s="41" t="s">
        <v>302</v>
      </c>
      <c r="C238" s="41" t="s">
        <v>198</v>
      </c>
      <c r="D238" s="295">
        <f>(34.53)*10.764</f>
        <v>371.68092000000001</v>
      </c>
      <c r="E238" s="295"/>
      <c r="F238" s="41">
        <v>0</v>
      </c>
      <c r="G238" s="3">
        <v>540</v>
      </c>
      <c r="H238" s="136" t="str">
        <f>A237</f>
        <v>Ground Floor is for Parking &amp; Residential</v>
      </c>
      <c r="I238" s="137"/>
      <c r="J238" s="138"/>
      <c r="K238" s="2">
        <f>(2.75*4.45+2.1*2.35+2.75*3.4+0.9*1.2+1.2*1.5+2.1*0.9+1.2*0.9)</f>
        <v>32.372500000000002</v>
      </c>
    </row>
    <row r="239" spans="1:12" s="2" customFormat="1" x14ac:dyDescent="0.25">
      <c r="A239" s="41">
        <v>2</v>
      </c>
      <c r="B239" s="41" t="s">
        <v>303</v>
      </c>
      <c r="C239" s="41" t="s">
        <v>198</v>
      </c>
      <c r="D239" s="295">
        <f>(38.07)*10.764</f>
        <v>409.78547999999995</v>
      </c>
      <c r="E239" s="295"/>
      <c r="F239" s="41">
        <v>0</v>
      </c>
      <c r="G239" s="3">
        <v>565</v>
      </c>
      <c r="H239" s="139"/>
      <c r="I239" s="140"/>
      <c r="J239" s="141"/>
      <c r="L239" s="2">
        <f>SUM(D238:E242)*4</f>
        <v>6580.67904</v>
      </c>
    </row>
    <row r="240" spans="1:12" s="2" customFormat="1" x14ac:dyDescent="0.25">
      <c r="A240" s="41">
        <v>3</v>
      </c>
      <c r="B240" s="41" t="s">
        <v>304</v>
      </c>
      <c r="C240" s="41" t="s">
        <v>199</v>
      </c>
      <c r="D240" s="295">
        <f>(45.67)*10.764</f>
        <v>491.59188</v>
      </c>
      <c r="E240" s="295"/>
      <c r="F240" s="41">
        <v>0</v>
      </c>
      <c r="G240" s="41">
        <v>810</v>
      </c>
      <c r="H240" s="139"/>
      <c r="I240" s="140"/>
      <c r="J240" s="141"/>
    </row>
    <row r="241" spans="1:12" s="2" customFormat="1" x14ac:dyDescent="0.25">
      <c r="A241" s="41">
        <v>4</v>
      </c>
      <c r="B241" s="41" t="s">
        <v>305</v>
      </c>
      <c r="C241" s="41" t="s">
        <v>198</v>
      </c>
      <c r="D241" s="295">
        <f>(34.57)*10.764</f>
        <v>372.11147999999997</v>
      </c>
      <c r="E241" s="295"/>
      <c r="F241" s="41">
        <v>0</v>
      </c>
      <c r="G241" s="41">
        <v>535</v>
      </c>
      <c r="H241" s="142"/>
      <c r="I241" s="143"/>
      <c r="J241" s="144"/>
    </row>
    <row r="242" spans="1:12" s="2" customFormat="1" x14ac:dyDescent="0.25">
      <c r="A242" s="148" t="s">
        <v>224</v>
      </c>
      <c r="B242" s="149"/>
      <c r="C242" s="149"/>
      <c r="D242" s="149"/>
      <c r="E242" s="149"/>
      <c r="F242" s="149"/>
      <c r="G242" s="149"/>
      <c r="H242" s="149"/>
      <c r="I242" s="149"/>
      <c r="J242" s="150"/>
    </row>
    <row r="243" spans="1:12" s="2" customFormat="1" ht="15.75" customHeight="1" x14ac:dyDescent="0.25">
      <c r="A243" s="3">
        <v>1</v>
      </c>
      <c r="B243" s="3">
        <v>101</v>
      </c>
      <c r="C243" s="3" t="s">
        <v>198</v>
      </c>
      <c r="D243" s="151">
        <f>(35.63+0.75*(2.75+2.1+2.75)+0.45*(2.3))*10.764</f>
        <v>456.01685999999989</v>
      </c>
      <c r="E243" s="152"/>
      <c r="F243" s="3">
        <v>0</v>
      </c>
      <c r="G243" s="3">
        <v>585</v>
      </c>
      <c r="H243" s="136" t="str">
        <f>A242</f>
        <v>1st To 4th Floor</v>
      </c>
      <c r="I243" s="137"/>
      <c r="J243" s="138"/>
    </row>
    <row r="244" spans="1:12" s="2" customFormat="1" x14ac:dyDescent="0.25">
      <c r="A244" s="3">
        <v>2</v>
      </c>
      <c r="B244" s="3">
        <v>102</v>
      </c>
      <c r="C244" s="3" t="s">
        <v>198</v>
      </c>
      <c r="D244" s="151">
        <f>(35.63+0.75*(2.75+2.1+2.75)+0.45*2.3)*10.764</f>
        <v>456.01685999999989</v>
      </c>
      <c r="E244" s="152"/>
      <c r="F244" s="3">
        <v>0</v>
      </c>
      <c r="G244" s="3">
        <v>630</v>
      </c>
      <c r="H244" s="139"/>
      <c r="I244" s="140"/>
      <c r="J244" s="141"/>
    </row>
    <row r="245" spans="1:12" s="2" customFormat="1" x14ac:dyDescent="0.25">
      <c r="A245" s="3">
        <v>3</v>
      </c>
      <c r="B245" s="3">
        <v>103</v>
      </c>
      <c r="C245" s="3" t="s">
        <v>198</v>
      </c>
      <c r="D245" s="153">
        <f>(38.07+0.75*(2.75+2.25+3.2))*10.764</f>
        <v>475.98407999999995</v>
      </c>
      <c r="E245" s="154"/>
      <c r="F245" s="3">
        <v>0</v>
      </c>
      <c r="G245" s="3">
        <v>655</v>
      </c>
      <c r="H245" s="139"/>
      <c r="I245" s="140"/>
      <c r="J245" s="141"/>
      <c r="L245" s="2">
        <f>SUM(D243:E248)*4</f>
        <v>11886.577559999998</v>
      </c>
    </row>
    <row r="246" spans="1:12" s="2" customFormat="1" x14ac:dyDescent="0.25">
      <c r="A246" s="3">
        <v>4</v>
      </c>
      <c r="B246" s="3">
        <v>104</v>
      </c>
      <c r="C246" s="3" t="s">
        <v>199</v>
      </c>
      <c r="D246" s="153">
        <f>(52.42+0.75*(5.35+2.75+4)+0.45*2.3)*10.764</f>
        <v>673.07291999999995</v>
      </c>
      <c r="E246" s="154"/>
      <c r="F246" s="3">
        <v>0</v>
      </c>
      <c r="G246" s="3">
        <v>910</v>
      </c>
      <c r="H246" s="139"/>
      <c r="I246" s="140"/>
      <c r="J246" s="141"/>
    </row>
    <row r="247" spans="1:12" s="2" customFormat="1" x14ac:dyDescent="0.25">
      <c r="A247" s="3">
        <v>5</v>
      </c>
      <c r="B247" s="3">
        <v>105</v>
      </c>
      <c r="C247" s="3" t="s">
        <v>198</v>
      </c>
      <c r="D247" s="151">
        <f>(35.67+0.75*(2.75+5.3)+0.45*2.3)*10.764</f>
        <v>460.08026999999998</v>
      </c>
      <c r="E247" s="152"/>
      <c r="F247" s="3">
        <v>0</v>
      </c>
      <c r="G247" s="3">
        <v>625</v>
      </c>
      <c r="H247" s="139"/>
      <c r="I247" s="140"/>
      <c r="J247" s="141"/>
    </row>
    <row r="248" spans="1:12" s="2" customFormat="1" x14ac:dyDescent="0.25">
      <c r="A248" s="3">
        <v>6</v>
      </c>
      <c r="B248" s="3">
        <v>106</v>
      </c>
      <c r="C248" s="3" t="s">
        <v>198</v>
      </c>
      <c r="D248" s="151">
        <f>(36.84+0.75*5.3+0.45*2.3)*10.764</f>
        <v>450.47339999999997</v>
      </c>
      <c r="E248" s="152"/>
      <c r="F248" s="3">
        <v>0</v>
      </c>
      <c r="G248" s="3">
        <v>640</v>
      </c>
      <c r="H248" s="142"/>
      <c r="I248" s="143"/>
      <c r="J248" s="144"/>
    </row>
    <row r="249" spans="1:12" s="2" customFormat="1" x14ac:dyDescent="0.25">
      <c r="A249" s="148" t="s">
        <v>252</v>
      </c>
      <c r="B249" s="149"/>
      <c r="C249" s="149"/>
      <c r="D249" s="149"/>
      <c r="E249" s="149"/>
      <c r="F249" s="149"/>
      <c r="G249" s="149"/>
      <c r="H249" s="149"/>
      <c r="I249" s="149"/>
      <c r="J249" s="150"/>
    </row>
    <row r="250" spans="1:12" s="2" customFormat="1" x14ac:dyDescent="0.25">
      <c r="A250" s="148" t="s">
        <v>243</v>
      </c>
      <c r="B250" s="149"/>
      <c r="C250" s="149"/>
      <c r="D250" s="149"/>
      <c r="E250" s="149"/>
      <c r="F250" s="149"/>
      <c r="G250" s="149"/>
      <c r="H250" s="149"/>
      <c r="I250" s="149"/>
      <c r="J250" s="150"/>
    </row>
    <row r="251" spans="1:12" s="2" customFormat="1" ht="15.75" customHeight="1" x14ac:dyDescent="0.25">
      <c r="A251" s="3">
        <v>1</v>
      </c>
      <c r="B251" s="3" t="s">
        <v>302</v>
      </c>
      <c r="C251" s="3" t="s">
        <v>198</v>
      </c>
      <c r="D251" s="295">
        <f>(35.8)*10.764</f>
        <v>385.35119999999995</v>
      </c>
      <c r="E251" s="295"/>
      <c r="F251" s="3">
        <v>0</v>
      </c>
      <c r="G251" s="41">
        <v>555</v>
      </c>
      <c r="H251" s="136" t="str">
        <f>A250</f>
        <v>Ground Floor is for Parking &amp; Residential</v>
      </c>
      <c r="I251" s="137"/>
      <c r="J251" s="138"/>
      <c r="L251" s="2">
        <f>(4.6*2.75+2.55*2.25+3.6*2.7+1.6*1.2+0.9*1.2+0.9*2.25+0.45*1.2)</f>
        <v>33.672499999999999</v>
      </c>
    </row>
    <row r="252" spans="1:12" s="2" customFormat="1" x14ac:dyDescent="0.25">
      <c r="A252" s="3">
        <v>2</v>
      </c>
      <c r="B252" s="3" t="s">
        <v>303</v>
      </c>
      <c r="C252" s="3" t="s">
        <v>198</v>
      </c>
      <c r="D252" s="295">
        <f>(34.37)*10.764</f>
        <v>369.95867999999996</v>
      </c>
      <c r="E252" s="295"/>
      <c r="F252" s="3">
        <v>0</v>
      </c>
      <c r="G252" s="41">
        <v>525</v>
      </c>
      <c r="H252" s="142"/>
      <c r="I252" s="143"/>
      <c r="J252" s="144"/>
    </row>
    <row r="253" spans="1:12" s="2" customFormat="1" x14ac:dyDescent="0.25">
      <c r="A253" s="145" t="s">
        <v>224</v>
      </c>
      <c r="B253" s="145"/>
      <c r="C253" s="145"/>
      <c r="D253" s="145"/>
      <c r="E253" s="145"/>
      <c r="F253" s="145"/>
      <c r="G253" s="145"/>
      <c r="H253" s="145"/>
      <c r="I253" s="145"/>
      <c r="J253" s="145"/>
    </row>
    <row r="254" spans="1:12" s="2" customFormat="1" ht="15.75" customHeight="1" x14ac:dyDescent="0.25">
      <c r="A254" s="3">
        <v>1</v>
      </c>
      <c r="B254" s="3">
        <v>13</v>
      </c>
      <c r="C254" s="3" t="s">
        <v>198</v>
      </c>
      <c r="D254" s="147">
        <f>(37.5+0.75*(2.75+2.4+3)+0.45*2.3)*10.764</f>
        <v>480.58568999999989</v>
      </c>
      <c r="E254" s="147"/>
      <c r="F254" s="3">
        <v>0</v>
      </c>
      <c r="G254" s="3">
        <v>650</v>
      </c>
      <c r="H254" s="147" t="str">
        <f>A253</f>
        <v>1st To 4th Floor</v>
      </c>
      <c r="I254" s="147"/>
      <c r="J254" s="147"/>
    </row>
    <row r="255" spans="1:12" s="2" customFormat="1" x14ac:dyDescent="0.25">
      <c r="A255" s="3">
        <v>2</v>
      </c>
      <c r="B255" s="3">
        <v>14</v>
      </c>
      <c r="C255" s="3" t="s">
        <v>198</v>
      </c>
      <c r="D255" s="147">
        <f>(37.05+0.75*(2.75+5.4)+0.45*2.3)*10.764</f>
        <v>475.7418899999999</v>
      </c>
      <c r="E255" s="147"/>
      <c r="F255" s="3">
        <v>0</v>
      </c>
      <c r="G255" s="3">
        <v>645</v>
      </c>
      <c r="H255" s="147"/>
      <c r="I255" s="147"/>
      <c r="J255" s="147"/>
      <c r="L255" s="2">
        <f>SUM(D254:E257)*4</f>
        <v>7466.7715199999993</v>
      </c>
    </row>
    <row r="256" spans="1:12" s="2" customFormat="1" x14ac:dyDescent="0.25">
      <c r="A256" s="3">
        <v>3</v>
      </c>
      <c r="B256" s="3">
        <v>15</v>
      </c>
      <c r="C256" s="3" t="s">
        <v>198</v>
      </c>
      <c r="D256" s="147">
        <f>(35.32+0.75*(2.75+5.4)+0.45*1.9)*10.764</f>
        <v>455.18264999999997</v>
      </c>
      <c r="E256" s="147"/>
      <c r="F256" s="3">
        <v>0</v>
      </c>
      <c r="G256" s="3">
        <v>615</v>
      </c>
      <c r="H256" s="147"/>
      <c r="I256" s="147"/>
      <c r="J256" s="147"/>
    </row>
    <row r="257" spans="1:10" s="2" customFormat="1" x14ac:dyDescent="0.25">
      <c r="A257" s="3">
        <v>4</v>
      </c>
      <c r="B257" s="3">
        <v>16</v>
      </c>
      <c r="C257" s="3" t="s">
        <v>198</v>
      </c>
      <c r="D257" s="147">
        <f>(35.32+0.75*(2.75+5.4)+0.45*1.9)*10.764</f>
        <v>455.18264999999997</v>
      </c>
      <c r="E257" s="147"/>
      <c r="F257" s="3">
        <v>0</v>
      </c>
      <c r="G257" s="3">
        <v>615</v>
      </c>
      <c r="H257" s="147"/>
      <c r="I257" s="147"/>
      <c r="J257" s="147"/>
    </row>
    <row r="258" spans="1:10" s="1" customFormat="1" x14ac:dyDescent="0.25">
      <c r="A258" s="296" t="s">
        <v>110</v>
      </c>
      <c r="B258" s="296"/>
      <c r="C258" s="296"/>
      <c r="D258" s="296"/>
      <c r="E258" s="296"/>
      <c r="F258" s="296"/>
      <c r="G258" s="296"/>
      <c r="H258" s="296"/>
      <c r="I258" s="296"/>
      <c r="J258" s="296"/>
    </row>
    <row r="259" spans="1:10" s="39" customFormat="1" ht="254.25" customHeight="1" x14ac:dyDescent="0.25">
      <c r="A259" s="297" t="s">
        <v>345</v>
      </c>
      <c r="B259" s="297"/>
      <c r="C259" s="297"/>
      <c r="D259" s="297"/>
      <c r="E259" s="297"/>
      <c r="F259" s="297"/>
      <c r="G259" s="297"/>
      <c r="H259" s="297"/>
      <c r="I259" s="297"/>
      <c r="J259" s="297"/>
    </row>
    <row r="260" spans="1:10" x14ac:dyDescent="0.25">
      <c r="A260" s="298" t="s">
        <v>101</v>
      </c>
      <c r="B260" s="299"/>
      <c r="C260" s="299"/>
      <c r="D260" s="299"/>
      <c r="E260" s="299"/>
      <c r="F260" s="299"/>
      <c r="G260" s="299"/>
      <c r="H260" s="299"/>
      <c r="I260" s="299"/>
      <c r="J260" s="300"/>
    </row>
    <row r="261" spans="1:10" x14ac:dyDescent="0.25">
      <c r="A261" s="185" t="s">
        <v>102</v>
      </c>
      <c r="B261" s="186"/>
      <c r="C261" s="186"/>
      <c r="D261" s="186"/>
      <c r="E261" s="186"/>
      <c r="F261" s="186"/>
      <c r="G261" s="186"/>
      <c r="H261" s="186"/>
      <c r="I261" s="186"/>
      <c r="J261" s="187"/>
    </row>
    <row r="262" spans="1:10" ht="15.75" customHeight="1" x14ac:dyDescent="0.25">
      <c r="A262" s="298" t="s">
        <v>103</v>
      </c>
      <c r="B262" s="299"/>
      <c r="C262" s="299"/>
      <c r="D262" s="299"/>
      <c r="E262" s="299"/>
      <c r="F262" s="299"/>
      <c r="G262" s="299"/>
      <c r="H262" s="299"/>
      <c r="I262" s="299"/>
      <c r="J262" s="300"/>
    </row>
    <row r="263" spans="1:10" x14ac:dyDescent="0.25">
      <c r="A263" s="185" t="s">
        <v>104</v>
      </c>
      <c r="B263" s="186"/>
      <c r="C263" s="186"/>
      <c r="D263" s="186"/>
      <c r="E263" s="186"/>
      <c r="F263" s="186"/>
      <c r="G263" s="186"/>
      <c r="H263" s="186"/>
      <c r="I263" s="186"/>
      <c r="J263" s="187"/>
    </row>
    <row r="264" spans="1:10" x14ac:dyDescent="0.25">
      <c r="A264" s="185" t="s">
        <v>105</v>
      </c>
      <c r="B264" s="186"/>
      <c r="C264" s="186"/>
      <c r="D264" s="186"/>
      <c r="E264" s="186"/>
      <c r="F264" s="186"/>
      <c r="G264" s="186"/>
      <c r="H264" s="186"/>
      <c r="I264" s="186"/>
      <c r="J264" s="187"/>
    </row>
    <row r="265" spans="1:10" x14ac:dyDescent="0.25">
      <c r="A265" s="185" t="s">
        <v>106</v>
      </c>
      <c r="B265" s="186"/>
      <c r="C265" s="186"/>
      <c r="D265" s="186"/>
      <c r="E265" s="186"/>
      <c r="F265" s="186"/>
      <c r="G265" s="186"/>
      <c r="H265" s="186"/>
      <c r="I265" s="186"/>
      <c r="J265" s="187"/>
    </row>
    <row r="266" spans="1:10" ht="35.25" customHeight="1" x14ac:dyDescent="0.25">
      <c r="A266" s="168" t="s">
        <v>107</v>
      </c>
      <c r="B266" s="169"/>
      <c r="C266" s="169"/>
      <c r="D266" s="169"/>
      <c r="E266" s="169"/>
      <c r="F266" s="169"/>
      <c r="G266" s="169"/>
      <c r="H266" s="169"/>
      <c r="I266" s="169"/>
      <c r="J266" s="170"/>
    </row>
    <row r="267" spans="1:10" s="35" customFormat="1" x14ac:dyDescent="0.25">
      <c r="A267" s="301" t="s">
        <v>183</v>
      </c>
      <c r="B267" s="301"/>
      <c r="C267" s="301" t="s">
        <v>347</v>
      </c>
      <c r="D267" s="301"/>
      <c r="E267" s="301" t="s">
        <v>184</v>
      </c>
      <c r="F267" s="301"/>
      <c r="G267" s="301"/>
      <c r="H267" s="301" t="s">
        <v>346</v>
      </c>
      <c r="I267" s="301"/>
      <c r="J267" s="301"/>
    </row>
    <row r="268" spans="1:10" x14ac:dyDescent="0.25">
      <c r="A268" s="302" t="s">
        <v>187</v>
      </c>
      <c r="B268" s="303"/>
      <c r="C268" s="303"/>
      <c r="D268" s="303"/>
      <c r="E268" s="303"/>
      <c r="F268" s="303"/>
      <c r="G268" s="303"/>
      <c r="H268" s="303"/>
      <c r="I268" s="303"/>
      <c r="J268" s="304"/>
    </row>
    <row r="269" spans="1:10" x14ac:dyDescent="0.25">
      <c r="A269" s="305"/>
      <c r="B269" s="306"/>
      <c r="C269" s="306"/>
      <c r="D269" s="306"/>
      <c r="E269" s="306"/>
      <c r="F269" s="306"/>
      <c r="G269" s="306"/>
      <c r="H269" s="306"/>
      <c r="I269" s="306"/>
      <c r="J269" s="307"/>
    </row>
    <row r="270" spans="1:10" x14ac:dyDescent="0.25">
      <c r="A270" s="305"/>
      <c r="B270" s="306"/>
      <c r="C270" s="306"/>
      <c r="D270" s="306"/>
      <c r="E270" s="306"/>
      <c r="F270" s="306"/>
      <c r="G270" s="306"/>
      <c r="H270" s="306"/>
      <c r="I270" s="306"/>
      <c r="J270" s="307"/>
    </row>
    <row r="271" spans="1:10" x14ac:dyDescent="0.25">
      <c r="A271" s="308"/>
      <c r="B271" s="309"/>
      <c r="C271" s="309"/>
      <c r="D271" s="309"/>
      <c r="E271" s="309"/>
      <c r="F271" s="309"/>
      <c r="G271" s="309"/>
      <c r="H271" s="309"/>
      <c r="I271" s="309"/>
      <c r="J271" s="310"/>
    </row>
    <row r="272" spans="1:10" x14ac:dyDescent="0.25">
      <c r="A272" s="13" t="s">
        <v>108</v>
      </c>
      <c r="B272" s="14"/>
      <c r="C272" s="14"/>
      <c r="D272" s="13" t="str">
        <f>F8</f>
        <v>Shree Siddhivinayak Park</v>
      </c>
      <c r="G272" s="14"/>
      <c r="H272" s="33"/>
      <c r="I272" s="33"/>
      <c r="J272" s="33"/>
    </row>
    <row r="273" spans="1:10" x14ac:dyDescent="0.25">
      <c r="H273" s="14"/>
      <c r="I273" s="14"/>
      <c r="J273" s="14"/>
    </row>
    <row r="274" spans="1:10" x14ac:dyDescent="0.25">
      <c r="A274" s="14"/>
      <c r="B274" s="14"/>
      <c r="C274" s="14"/>
      <c r="D274" s="14"/>
      <c r="E274" s="14"/>
      <c r="F274" s="14"/>
      <c r="G274" s="14"/>
      <c r="H274" s="14"/>
      <c r="I274" s="14"/>
      <c r="J274" s="14"/>
    </row>
    <row r="275" spans="1:10" x14ac:dyDescent="0.25">
      <c r="A275" s="14"/>
      <c r="B275" s="14"/>
      <c r="C275" s="14"/>
      <c r="D275" s="14"/>
      <c r="E275" s="14"/>
      <c r="F275" s="14"/>
      <c r="G275" s="14"/>
      <c r="H275" s="14"/>
      <c r="I275" s="14"/>
      <c r="J275" s="14"/>
    </row>
    <row r="276" spans="1:10" ht="15" customHeight="1" x14ac:dyDescent="0.25"/>
    <row r="289" spans="3:8" x14ac:dyDescent="0.25">
      <c r="C289" s="40"/>
      <c r="G289" s="90"/>
      <c r="H289" s="90"/>
    </row>
    <row r="314" spans="1:10" x14ac:dyDescent="0.25">
      <c r="A314" s="13" t="s">
        <v>108</v>
      </c>
      <c r="B314" s="14"/>
      <c r="C314" s="14"/>
      <c r="D314" s="13" t="str">
        <f>F8</f>
        <v>Shree Siddhivinayak Park</v>
      </c>
      <c r="G314" s="14"/>
      <c r="H314" s="88"/>
      <c r="I314" s="88"/>
      <c r="J314" s="88"/>
    </row>
    <row r="315" spans="1:10" x14ac:dyDescent="0.25">
      <c r="H315" s="14"/>
      <c r="I315" s="14"/>
      <c r="J315" s="14"/>
    </row>
    <row r="316" spans="1:10" x14ac:dyDescent="0.25">
      <c r="A316" s="14"/>
      <c r="B316" s="14"/>
      <c r="C316" s="14"/>
      <c r="D316" s="14"/>
      <c r="E316" s="14"/>
      <c r="F316" s="14"/>
      <c r="G316" s="14"/>
      <c r="H316" s="14"/>
      <c r="I316" s="14"/>
      <c r="J316" s="14"/>
    </row>
    <row r="317" spans="1:10" x14ac:dyDescent="0.25">
      <c r="A317" s="14"/>
      <c r="B317" s="14"/>
      <c r="C317" s="14"/>
      <c r="D317" s="14"/>
      <c r="E317" s="14"/>
      <c r="F317" s="14"/>
      <c r="G317" s="14"/>
      <c r="H317" s="14"/>
      <c r="I317" s="14"/>
      <c r="J317" s="14"/>
    </row>
    <row r="318" spans="1:10" ht="15" customHeight="1" x14ac:dyDescent="0.25"/>
    <row r="331" spans="3:8" x14ac:dyDescent="0.25">
      <c r="C331" s="89"/>
      <c r="G331" s="90"/>
      <c r="H331" s="90"/>
    </row>
    <row r="351" spans="1:1" x14ac:dyDescent="0.25">
      <c r="A351" s="15" t="s">
        <v>109</v>
      </c>
    </row>
  </sheetData>
  <mergeCells count="480">
    <mergeCell ref="A80:B80"/>
    <mergeCell ref="D80:E80"/>
    <mergeCell ref="A94:B94"/>
    <mergeCell ref="D94:E94"/>
    <mergeCell ref="A84:B84"/>
    <mergeCell ref="D84:E84"/>
    <mergeCell ref="F84:G84"/>
    <mergeCell ref="A85:B85"/>
    <mergeCell ref="D85:E85"/>
    <mergeCell ref="F85:G94"/>
    <mergeCell ref="A86:B86"/>
    <mergeCell ref="D86:E86"/>
    <mergeCell ref="A87:B87"/>
    <mergeCell ref="D87:E87"/>
    <mergeCell ref="A88:B88"/>
    <mergeCell ref="D88:E88"/>
    <mergeCell ref="A89:B89"/>
    <mergeCell ref="D89:E89"/>
    <mergeCell ref="A90:B90"/>
    <mergeCell ref="D90:E90"/>
    <mergeCell ref="A91:B91"/>
    <mergeCell ref="D91:E91"/>
    <mergeCell ref="A70:B70"/>
    <mergeCell ref="D70:E70"/>
    <mergeCell ref="F70:G70"/>
    <mergeCell ref="H70:J70"/>
    <mergeCell ref="A71:B71"/>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242:J242"/>
    <mergeCell ref="D243:E243"/>
    <mergeCell ref="K168:O169"/>
    <mergeCell ref="A149:B149"/>
    <mergeCell ref="D149:F149"/>
    <mergeCell ref="G149:J149"/>
    <mergeCell ref="A136:J136"/>
    <mergeCell ref="A137:B137"/>
    <mergeCell ref="D137:F137"/>
    <mergeCell ref="G137:J137"/>
    <mergeCell ref="A138:B138"/>
    <mergeCell ref="D138:F138"/>
    <mergeCell ref="G138:J138"/>
    <mergeCell ref="A147:B147"/>
    <mergeCell ref="D147:F147"/>
    <mergeCell ref="D220:E220"/>
    <mergeCell ref="D221:E221"/>
    <mergeCell ref="A236:J236"/>
    <mergeCell ref="D158:E158"/>
    <mergeCell ref="D166:E166"/>
    <mergeCell ref="D167:E167"/>
    <mergeCell ref="A164:J164"/>
    <mergeCell ref="A165:J165"/>
    <mergeCell ref="A267:B267"/>
    <mergeCell ref="C267:D267"/>
    <mergeCell ref="E267:G267"/>
    <mergeCell ref="H267:J267"/>
    <mergeCell ref="A268:J271"/>
    <mergeCell ref="G289:H289"/>
    <mergeCell ref="A261:J261"/>
    <mergeCell ref="A262:J262"/>
    <mergeCell ref="A263:J263"/>
    <mergeCell ref="A264:J264"/>
    <mergeCell ref="A265:J265"/>
    <mergeCell ref="A266:J266"/>
    <mergeCell ref="A258:J258"/>
    <mergeCell ref="A259:J259"/>
    <mergeCell ref="A260:J260"/>
    <mergeCell ref="A249:J249"/>
    <mergeCell ref="D254:E254"/>
    <mergeCell ref="D255:E255"/>
    <mergeCell ref="D256:E256"/>
    <mergeCell ref="D257:E257"/>
    <mergeCell ref="D251:E251"/>
    <mergeCell ref="D252:E252"/>
    <mergeCell ref="A253:J253"/>
    <mergeCell ref="A250:J250"/>
    <mergeCell ref="D246:E246"/>
    <mergeCell ref="D247:E247"/>
    <mergeCell ref="D248:E248"/>
    <mergeCell ref="A237:J237"/>
    <mergeCell ref="A215:J215"/>
    <mergeCell ref="A217:J217"/>
    <mergeCell ref="A222:J222"/>
    <mergeCell ref="A216:J216"/>
    <mergeCell ref="D223:E223"/>
    <mergeCell ref="D224:E224"/>
    <mergeCell ref="D225:E225"/>
    <mergeCell ref="D226:E226"/>
    <mergeCell ref="D227:E227"/>
    <mergeCell ref="D238:E238"/>
    <mergeCell ref="D239:E239"/>
    <mergeCell ref="D240:E240"/>
    <mergeCell ref="D241:E241"/>
    <mergeCell ref="D218:E218"/>
    <mergeCell ref="D219:E219"/>
    <mergeCell ref="A229:J229"/>
    <mergeCell ref="D230:E230"/>
    <mergeCell ref="D231:E231"/>
    <mergeCell ref="D232:E232"/>
    <mergeCell ref="D233:E233"/>
    <mergeCell ref="A170:J170"/>
    <mergeCell ref="D171:E171"/>
    <mergeCell ref="D172:E172"/>
    <mergeCell ref="D173:E173"/>
    <mergeCell ref="D174:E174"/>
    <mergeCell ref="A154:J154"/>
    <mergeCell ref="A155:J155"/>
    <mergeCell ref="A156:J156"/>
    <mergeCell ref="A159:J159"/>
    <mergeCell ref="D160:E160"/>
    <mergeCell ref="D161:E161"/>
    <mergeCell ref="D162:E162"/>
    <mergeCell ref="D163:E163"/>
    <mergeCell ref="D157:E157"/>
    <mergeCell ref="D169:E169"/>
    <mergeCell ref="D168:E168"/>
    <mergeCell ref="H157:J158"/>
    <mergeCell ref="H160:J163"/>
    <mergeCell ref="H166:J169"/>
    <mergeCell ref="H171:J174"/>
    <mergeCell ref="A150:B150"/>
    <mergeCell ref="D150:F150"/>
    <mergeCell ref="G150:J150"/>
    <mergeCell ref="A151:J151"/>
    <mergeCell ref="A152:J152"/>
    <mergeCell ref="D153:E153"/>
    <mergeCell ref="A143:B143"/>
    <mergeCell ref="D143:F143"/>
    <mergeCell ref="G143:J143"/>
    <mergeCell ref="A144:B144"/>
    <mergeCell ref="D144:F144"/>
    <mergeCell ref="G144:J144"/>
    <mergeCell ref="D148:F148"/>
    <mergeCell ref="G148:J148"/>
    <mergeCell ref="G147:J147"/>
    <mergeCell ref="A148:B148"/>
    <mergeCell ref="A146:B146"/>
    <mergeCell ref="D146:F146"/>
    <mergeCell ref="G146:J146"/>
    <mergeCell ref="G145:J145"/>
    <mergeCell ref="D145:F145"/>
    <mergeCell ref="A145:B145"/>
    <mergeCell ref="H153:J153"/>
    <mergeCell ref="G135:J135"/>
    <mergeCell ref="A141:J141"/>
    <mergeCell ref="A142:B142"/>
    <mergeCell ref="D142:F142"/>
    <mergeCell ref="G142:J142"/>
    <mergeCell ref="A128:F128"/>
    <mergeCell ref="G128:J128"/>
    <mergeCell ref="A130:F130"/>
    <mergeCell ref="G130:J130"/>
    <mergeCell ref="A133:F133"/>
    <mergeCell ref="G133:J133"/>
    <mergeCell ref="A132:F132"/>
    <mergeCell ref="G132:J132"/>
    <mergeCell ref="A129:F129"/>
    <mergeCell ref="G129:J129"/>
    <mergeCell ref="A131:F131"/>
    <mergeCell ref="G131:J131"/>
    <mergeCell ref="A139:B139"/>
    <mergeCell ref="D139:F139"/>
    <mergeCell ref="G139:J139"/>
    <mergeCell ref="A140:B140"/>
    <mergeCell ref="D140:F140"/>
    <mergeCell ref="G140:J140"/>
    <mergeCell ref="A67:B67"/>
    <mergeCell ref="C67:J67"/>
    <mergeCell ref="A60:B60"/>
    <mergeCell ref="C60:J60"/>
    <mergeCell ref="E61:F61"/>
    <mergeCell ref="I61:J61"/>
    <mergeCell ref="A62:B62"/>
    <mergeCell ref="C62:J62"/>
    <mergeCell ref="A63:B64"/>
    <mergeCell ref="C63:D64"/>
    <mergeCell ref="E63:G64"/>
    <mergeCell ref="H63:J64"/>
    <mergeCell ref="E66:F66"/>
    <mergeCell ref="A56:B56"/>
    <mergeCell ref="A58:C58"/>
    <mergeCell ref="D58:J58"/>
    <mergeCell ref="A59:J59"/>
    <mergeCell ref="C56:J56"/>
    <mergeCell ref="A65:B65"/>
    <mergeCell ref="C65:J65"/>
    <mergeCell ref="I66:J66"/>
    <mergeCell ref="A52:C52"/>
    <mergeCell ref="D52:E52"/>
    <mergeCell ref="F52:G52"/>
    <mergeCell ref="H52:J52"/>
    <mergeCell ref="A53:J53"/>
    <mergeCell ref="A54:C54"/>
    <mergeCell ref="D54:E54"/>
    <mergeCell ref="F54:G54"/>
    <mergeCell ref="H54:J54"/>
    <mergeCell ref="A55:C55"/>
    <mergeCell ref="E55:J55"/>
    <mergeCell ref="A57:B57"/>
    <mergeCell ref="C57:J57"/>
    <mergeCell ref="C50:F50"/>
    <mergeCell ref="H50:J50"/>
    <mergeCell ref="A45:J45"/>
    <mergeCell ref="A46:B46"/>
    <mergeCell ref="C46:F46"/>
    <mergeCell ref="H46:J46"/>
    <mergeCell ref="A47:B47"/>
    <mergeCell ref="C47:F47"/>
    <mergeCell ref="H47:J47"/>
    <mergeCell ref="C48:F48"/>
    <mergeCell ref="H48:J48"/>
    <mergeCell ref="A48:B49"/>
    <mergeCell ref="C49:J49"/>
    <mergeCell ref="A50:B51"/>
    <mergeCell ref="A42:E42"/>
    <mergeCell ref="F42:J42"/>
    <mergeCell ref="A43:E43"/>
    <mergeCell ref="F43:J43"/>
    <mergeCell ref="A44:E44"/>
    <mergeCell ref="F44:J44"/>
    <mergeCell ref="A39:E39"/>
    <mergeCell ref="F39:J39"/>
    <mergeCell ref="A40:E40"/>
    <mergeCell ref="F40:J40"/>
    <mergeCell ref="A41:E41"/>
    <mergeCell ref="F41:J41"/>
    <mergeCell ref="A35:J35"/>
    <mergeCell ref="A36:E36"/>
    <mergeCell ref="F36:J36"/>
    <mergeCell ref="A37:E37"/>
    <mergeCell ref="F37:J37"/>
    <mergeCell ref="A38:J38"/>
    <mergeCell ref="A31:J31"/>
    <mergeCell ref="A32:J32"/>
    <mergeCell ref="A33:B33"/>
    <mergeCell ref="A34:B34"/>
    <mergeCell ref="C34:J34"/>
    <mergeCell ref="C33:J33"/>
    <mergeCell ref="A29:B29"/>
    <mergeCell ref="C29:D29"/>
    <mergeCell ref="E29:F29"/>
    <mergeCell ref="G29:H29"/>
    <mergeCell ref="I29:J29"/>
    <mergeCell ref="A30:B30"/>
    <mergeCell ref="C30:D30"/>
    <mergeCell ref="E30:F30"/>
    <mergeCell ref="G30:H30"/>
    <mergeCell ref="I30:J30"/>
    <mergeCell ref="A20:E21"/>
    <mergeCell ref="F20:J21"/>
    <mergeCell ref="A26:E26"/>
    <mergeCell ref="F26:J26"/>
    <mergeCell ref="A27:E27"/>
    <mergeCell ref="F27:J27"/>
    <mergeCell ref="A28:B28"/>
    <mergeCell ref="C28:D28"/>
    <mergeCell ref="E28:F28"/>
    <mergeCell ref="G28:H28"/>
    <mergeCell ref="I28:J28"/>
    <mergeCell ref="A10:E10"/>
    <mergeCell ref="F10:J10"/>
    <mergeCell ref="A5:E5"/>
    <mergeCell ref="F5:J5"/>
    <mergeCell ref="A6:E6"/>
    <mergeCell ref="F6:J6"/>
    <mergeCell ref="A7:E7"/>
    <mergeCell ref="F7:J7"/>
    <mergeCell ref="A19:B19"/>
    <mergeCell ref="C19:E19"/>
    <mergeCell ref="F19:G19"/>
    <mergeCell ref="H19:J19"/>
    <mergeCell ref="A124:J124"/>
    <mergeCell ref="A125:J125"/>
    <mergeCell ref="A126:B126"/>
    <mergeCell ref="C126:J126"/>
    <mergeCell ref="A127:J127"/>
    <mergeCell ref="A134:F134"/>
    <mergeCell ref="G134:J134"/>
    <mergeCell ref="A135:F135"/>
    <mergeCell ref="A1:J1"/>
    <mergeCell ref="A2:J2"/>
    <mergeCell ref="A3:E3"/>
    <mergeCell ref="F3:J3"/>
    <mergeCell ref="A4:E4"/>
    <mergeCell ref="F4:J4"/>
    <mergeCell ref="A12:E12"/>
    <mergeCell ref="F12:J12"/>
    <mergeCell ref="A13:E13"/>
    <mergeCell ref="F13:J13"/>
    <mergeCell ref="A8:E8"/>
    <mergeCell ref="F8:J8"/>
    <mergeCell ref="A9:E9"/>
    <mergeCell ref="F9:J9"/>
    <mergeCell ref="A11:E11"/>
    <mergeCell ref="F11:J11"/>
    <mergeCell ref="F16:G16"/>
    <mergeCell ref="H16:J16"/>
    <mergeCell ref="A22:E23"/>
    <mergeCell ref="F22:J23"/>
    <mergeCell ref="A24:E24"/>
    <mergeCell ref="F24:J24"/>
    <mergeCell ref="A25:E25"/>
    <mergeCell ref="F25:J25"/>
    <mergeCell ref="K174:L174"/>
    <mergeCell ref="A118:B118"/>
    <mergeCell ref="D118:E118"/>
    <mergeCell ref="A119:B119"/>
    <mergeCell ref="D119:E119"/>
    <mergeCell ref="A120:B120"/>
    <mergeCell ref="D120:E120"/>
    <mergeCell ref="A81:B81"/>
    <mergeCell ref="C81:J81"/>
    <mergeCell ref="E82:F82"/>
    <mergeCell ref="I82:J82"/>
    <mergeCell ref="A83:B83"/>
    <mergeCell ref="C83:J83"/>
    <mergeCell ref="A93:B93"/>
    <mergeCell ref="D93:E93"/>
    <mergeCell ref="A110:B110"/>
    <mergeCell ref="H218:J221"/>
    <mergeCell ref="H223:J228"/>
    <mergeCell ref="H230:J235"/>
    <mergeCell ref="D198:E198"/>
    <mergeCell ref="H191:J198"/>
    <mergeCell ref="A206:J206"/>
    <mergeCell ref="A207:J207"/>
    <mergeCell ref="D204:E204"/>
    <mergeCell ref="A14:B14"/>
    <mergeCell ref="C14:J14"/>
    <mergeCell ref="A17:B17"/>
    <mergeCell ref="C17:E17"/>
    <mergeCell ref="F17:G17"/>
    <mergeCell ref="H17:J17"/>
    <mergeCell ref="C51:F51"/>
    <mergeCell ref="H51:J51"/>
    <mergeCell ref="A18:B18"/>
    <mergeCell ref="C18:E18"/>
    <mergeCell ref="F18:G18"/>
    <mergeCell ref="H18:J18"/>
    <mergeCell ref="A15:B15"/>
    <mergeCell ref="C15:J15"/>
    <mergeCell ref="A16:B16"/>
    <mergeCell ref="C16:E16"/>
    <mergeCell ref="A183:J183"/>
    <mergeCell ref="D184:E184"/>
    <mergeCell ref="I184:J187"/>
    <mergeCell ref="D185:E185"/>
    <mergeCell ref="D186:E186"/>
    <mergeCell ref="D187:E187"/>
    <mergeCell ref="A175:J175"/>
    <mergeCell ref="A176:J176"/>
    <mergeCell ref="A177:J177"/>
    <mergeCell ref="A178:J178"/>
    <mergeCell ref="D179:E179"/>
    <mergeCell ref="I179:J182"/>
    <mergeCell ref="D180:E180"/>
    <mergeCell ref="D181:E181"/>
    <mergeCell ref="D182:E182"/>
    <mergeCell ref="C110:J110"/>
    <mergeCell ref="H84:J84"/>
    <mergeCell ref="H85:J94"/>
    <mergeCell ref="A92:B92"/>
    <mergeCell ref="D92:E92"/>
    <mergeCell ref="A121:B121"/>
    <mergeCell ref="D121:E121"/>
    <mergeCell ref="A122:B122"/>
    <mergeCell ref="D122:E122"/>
    <mergeCell ref="A95:B95"/>
    <mergeCell ref="C95:J95"/>
    <mergeCell ref="E96:F96"/>
    <mergeCell ref="I96:J96"/>
    <mergeCell ref="A97:B97"/>
    <mergeCell ref="C97:J97"/>
    <mergeCell ref="A98:B98"/>
    <mergeCell ref="D98:E98"/>
    <mergeCell ref="F98:G98"/>
    <mergeCell ref="H98:J98"/>
    <mergeCell ref="A99:B99"/>
    <mergeCell ref="D99:E99"/>
    <mergeCell ref="F99:G108"/>
    <mergeCell ref="H99:J108"/>
    <mergeCell ref="A100:B100"/>
    <mergeCell ref="H254:J257"/>
    <mergeCell ref="H251:J252"/>
    <mergeCell ref="A188:J188"/>
    <mergeCell ref="A189:J189"/>
    <mergeCell ref="A190:J190"/>
    <mergeCell ref="D191:E191"/>
    <mergeCell ref="D192:E192"/>
    <mergeCell ref="A199:J199"/>
    <mergeCell ref="D200:E200"/>
    <mergeCell ref="D201:E201"/>
    <mergeCell ref="D202:E202"/>
    <mergeCell ref="D203:E203"/>
    <mergeCell ref="D193:E193"/>
    <mergeCell ref="D194:E194"/>
    <mergeCell ref="D195:E195"/>
    <mergeCell ref="D235:E235"/>
    <mergeCell ref="D244:E244"/>
    <mergeCell ref="D245:E245"/>
    <mergeCell ref="H208:J208"/>
    <mergeCell ref="D208:E208"/>
    <mergeCell ref="D196:E196"/>
    <mergeCell ref="D197:E197"/>
    <mergeCell ref="D234:E234"/>
    <mergeCell ref="D228:E228"/>
    <mergeCell ref="A68:B69"/>
    <mergeCell ref="C68:D69"/>
    <mergeCell ref="E68:G69"/>
    <mergeCell ref="H68:J69"/>
    <mergeCell ref="A123:B123"/>
    <mergeCell ref="D123:E123"/>
    <mergeCell ref="E111:F111"/>
    <mergeCell ref="I111:J111"/>
    <mergeCell ref="A112:B112"/>
    <mergeCell ref="C112:J112"/>
    <mergeCell ref="A113:B113"/>
    <mergeCell ref="D113:E113"/>
    <mergeCell ref="F113:G113"/>
    <mergeCell ref="H113:J113"/>
    <mergeCell ref="A114:B114"/>
    <mergeCell ref="D114:E114"/>
    <mergeCell ref="F114:G123"/>
    <mergeCell ref="H114:J123"/>
    <mergeCell ref="A115:B115"/>
    <mergeCell ref="D115:E115"/>
    <mergeCell ref="A116:B116"/>
    <mergeCell ref="D116:E116"/>
    <mergeCell ref="A117:B117"/>
    <mergeCell ref="D117:E117"/>
    <mergeCell ref="D100:E100"/>
    <mergeCell ref="A101:B101"/>
    <mergeCell ref="D101:E101"/>
    <mergeCell ref="A102:B102"/>
    <mergeCell ref="D102:E102"/>
    <mergeCell ref="A103:B103"/>
    <mergeCell ref="D103:E103"/>
    <mergeCell ref="A104:B104"/>
    <mergeCell ref="D104:E104"/>
    <mergeCell ref="G331:H331"/>
    <mergeCell ref="A105:B105"/>
    <mergeCell ref="D105:E105"/>
    <mergeCell ref="A106:B106"/>
    <mergeCell ref="D106:E106"/>
    <mergeCell ref="A107:B107"/>
    <mergeCell ref="D107:E107"/>
    <mergeCell ref="A108:B108"/>
    <mergeCell ref="D108:E108"/>
    <mergeCell ref="A109:B109"/>
    <mergeCell ref="C109:E109"/>
    <mergeCell ref="F109:G109"/>
    <mergeCell ref="H109:J109"/>
    <mergeCell ref="D205:E205"/>
    <mergeCell ref="H200:J205"/>
    <mergeCell ref="A209:J209"/>
    <mergeCell ref="D210:E210"/>
    <mergeCell ref="H210:J214"/>
    <mergeCell ref="D211:E211"/>
    <mergeCell ref="D212:E212"/>
    <mergeCell ref="D213:E213"/>
    <mergeCell ref="D214:E214"/>
    <mergeCell ref="H243:J248"/>
    <mergeCell ref="H238:J241"/>
  </mergeCells>
  <hyperlinks>
    <hyperlink ref="C34" r:id="rId1" xr:uid="{00000000-0004-0000-0000-000000000000}"/>
  </hyperlinks>
  <printOptions horizontalCentered="1"/>
  <pageMargins left="0.43307086614173201" right="0.43307086614173201" top="0.78740157480314998" bottom="0.78740157480314998" header="0.196850393700787" footer="0.196850393700787"/>
  <pageSetup paperSize="9" fitToHeight="0" orientation="portrait" r:id="rId2"/>
  <headerFooter>
    <oddHeader>&amp;C&amp;"Times New Roman,Bold"&amp;20&amp;G</oddHeader>
    <oddFooter>&amp;L&amp;"Times New Roman,Bold"&amp;12Ref No: &amp;F&amp;C&amp;G&amp;R&amp;"Times New Roman,Bold"&amp;12&amp;P</oddFooter>
  </headerFooter>
  <rowBreaks count="6" manualBreakCount="6">
    <brk id="59" max="16383" man="1"/>
    <brk id="109" max="16383" man="1"/>
    <brk id="257" max="16383" man="1"/>
    <brk id="271" max="16383" man="1"/>
    <brk id="313" max="16383" man="1"/>
    <brk id="350"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22"/>
  <sheetViews>
    <sheetView view="pageBreakPreview" topLeftCell="A253" zoomScale="110" zoomScaleNormal="100" zoomScaleSheetLayoutView="110" zoomScalePageLayoutView="85" workbookViewId="0">
      <selection activeCell="K266" sqref="K266:K267"/>
    </sheetView>
  </sheetViews>
  <sheetFormatPr defaultRowHeight="15.75" x14ac:dyDescent="0.25"/>
  <cols>
    <col min="1" max="1" width="9.28515625" style="10" customWidth="1"/>
    <col min="2" max="2" width="11.28515625" style="10" customWidth="1"/>
    <col min="3" max="3" width="14.7109375" style="10" customWidth="1"/>
    <col min="4" max="4" width="7.28515625" style="10" customWidth="1"/>
    <col min="5" max="5" width="5.5703125" style="10" customWidth="1"/>
    <col min="6" max="6" width="9.85546875" style="10" customWidth="1"/>
    <col min="7" max="7" width="9" style="10" customWidth="1"/>
    <col min="8" max="8" width="10.5703125" style="10" customWidth="1"/>
    <col min="9" max="9" width="11.140625" style="10" customWidth="1"/>
    <col min="10" max="10" width="2.140625" style="10" customWidth="1"/>
    <col min="11" max="11" width="3.5703125" style="10" customWidth="1"/>
    <col min="12" max="256" width="9.140625" style="10"/>
    <col min="257" max="257" width="8.7109375" style="10" customWidth="1"/>
    <col min="258" max="258" width="9.85546875" style="10" customWidth="1"/>
    <col min="259" max="259" width="14.42578125" style="10" customWidth="1"/>
    <col min="260" max="260" width="7.28515625" style="10" customWidth="1"/>
    <col min="261" max="261" width="5.5703125" style="10" customWidth="1"/>
    <col min="262" max="262" width="9" style="10" customWidth="1"/>
    <col min="263" max="264" width="9.85546875" style="10" customWidth="1"/>
    <col min="265" max="265" width="11.140625" style="10" customWidth="1"/>
    <col min="266" max="266" width="2.85546875" style="10" customWidth="1"/>
    <col min="267" max="267" width="3.5703125" style="10" customWidth="1"/>
    <col min="268" max="512" width="9.140625" style="10"/>
    <col min="513" max="513" width="8.7109375" style="10" customWidth="1"/>
    <col min="514" max="514" width="9.85546875" style="10" customWidth="1"/>
    <col min="515" max="515" width="14.42578125" style="10" customWidth="1"/>
    <col min="516" max="516" width="7.28515625" style="10" customWidth="1"/>
    <col min="517" max="517" width="5.5703125" style="10" customWidth="1"/>
    <col min="518" max="518" width="9" style="10" customWidth="1"/>
    <col min="519" max="520" width="9.85546875" style="10" customWidth="1"/>
    <col min="521" max="521" width="11.140625" style="10" customWidth="1"/>
    <col min="522" max="522" width="2.85546875" style="10" customWidth="1"/>
    <col min="523" max="523" width="3.5703125" style="10" customWidth="1"/>
    <col min="524" max="768" width="9.140625" style="10"/>
    <col min="769" max="769" width="8.7109375" style="10" customWidth="1"/>
    <col min="770" max="770" width="9.85546875" style="10" customWidth="1"/>
    <col min="771" max="771" width="14.42578125" style="10" customWidth="1"/>
    <col min="772" max="772" width="7.28515625" style="10" customWidth="1"/>
    <col min="773" max="773" width="5.5703125" style="10" customWidth="1"/>
    <col min="774" max="774" width="9" style="10" customWidth="1"/>
    <col min="775" max="776" width="9.85546875" style="10" customWidth="1"/>
    <col min="777" max="777" width="11.140625" style="10" customWidth="1"/>
    <col min="778" max="778" width="2.85546875" style="10" customWidth="1"/>
    <col min="779" max="779" width="3.5703125" style="10" customWidth="1"/>
    <col min="780" max="1024" width="9.140625" style="10"/>
    <col min="1025" max="1025" width="8.7109375" style="10" customWidth="1"/>
    <col min="1026" max="1026" width="9.85546875" style="10" customWidth="1"/>
    <col min="1027" max="1027" width="14.42578125" style="10" customWidth="1"/>
    <col min="1028" max="1028" width="7.28515625" style="10" customWidth="1"/>
    <col min="1029" max="1029" width="5.5703125" style="10" customWidth="1"/>
    <col min="1030" max="1030" width="9" style="10" customWidth="1"/>
    <col min="1031" max="1032" width="9.85546875" style="10" customWidth="1"/>
    <col min="1033" max="1033" width="11.140625" style="10" customWidth="1"/>
    <col min="1034" max="1034" width="2.85546875" style="10" customWidth="1"/>
    <col min="1035" max="1035" width="3.5703125" style="10" customWidth="1"/>
    <col min="1036" max="1280" width="9.140625" style="10"/>
    <col min="1281" max="1281" width="8.7109375" style="10" customWidth="1"/>
    <col min="1282" max="1282" width="9.85546875" style="10" customWidth="1"/>
    <col min="1283" max="1283" width="14.42578125" style="10" customWidth="1"/>
    <col min="1284" max="1284" width="7.28515625" style="10" customWidth="1"/>
    <col min="1285" max="1285" width="5.5703125" style="10" customWidth="1"/>
    <col min="1286" max="1286" width="9" style="10" customWidth="1"/>
    <col min="1287" max="1288" width="9.85546875" style="10" customWidth="1"/>
    <col min="1289" max="1289" width="11.140625" style="10" customWidth="1"/>
    <col min="1290" max="1290" width="2.85546875" style="10" customWidth="1"/>
    <col min="1291" max="1291" width="3.5703125" style="10" customWidth="1"/>
    <col min="1292" max="1536" width="9.140625" style="10"/>
    <col min="1537" max="1537" width="8.7109375" style="10" customWidth="1"/>
    <col min="1538" max="1538" width="9.85546875" style="10" customWidth="1"/>
    <col min="1539" max="1539" width="14.42578125" style="10" customWidth="1"/>
    <col min="1540" max="1540" width="7.28515625" style="10" customWidth="1"/>
    <col min="1541" max="1541" width="5.5703125" style="10" customWidth="1"/>
    <col min="1542" max="1542" width="9" style="10" customWidth="1"/>
    <col min="1543" max="1544" width="9.85546875" style="10" customWidth="1"/>
    <col min="1545" max="1545" width="11.140625" style="10" customWidth="1"/>
    <col min="1546" max="1546" width="2.85546875" style="10" customWidth="1"/>
    <col min="1547" max="1547" width="3.5703125" style="10" customWidth="1"/>
    <col min="1548" max="1792" width="9.140625" style="10"/>
    <col min="1793" max="1793" width="8.7109375" style="10" customWidth="1"/>
    <col min="1794" max="1794" width="9.85546875" style="10" customWidth="1"/>
    <col min="1795" max="1795" width="14.42578125" style="10" customWidth="1"/>
    <col min="1796" max="1796" width="7.28515625" style="10" customWidth="1"/>
    <col min="1797" max="1797" width="5.5703125" style="10" customWidth="1"/>
    <col min="1798" max="1798" width="9" style="10" customWidth="1"/>
    <col min="1799" max="1800" width="9.85546875" style="10" customWidth="1"/>
    <col min="1801" max="1801" width="11.140625" style="10" customWidth="1"/>
    <col min="1802" max="1802" width="2.85546875" style="10" customWidth="1"/>
    <col min="1803" max="1803" width="3.5703125" style="10" customWidth="1"/>
    <col min="1804" max="2048" width="9.140625" style="10"/>
    <col min="2049" max="2049" width="8.7109375" style="10" customWidth="1"/>
    <col min="2050" max="2050" width="9.85546875" style="10" customWidth="1"/>
    <col min="2051" max="2051" width="14.42578125" style="10" customWidth="1"/>
    <col min="2052" max="2052" width="7.28515625" style="10" customWidth="1"/>
    <col min="2053" max="2053" width="5.5703125" style="10" customWidth="1"/>
    <col min="2054" max="2054" width="9" style="10" customWidth="1"/>
    <col min="2055" max="2056" width="9.85546875" style="10" customWidth="1"/>
    <col min="2057" max="2057" width="11.140625" style="10" customWidth="1"/>
    <col min="2058" max="2058" width="2.85546875" style="10" customWidth="1"/>
    <col min="2059" max="2059" width="3.5703125" style="10" customWidth="1"/>
    <col min="2060" max="2304" width="9.140625" style="10"/>
    <col min="2305" max="2305" width="8.7109375" style="10" customWidth="1"/>
    <col min="2306" max="2306" width="9.85546875" style="10" customWidth="1"/>
    <col min="2307" max="2307" width="14.42578125" style="10" customWidth="1"/>
    <col min="2308" max="2308" width="7.28515625" style="10" customWidth="1"/>
    <col min="2309" max="2309" width="5.5703125" style="10" customWidth="1"/>
    <col min="2310" max="2310" width="9" style="10" customWidth="1"/>
    <col min="2311" max="2312" width="9.85546875" style="10" customWidth="1"/>
    <col min="2313" max="2313" width="11.140625" style="10" customWidth="1"/>
    <col min="2314" max="2314" width="2.85546875" style="10" customWidth="1"/>
    <col min="2315" max="2315" width="3.5703125" style="10" customWidth="1"/>
    <col min="2316" max="2560" width="9.140625" style="10"/>
    <col min="2561" max="2561" width="8.7109375" style="10" customWidth="1"/>
    <col min="2562" max="2562" width="9.85546875" style="10" customWidth="1"/>
    <col min="2563" max="2563" width="14.42578125" style="10" customWidth="1"/>
    <col min="2564" max="2564" width="7.28515625" style="10" customWidth="1"/>
    <col min="2565" max="2565" width="5.5703125" style="10" customWidth="1"/>
    <col min="2566" max="2566" width="9" style="10" customWidth="1"/>
    <col min="2567" max="2568" width="9.85546875" style="10" customWidth="1"/>
    <col min="2569" max="2569" width="11.140625" style="10" customWidth="1"/>
    <col min="2570" max="2570" width="2.85546875" style="10" customWidth="1"/>
    <col min="2571" max="2571" width="3.5703125" style="10" customWidth="1"/>
    <col min="2572" max="2816" width="9.140625" style="10"/>
    <col min="2817" max="2817" width="8.7109375" style="10" customWidth="1"/>
    <col min="2818" max="2818" width="9.85546875" style="10" customWidth="1"/>
    <col min="2819" max="2819" width="14.42578125" style="10" customWidth="1"/>
    <col min="2820" max="2820" width="7.28515625" style="10" customWidth="1"/>
    <col min="2821" max="2821" width="5.5703125" style="10" customWidth="1"/>
    <col min="2822" max="2822" width="9" style="10" customWidth="1"/>
    <col min="2823" max="2824" width="9.85546875" style="10" customWidth="1"/>
    <col min="2825" max="2825" width="11.140625" style="10" customWidth="1"/>
    <col min="2826" max="2826" width="2.85546875" style="10" customWidth="1"/>
    <col min="2827" max="2827" width="3.5703125" style="10" customWidth="1"/>
    <col min="2828" max="3072" width="9.140625" style="10"/>
    <col min="3073" max="3073" width="8.7109375" style="10" customWidth="1"/>
    <col min="3074" max="3074" width="9.85546875" style="10" customWidth="1"/>
    <col min="3075" max="3075" width="14.42578125" style="10" customWidth="1"/>
    <col min="3076" max="3076" width="7.28515625" style="10" customWidth="1"/>
    <col min="3077" max="3077" width="5.5703125" style="10" customWidth="1"/>
    <col min="3078" max="3078" width="9" style="10" customWidth="1"/>
    <col min="3079" max="3080" width="9.85546875" style="10" customWidth="1"/>
    <col min="3081" max="3081" width="11.140625" style="10" customWidth="1"/>
    <col min="3082" max="3082" width="2.85546875" style="10" customWidth="1"/>
    <col min="3083" max="3083" width="3.5703125" style="10" customWidth="1"/>
    <col min="3084" max="3328" width="9.140625" style="10"/>
    <col min="3329" max="3329" width="8.7109375" style="10" customWidth="1"/>
    <col min="3330" max="3330" width="9.85546875" style="10" customWidth="1"/>
    <col min="3331" max="3331" width="14.42578125" style="10" customWidth="1"/>
    <col min="3332" max="3332" width="7.28515625" style="10" customWidth="1"/>
    <col min="3333" max="3333" width="5.5703125" style="10" customWidth="1"/>
    <col min="3334" max="3334" width="9" style="10" customWidth="1"/>
    <col min="3335" max="3336" width="9.85546875" style="10" customWidth="1"/>
    <col min="3337" max="3337" width="11.140625" style="10" customWidth="1"/>
    <col min="3338" max="3338" width="2.85546875" style="10" customWidth="1"/>
    <col min="3339" max="3339" width="3.5703125" style="10" customWidth="1"/>
    <col min="3340" max="3584" width="9.140625" style="10"/>
    <col min="3585" max="3585" width="8.7109375" style="10" customWidth="1"/>
    <col min="3586" max="3586" width="9.85546875" style="10" customWidth="1"/>
    <col min="3587" max="3587" width="14.42578125" style="10" customWidth="1"/>
    <col min="3588" max="3588" width="7.28515625" style="10" customWidth="1"/>
    <col min="3589" max="3589" width="5.5703125" style="10" customWidth="1"/>
    <col min="3590" max="3590" width="9" style="10" customWidth="1"/>
    <col min="3591" max="3592" width="9.85546875" style="10" customWidth="1"/>
    <col min="3593" max="3593" width="11.140625" style="10" customWidth="1"/>
    <col min="3594" max="3594" width="2.85546875" style="10" customWidth="1"/>
    <col min="3595" max="3595" width="3.5703125" style="10" customWidth="1"/>
    <col min="3596" max="3840" width="9.140625" style="10"/>
    <col min="3841" max="3841" width="8.7109375" style="10" customWidth="1"/>
    <col min="3842" max="3842" width="9.85546875" style="10" customWidth="1"/>
    <col min="3843" max="3843" width="14.42578125" style="10" customWidth="1"/>
    <col min="3844" max="3844" width="7.28515625" style="10" customWidth="1"/>
    <col min="3845" max="3845" width="5.5703125" style="10" customWidth="1"/>
    <col min="3846" max="3846" width="9" style="10" customWidth="1"/>
    <col min="3847" max="3848" width="9.85546875" style="10" customWidth="1"/>
    <col min="3849" max="3849" width="11.140625" style="10" customWidth="1"/>
    <col min="3850" max="3850" width="2.85546875" style="10" customWidth="1"/>
    <col min="3851" max="3851" width="3.5703125" style="10" customWidth="1"/>
    <col min="3852" max="4096" width="9.140625" style="10"/>
    <col min="4097" max="4097" width="8.7109375" style="10" customWidth="1"/>
    <col min="4098" max="4098" width="9.85546875" style="10" customWidth="1"/>
    <col min="4099" max="4099" width="14.42578125" style="10" customWidth="1"/>
    <col min="4100" max="4100" width="7.28515625" style="10" customWidth="1"/>
    <col min="4101" max="4101" width="5.5703125" style="10" customWidth="1"/>
    <col min="4102" max="4102" width="9" style="10" customWidth="1"/>
    <col min="4103" max="4104" width="9.85546875" style="10" customWidth="1"/>
    <col min="4105" max="4105" width="11.140625" style="10" customWidth="1"/>
    <col min="4106" max="4106" width="2.85546875" style="10" customWidth="1"/>
    <col min="4107" max="4107" width="3.5703125" style="10" customWidth="1"/>
    <col min="4108" max="4352" width="9.140625" style="10"/>
    <col min="4353" max="4353" width="8.7109375" style="10" customWidth="1"/>
    <col min="4354" max="4354" width="9.85546875" style="10" customWidth="1"/>
    <col min="4355" max="4355" width="14.42578125" style="10" customWidth="1"/>
    <col min="4356" max="4356" width="7.28515625" style="10" customWidth="1"/>
    <col min="4357" max="4357" width="5.5703125" style="10" customWidth="1"/>
    <col min="4358" max="4358" width="9" style="10" customWidth="1"/>
    <col min="4359" max="4360" width="9.85546875" style="10" customWidth="1"/>
    <col min="4361" max="4361" width="11.140625" style="10" customWidth="1"/>
    <col min="4362" max="4362" width="2.85546875" style="10" customWidth="1"/>
    <col min="4363" max="4363" width="3.5703125" style="10" customWidth="1"/>
    <col min="4364" max="4608" width="9.140625" style="10"/>
    <col min="4609" max="4609" width="8.7109375" style="10" customWidth="1"/>
    <col min="4610" max="4610" width="9.85546875" style="10" customWidth="1"/>
    <col min="4611" max="4611" width="14.42578125" style="10" customWidth="1"/>
    <col min="4612" max="4612" width="7.28515625" style="10" customWidth="1"/>
    <col min="4613" max="4613" width="5.5703125" style="10" customWidth="1"/>
    <col min="4614" max="4614" width="9" style="10" customWidth="1"/>
    <col min="4615" max="4616" width="9.85546875" style="10" customWidth="1"/>
    <col min="4617" max="4617" width="11.140625" style="10" customWidth="1"/>
    <col min="4618" max="4618" width="2.85546875" style="10" customWidth="1"/>
    <col min="4619" max="4619" width="3.5703125" style="10" customWidth="1"/>
    <col min="4620" max="4864" width="9.140625" style="10"/>
    <col min="4865" max="4865" width="8.7109375" style="10" customWidth="1"/>
    <col min="4866" max="4866" width="9.85546875" style="10" customWidth="1"/>
    <col min="4867" max="4867" width="14.42578125" style="10" customWidth="1"/>
    <col min="4868" max="4868" width="7.28515625" style="10" customWidth="1"/>
    <col min="4869" max="4869" width="5.5703125" style="10" customWidth="1"/>
    <col min="4870" max="4870" width="9" style="10" customWidth="1"/>
    <col min="4871" max="4872" width="9.85546875" style="10" customWidth="1"/>
    <col min="4873" max="4873" width="11.140625" style="10" customWidth="1"/>
    <col min="4874" max="4874" width="2.85546875" style="10" customWidth="1"/>
    <col min="4875" max="4875" width="3.5703125" style="10" customWidth="1"/>
    <col min="4876" max="5120" width="9.140625" style="10"/>
    <col min="5121" max="5121" width="8.7109375" style="10" customWidth="1"/>
    <col min="5122" max="5122" width="9.85546875" style="10" customWidth="1"/>
    <col min="5123" max="5123" width="14.42578125" style="10" customWidth="1"/>
    <col min="5124" max="5124" width="7.28515625" style="10" customWidth="1"/>
    <col min="5125" max="5125" width="5.5703125" style="10" customWidth="1"/>
    <col min="5126" max="5126" width="9" style="10" customWidth="1"/>
    <col min="5127" max="5128" width="9.85546875" style="10" customWidth="1"/>
    <col min="5129" max="5129" width="11.140625" style="10" customWidth="1"/>
    <col min="5130" max="5130" width="2.85546875" style="10" customWidth="1"/>
    <col min="5131" max="5131" width="3.5703125" style="10" customWidth="1"/>
    <col min="5132" max="5376" width="9.140625" style="10"/>
    <col min="5377" max="5377" width="8.7109375" style="10" customWidth="1"/>
    <col min="5378" max="5378" width="9.85546875" style="10" customWidth="1"/>
    <col min="5379" max="5379" width="14.42578125" style="10" customWidth="1"/>
    <col min="5380" max="5380" width="7.28515625" style="10" customWidth="1"/>
    <col min="5381" max="5381" width="5.5703125" style="10" customWidth="1"/>
    <col min="5382" max="5382" width="9" style="10" customWidth="1"/>
    <col min="5383" max="5384" width="9.85546875" style="10" customWidth="1"/>
    <col min="5385" max="5385" width="11.140625" style="10" customWidth="1"/>
    <col min="5386" max="5386" width="2.85546875" style="10" customWidth="1"/>
    <col min="5387" max="5387" width="3.5703125" style="10" customWidth="1"/>
    <col min="5388" max="5632" width="9.140625" style="10"/>
    <col min="5633" max="5633" width="8.7109375" style="10" customWidth="1"/>
    <col min="5634" max="5634" width="9.85546875" style="10" customWidth="1"/>
    <col min="5635" max="5635" width="14.42578125" style="10" customWidth="1"/>
    <col min="5636" max="5636" width="7.28515625" style="10" customWidth="1"/>
    <col min="5637" max="5637" width="5.5703125" style="10" customWidth="1"/>
    <col min="5638" max="5638" width="9" style="10" customWidth="1"/>
    <col min="5639" max="5640" width="9.85546875" style="10" customWidth="1"/>
    <col min="5641" max="5641" width="11.140625" style="10" customWidth="1"/>
    <col min="5642" max="5642" width="2.85546875" style="10" customWidth="1"/>
    <col min="5643" max="5643" width="3.5703125" style="10" customWidth="1"/>
    <col min="5644" max="5888" width="9.140625" style="10"/>
    <col min="5889" max="5889" width="8.7109375" style="10" customWidth="1"/>
    <col min="5890" max="5890" width="9.85546875" style="10" customWidth="1"/>
    <col min="5891" max="5891" width="14.42578125" style="10" customWidth="1"/>
    <col min="5892" max="5892" width="7.28515625" style="10" customWidth="1"/>
    <col min="5893" max="5893" width="5.5703125" style="10" customWidth="1"/>
    <col min="5894" max="5894" width="9" style="10" customWidth="1"/>
    <col min="5895" max="5896" width="9.85546875" style="10" customWidth="1"/>
    <col min="5897" max="5897" width="11.140625" style="10" customWidth="1"/>
    <col min="5898" max="5898" width="2.85546875" style="10" customWidth="1"/>
    <col min="5899" max="5899" width="3.5703125" style="10" customWidth="1"/>
    <col min="5900" max="6144" width="9.140625" style="10"/>
    <col min="6145" max="6145" width="8.7109375" style="10" customWidth="1"/>
    <col min="6146" max="6146" width="9.85546875" style="10" customWidth="1"/>
    <col min="6147" max="6147" width="14.42578125" style="10" customWidth="1"/>
    <col min="6148" max="6148" width="7.28515625" style="10" customWidth="1"/>
    <col min="6149" max="6149" width="5.5703125" style="10" customWidth="1"/>
    <col min="6150" max="6150" width="9" style="10" customWidth="1"/>
    <col min="6151" max="6152" width="9.85546875" style="10" customWidth="1"/>
    <col min="6153" max="6153" width="11.140625" style="10" customWidth="1"/>
    <col min="6154" max="6154" width="2.85546875" style="10" customWidth="1"/>
    <col min="6155" max="6155" width="3.5703125" style="10" customWidth="1"/>
    <col min="6156" max="6400" width="9.140625" style="10"/>
    <col min="6401" max="6401" width="8.7109375" style="10" customWidth="1"/>
    <col min="6402" max="6402" width="9.85546875" style="10" customWidth="1"/>
    <col min="6403" max="6403" width="14.42578125" style="10" customWidth="1"/>
    <col min="6404" max="6404" width="7.28515625" style="10" customWidth="1"/>
    <col min="6405" max="6405" width="5.5703125" style="10" customWidth="1"/>
    <col min="6406" max="6406" width="9" style="10" customWidth="1"/>
    <col min="6407" max="6408" width="9.85546875" style="10" customWidth="1"/>
    <col min="6409" max="6409" width="11.140625" style="10" customWidth="1"/>
    <col min="6410" max="6410" width="2.85546875" style="10" customWidth="1"/>
    <col min="6411" max="6411" width="3.5703125" style="10" customWidth="1"/>
    <col min="6412" max="6656" width="9.140625" style="10"/>
    <col min="6657" max="6657" width="8.7109375" style="10" customWidth="1"/>
    <col min="6658" max="6658" width="9.85546875" style="10" customWidth="1"/>
    <col min="6659" max="6659" width="14.42578125" style="10" customWidth="1"/>
    <col min="6660" max="6660" width="7.28515625" style="10" customWidth="1"/>
    <col min="6661" max="6661" width="5.5703125" style="10" customWidth="1"/>
    <col min="6662" max="6662" width="9" style="10" customWidth="1"/>
    <col min="6663" max="6664" width="9.85546875" style="10" customWidth="1"/>
    <col min="6665" max="6665" width="11.140625" style="10" customWidth="1"/>
    <col min="6666" max="6666" width="2.85546875" style="10" customWidth="1"/>
    <col min="6667" max="6667" width="3.5703125" style="10" customWidth="1"/>
    <col min="6668" max="6912" width="9.140625" style="10"/>
    <col min="6913" max="6913" width="8.7109375" style="10" customWidth="1"/>
    <col min="6914" max="6914" width="9.85546875" style="10" customWidth="1"/>
    <col min="6915" max="6915" width="14.42578125" style="10" customWidth="1"/>
    <col min="6916" max="6916" width="7.28515625" style="10" customWidth="1"/>
    <col min="6917" max="6917" width="5.5703125" style="10" customWidth="1"/>
    <col min="6918" max="6918" width="9" style="10" customWidth="1"/>
    <col min="6919" max="6920" width="9.85546875" style="10" customWidth="1"/>
    <col min="6921" max="6921" width="11.140625" style="10" customWidth="1"/>
    <col min="6922" max="6922" width="2.85546875" style="10" customWidth="1"/>
    <col min="6923" max="6923" width="3.5703125" style="10" customWidth="1"/>
    <col min="6924" max="7168" width="9.140625" style="10"/>
    <col min="7169" max="7169" width="8.7109375" style="10" customWidth="1"/>
    <col min="7170" max="7170" width="9.85546875" style="10" customWidth="1"/>
    <col min="7171" max="7171" width="14.42578125" style="10" customWidth="1"/>
    <col min="7172" max="7172" width="7.28515625" style="10" customWidth="1"/>
    <col min="7173" max="7173" width="5.5703125" style="10" customWidth="1"/>
    <col min="7174" max="7174" width="9" style="10" customWidth="1"/>
    <col min="7175" max="7176" width="9.85546875" style="10" customWidth="1"/>
    <col min="7177" max="7177" width="11.140625" style="10" customWidth="1"/>
    <col min="7178" max="7178" width="2.85546875" style="10" customWidth="1"/>
    <col min="7179" max="7179" width="3.5703125" style="10" customWidth="1"/>
    <col min="7180" max="7424" width="9.140625" style="10"/>
    <col min="7425" max="7425" width="8.7109375" style="10" customWidth="1"/>
    <col min="7426" max="7426" width="9.85546875" style="10" customWidth="1"/>
    <col min="7427" max="7427" width="14.42578125" style="10" customWidth="1"/>
    <col min="7428" max="7428" width="7.28515625" style="10" customWidth="1"/>
    <col min="7429" max="7429" width="5.5703125" style="10" customWidth="1"/>
    <col min="7430" max="7430" width="9" style="10" customWidth="1"/>
    <col min="7431" max="7432" width="9.85546875" style="10" customWidth="1"/>
    <col min="7433" max="7433" width="11.140625" style="10" customWidth="1"/>
    <col min="7434" max="7434" width="2.85546875" style="10" customWidth="1"/>
    <col min="7435" max="7435" width="3.5703125" style="10" customWidth="1"/>
    <col min="7436" max="7680" width="9.140625" style="10"/>
    <col min="7681" max="7681" width="8.7109375" style="10" customWidth="1"/>
    <col min="7682" max="7682" width="9.85546875" style="10" customWidth="1"/>
    <col min="7683" max="7683" width="14.42578125" style="10" customWidth="1"/>
    <col min="7684" max="7684" width="7.28515625" style="10" customWidth="1"/>
    <col min="7685" max="7685" width="5.5703125" style="10" customWidth="1"/>
    <col min="7686" max="7686" width="9" style="10" customWidth="1"/>
    <col min="7687" max="7688" width="9.85546875" style="10" customWidth="1"/>
    <col min="7689" max="7689" width="11.140625" style="10" customWidth="1"/>
    <col min="7690" max="7690" width="2.85546875" style="10" customWidth="1"/>
    <col min="7691" max="7691" width="3.5703125" style="10" customWidth="1"/>
    <col min="7692" max="7936" width="9.140625" style="10"/>
    <col min="7937" max="7937" width="8.7109375" style="10" customWidth="1"/>
    <col min="7938" max="7938" width="9.85546875" style="10" customWidth="1"/>
    <col min="7939" max="7939" width="14.42578125" style="10" customWidth="1"/>
    <col min="7940" max="7940" width="7.28515625" style="10" customWidth="1"/>
    <col min="7941" max="7941" width="5.5703125" style="10" customWidth="1"/>
    <col min="7942" max="7942" width="9" style="10" customWidth="1"/>
    <col min="7943" max="7944" width="9.85546875" style="10" customWidth="1"/>
    <col min="7945" max="7945" width="11.140625" style="10" customWidth="1"/>
    <col min="7946" max="7946" width="2.85546875" style="10" customWidth="1"/>
    <col min="7947" max="7947" width="3.5703125" style="10" customWidth="1"/>
    <col min="7948" max="8192" width="9.140625" style="10"/>
    <col min="8193" max="8193" width="8.7109375" style="10" customWidth="1"/>
    <col min="8194" max="8194" width="9.85546875" style="10" customWidth="1"/>
    <col min="8195" max="8195" width="14.42578125" style="10" customWidth="1"/>
    <col min="8196" max="8196" width="7.28515625" style="10" customWidth="1"/>
    <col min="8197" max="8197" width="5.5703125" style="10" customWidth="1"/>
    <col min="8198" max="8198" width="9" style="10" customWidth="1"/>
    <col min="8199" max="8200" width="9.85546875" style="10" customWidth="1"/>
    <col min="8201" max="8201" width="11.140625" style="10" customWidth="1"/>
    <col min="8202" max="8202" width="2.85546875" style="10" customWidth="1"/>
    <col min="8203" max="8203" width="3.5703125" style="10" customWidth="1"/>
    <col min="8204" max="8448" width="9.140625" style="10"/>
    <col min="8449" max="8449" width="8.7109375" style="10" customWidth="1"/>
    <col min="8450" max="8450" width="9.85546875" style="10" customWidth="1"/>
    <col min="8451" max="8451" width="14.42578125" style="10" customWidth="1"/>
    <col min="8452" max="8452" width="7.28515625" style="10" customWidth="1"/>
    <col min="8453" max="8453" width="5.5703125" style="10" customWidth="1"/>
    <col min="8454" max="8454" width="9" style="10" customWidth="1"/>
    <col min="8455" max="8456" width="9.85546875" style="10" customWidth="1"/>
    <col min="8457" max="8457" width="11.140625" style="10" customWidth="1"/>
    <col min="8458" max="8458" width="2.85546875" style="10" customWidth="1"/>
    <col min="8459" max="8459" width="3.5703125" style="10" customWidth="1"/>
    <col min="8460" max="8704" width="9.140625" style="10"/>
    <col min="8705" max="8705" width="8.7109375" style="10" customWidth="1"/>
    <col min="8706" max="8706" width="9.85546875" style="10" customWidth="1"/>
    <col min="8707" max="8707" width="14.42578125" style="10" customWidth="1"/>
    <col min="8708" max="8708" width="7.28515625" style="10" customWidth="1"/>
    <col min="8709" max="8709" width="5.5703125" style="10" customWidth="1"/>
    <col min="8710" max="8710" width="9" style="10" customWidth="1"/>
    <col min="8711" max="8712" width="9.85546875" style="10" customWidth="1"/>
    <col min="8713" max="8713" width="11.140625" style="10" customWidth="1"/>
    <col min="8714" max="8714" width="2.85546875" style="10" customWidth="1"/>
    <col min="8715" max="8715" width="3.5703125" style="10" customWidth="1"/>
    <col min="8716" max="8960" width="9.140625" style="10"/>
    <col min="8961" max="8961" width="8.7109375" style="10" customWidth="1"/>
    <col min="8962" max="8962" width="9.85546875" style="10" customWidth="1"/>
    <col min="8963" max="8963" width="14.42578125" style="10" customWidth="1"/>
    <col min="8964" max="8964" width="7.28515625" style="10" customWidth="1"/>
    <col min="8965" max="8965" width="5.5703125" style="10" customWidth="1"/>
    <col min="8966" max="8966" width="9" style="10" customWidth="1"/>
    <col min="8967" max="8968" width="9.85546875" style="10" customWidth="1"/>
    <col min="8969" max="8969" width="11.140625" style="10" customWidth="1"/>
    <col min="8970" max="8970" width="2.85546875" style="10" customWidth="1"/>
    <col min="8971" max="8971" width="3.5703125" style="10" customWidth="1"/>
    <col min="8972" max="9216" width="9.140625" style="10"/>
    <col min="9217" max="9217" width="8.7109375" style="10" customWidth="1"/>
    <col min="9218" max="9218" width="9.85546875" style="10" customWidth="1"/>
    <col min="9219" max="9219" width="14.42578125" style="10" customWidth="1"/>
    <col min="9220" max="9220" width="7.28515625" style="10" customWidth="1"/>
    <col min="9221" max="9221" width="5.5703125" style="10" customWidth="1"/>
    <col min="9222" max="9222" width="9" style="10" customWidth="1"/>
    <col min="9223" max="9224" width="9.85546875" style="10" customWidth="1"/>
    <col min="9225" max="9225" width="11.140625" style="10" customWidth="1"/>
    <col min="9226" max="9226" width="2.85546875" style="10" customWidth="1"/>
    <col min="9227" max="9227" width="3.5703125" style="10" customWidth="1"/>
    <col min="9228" max="9472" width="9.140625" style="10"/>
    <col min="9473" max="9473" width="8.7109375" style="10" customWidth="1"/>
    <col min="9474" max="9474" width="9.85546875" style="10" customWidth="1"/>
    <col min="9475" max="9475" width="14.42578125" style="10" customWidth="1"/>
    <col min="9476" max="9476" width="7.28515625" style="10" customWidth="1"/>
    <col min="9477" max="9477" width="5.5703125" style="10" customWidth="1"/>
    <col min="9478" max="9478" width="9" style="10" customWidth="1"/>
    <col min="9479" max="9480" width="9.85546875" style="10" customWidth="1"/>
    <col min="9481" max="9481" width="11.140625" style="10" customWidth="1"/>
    <col min="9482" max="9482" width="2.85546875" style="10" customWidth="1"/>
    <col min="9483" max="9483" width="3.5703125" style="10" customWidth="1"/>
    <col min="9484" max="9728" width="9.140625" style="10"/>
    <col min="9729" max="9729" width="8.7109375" style="10" customWidth="1"/>
    <col min="9730" max="9730" width="9.85546875" style="10" customWidth="1"/>
    <col min="9731" max="9731" width="14.42578125" style="10" customWidth="1"/>
    <col min="9732" max="9732" width="7.28515625" style="10" customWidth="1"/>
    <col min="9733" max="9733" width="5.5703125" style="10" customWidth="1"/>
    <col min="9734" max="9734" width="9" style="10" customWidth="1"/>
    <col min="9735" max="9736" width="9.85546875" style="10" customWidth="1"/>
    <col min="9737" max="9737" width="11.140625" style="10" customWidth="1"/>
    <col min="9738" max="9738" width="2.85546875" style="10" customWidth="1"/>
    <col min="9739" max="9739" width="3.5703125" style="10" customWidth="1"/>
    <col min="9740" max="9984" width="9.140625" style="10"/>
    <col min="9985" max="9985" width="8.7109375" style="10" customWidth="1"/>
    <col min="9986" max="9986" width="9.85546875" style="10" customWidth="1"/>
    <col min="9987" max="9987" width="14.42578125" style="10" customWidth="1"/>
    <col min="9988" max="9988" width="7.28515625" style="10" customWidth="1"/>
    <col min="9989" max="9989" width="5.5703125" style="10" customWidth="1"/>
    <col min="9990" max="9990" width="9" style="10" customWidth="1"/>
    <col min="9991" max="9992" width="9.85546875" style="10" customWidth="1"/>
    <col min="9993" max="9993" width="11.140625" style="10" customWidth="1"/>
    <col min="9994" max="9994" width="2.85546875" style="10" customWidth="1"/>
    <col min="9995" max="9995" width="3.5703125" style="10" customWidth="1"/>
    <col min="9996" max="10240" width="9.140625" style="10"/>
    <col min="10241" max="10241" width="8.7109375" style="10" customWidth="1"/>
    <col min="10242" max="10242" width="9.85546875" style="10" customWidth="1"/>
    <col min="10243" max="10243" width="14.42578125" style="10" customWidth="1"/>
    <col min="10244" max="10244" width="7.28515625" style="10" customWidth="1"/>
    <col min="10245" max="10245" width="5.5703125" style="10" customWidth="1"/>
    <col min="10246" max="10246" width="9" style="10" customWidth="1"/>
    <col min="10247" max="10248" width="9.85546875" style="10" customWidth="1"/>
    <col min="10249" max="10249" width="11.140625" style="10" customWidth="1"/>
    <col min="10250" max="10250" width="2.85546875" style="10" customWidth="1"/>
    <col min="10251" max="10251" width="3.5703125" style="10" customWidth="1"/>
    <col min="10252" max="10496" width="9.140625" style="10"/>
    <col min="10497" max="10497" width="8.7109375" style="10" customWidth="1"/>
    <col min="10498" max="10498" width="9.85546875" style="10" customWidth="1"/>
    <col min="10499" max="10499" width="14.42578125" style="10" customWidth="1"/>
    <col min="10500" max="10500" width="7.28515625" style="10" customWidth="1"/>
    <col min="10501" max="10501" width="5.5703125" style="10" customWidth="1"/>
    <col min="10502" max="10502" width="9" style="10" customWidth="1"/>
    <col min="10503" max="10504" width="9.85546875" style="10" customWidth="1"/>
    <col min="10505" max="10505" width="11.140625" style="10" customWidth="1"/>
    <col min="10506" max="10506" width="2.85546875" style="10" customWidth="1"/>
    <col min="10507" max="10507" width="3.5703125" style="10" customWidth="1"/>
    <col min="10508" max="10752" width="9.140625" style="10"/>
    <col min="10753" max="10753" width="8.7109375" style="10" customWidth="1"/>
    <col min="10754" max="10754" width="9.85546875" style="10" customWidth="1"/>
    <col min="10755" max="10755" width="14.42578125" style="10" customWidth="1"/>
    <col min="10756" max="10756" width="7.28515625" style="10" customWidth="1"/>
    <col min="10757" max="10757" width="5.5703125" style="10" customWidth="1"/>
    <col min="10758" max="10758" width="9" style="10" customWidth="1"/>
    <col min="10759" max="10760" width="9.85546875" style="10" customWidth="1"/>
    <col min="10761" max="10761" width="11.140625" style="10" customWidth="1"/>
    <col min="10762" max="10762" width="2.85546875" style="10" customWidth="1"/>
    <col min="10763" max="10763" width="3.5703125" style="10" customWidth="1"/>
    <col min="10764" max="11008" width="9.140625" style="10"/>
    <col min="11009" max="11009" width="8.7109375" style="10" customWidth="1"/>
    <col min="11010" max="11010" width="9.85546875" style="10" customWidth="1"/>
    <col min="11011" max="11011" width="14.42578125" style="10" customWidth="1"/>
    <col min="11012" max="11012" width="7.28515625" style="10" customWidth="1"/>
    <col min="11013" max="11013" width="5.5703125" style="10" customWidth="1"/>
    <col min="11014" max="11014" width="9" style="10" customWidth="1"/>
    <col min="11015" max="11016" width="9.85546875" style="10" customWidth="1"/>
    <col min="11017" max="11017" width="11.140625" style="10" customWidth="1"/>
    <col min="11018" max="11018" width="2.85546875" style="10" customWidth="1"/>
    <col min="11019" max="11019" width="3.5703125" style="10" customWidth="1"/>
    <col min="11020" max="11264" width="9.140625" style="10"/>
    <col min="11265" max="11265" width="8.7109375" style="10" customWidth="1"/>
    <col min="11266" max="11266" width="9.85546875" style="10" customWidth="1"/>
    <col min="11267" max="11267" width="14.42578125" style="10" customWidth="1"/>
    <col min="11268" max="11268" width="7.28515625" style="10" customWidth="1"/>
    <col min="11269" max="11269" width="5.5703125" style="10" customWidth="1"/>
    <col min="11270" max="11270" width="9" style="10" customWidth="1"/>
    <col min="11271" max="11272" width="9.85546875" style="10" customWidth="1"/>
    <col min="11273" max="11273" width="11.140625" style="10" customWidth="1"/>
    <col min="11274" max="11274" width="2.85546875" style="10" customWidth="1"/>
    <col min="11275" max="11275" width="3.5703125" style="10" customWidth="1"/>
    <col min="11276" max="11520" width="9.140625" style="10"/>
    <col min="11521" max="11521" width="8.7109375" style="10" customWidth="1"/>
    <col min="11522" max="11522" width="9.85546875" style="10" customWidth="1"/>
    <col min="11523" max="11523" width="14.42578125" style="10" customWidth="1"/>
    <col min="11524" max="11524" width="7.28515625" style="10" customWidth="1"/>
    <col min="11525" max="11525" width="5.5703125" style="10" customWidth="1"/>
    <col min="11526" max="11526" width="9" style="10" customWidth="1"/>
    <col min="11527" max="11528" width="9.85546875" style="10" customWidth="1"/>
    <col min="11529" max="11529" width="11.140625" style="10" customWidth="1"/>
    <col min="11530" max="11530" width="2.85546875" style="10" customWidth="1"/>
    <col min="11531" max="11531" width="3.5703125" style="10" customWidth="1"/>
    <col min="11532" max="11776" width="9.140625" style="10"/>
    <col min="11777" max="11777" width="8.7109375" style="10" customWidth="1"/>
    <col min="11778" max="11778" width="9.85546875" style="10" customWidth="1"/>
    <col min="11779" max="11779" width="14.42578125" style="10" customWidth="1"/>
    <col min="11780" max="11780" width="7.28515625" style="10" customWidth="1"/>
    <col min="11781" max="11781" width="5.5703125" style="10" customWidth="1"/>
    <col min="11782" max="11782" width="9" style="10" customWidth="1"/>
    <col min="11783" max="11784" width="9.85546875" style="10" customWidth="1"/>
    <col min="11785" max="11785" width="11.140625" style="10" customWidth="1"/>
    <col min="11786" max="11786" width="2.85546875" style="10" customWidth="1"/>
    <col min="11787" max="11787" width="3.5703125" style="10" customWidth="1"/>
    <col min="11788" max="12032" width="9.140625" style="10"/>
    <col min="12033" max="12033" width="8.7109375" style="10" customWidth="1"/>
    <col min="12034" max="12034" width="9.85546875" style="10" customWidth="1"/>
    <col min="12035" max="12035" width="14.42578125" style="10" customWidth="1"/>
    <col min="12036" max="12036" width="7.28515625" style="10" customWidth="1"/>
    <col min="12037" max="12037" width="5.5703125" style="10" customWidth="1"/>
    <col min="12038" max="12038" width="9" style="10" customWidth="1"/>
    <col min="12039" max="12040" width="9.85546875" style="10" customWidth="1"/>
    <col min="12041" max="12041" width="11.140625" style="10" customWidth="1"/>
    <col min="12042" max="12042" width="2.85546875" style="10" customWidth="1"/>
    <col min="12043" max="12043" width="3.5703125" style="10" customWidth="1"/>
    <col min="12044" max="12288" width="9.140625" style="10"/>
    <col min="12289" max="12289" width="8.7109375" style="10" customWidth="1"/>
    <col min="12290" max="12290" width="9.85546875" style="10" customWidth="1"/>
    <col min="12291" max="12291" width="14.42578125" style="10" customWidth="1"/>
    <col min="12292" max="12292" width="7.28515625" style="10" customWidth="1"/>
    <col min="12293" max="12293" width="5.5703125" style="10" customWidth="1"/>
    <col min="12294" max="12294" width="9" style="10" customWidth="1"/>
    <col min="12295" max="12296" width="9.85546875" style="10" customWidth="1"/>
    <col min="12297" max="12297" width="11.140625" style="10" customWidth="1"/>
    <col min="12298" max="12298" width="2.85546875" style="10" customWidth="1"/>
    <col min="12299" max="12299" width="3.5703125" style="10" customWidth="1"/>
    <col min="12300" max="12544" width="9.140625" style="10"/>
    <col min="12545" max="12545" width="8.7109375" style="10" customWidth="1"/>
    <col min="12546" max="12546" width="9.85546875" style="10" customWidth="1"/>
    <col min="12547" max="12547" width="14.42578125" style="10" customWidth="1"/>
    <col min="12548" max="12548" width="7.28515625" style="10" customWidth="1"/>
    <col min="12549" max="12549" width="5.5703125" style="10" customWidth="1"/>
    <col min="12550" max="12550" width="9" style="10" customWidth="1"/>
    <col min="12551" max="12552" width="9.85546875" style="10" customWidth="1"/>
    <col min="12553" max="12553" width="11.140625" style="10" customWidth="1"/>
    <col min="12554" max="12554" width="2.85546875" style="10" customWidth="1"/>
    <col min="12555" max="12555" width="3.5703125" style="10" customWidth="1"/>
    <col min="12556" max="12800" width="9.140625" style="10"/>
    <col min="12801" max="12801" width="8.7109375" style="10" customWidth="1"/>
    <col min="12802" max="12802" width="9.85546875" style="10" customWidth="1"/>
    <col min="12803" max="12803" width="14.42578125" style="10" customWidth="1"/>
    <col min="12804" max="12804" width="7.28515625" style="10" customWidth="1"/>
    <col min="12805" max="12805" width="5.5703125" style="10" customWidth="1"/>
    <col min="12806" max="12806" width="9" style="10" customWidth="1"/>
    <col min="12807" max="12808" width="9.85546875" style="10" customWidth="1"/>
    <col min="12809" max="12809" width="11.140625" style="10" customWidth="1"/>
    <col min="12810" max="12810" width="2.85546875" style="10" customWidth="1"/>
    <col min="12811" max="12811" width="3.5703125" style="10" customWidth="1"/>
    <col min="12812" max="13056" width="9.140625" style="10"/>
    <col min="13057" max="13057" width="8.7109375" style="10" customWidth="1"/>
    <col min="13058" max="13058" width="9.85546875" style="10" customWidth="1"/>
    <col min="13059" max="13059" width="14.42578125" style="10" customWidth="1"/>
    <col min="13060" max="13060" width="7.28515625" style="10" customWidth="1"/>
    <col min="13061" max="13061" width="5.5703125" style="10" customWidth="1"/>
    <col min="13062" max="13062" width="9" style="10" customWidth="1"/>
    <col min="13063" max="13064" width="9.85546875" style="10" customWidth="1"/>
    <col min="13065" max="13065" width="11.140625" style="10" customWidth="1"/>
    <col min="13066" max="13066" width="2.85546875" style="10" customWidth="1"/>
    <col min="13067" max="13067" width="3.5703125" style="10" customWidth="1"/>
    <col min="13068" max="13312" width="9.140625" style="10"/>
    <col min="13313" max="13313" width="8.7109375" style="10" customWidth="1"/>
    <col min="13314" max="13314" width="9.85546875" style="10" customWidth="1"/>
    <col min="13315" max="13315" width="14.42578125" style="10" customWidth="1"/>
    <col min="13316" max="13316" width="7.28515625" style="10" customWidth="1"/>
    <col min="13317" max="13317" width="5.5703125" style="10" customWidth="1"/>
    <col min="13318" max="13318" width="9" style="10" customWidth="1"/>
    <col min="13319" max="13320" width="9.85546875" style="10" customWidth="1"/>
    <col min="13321" max="13321" width="11.140625" style="10" customWidth="1"/>
    <col min="13322" max="13322" width="2.85546875" style="10" customWidth="1"/>
    <col min="13323" max="13323" width="3.5703125" style="10" customWidth="1"/>
    <col min="13324" max="13568" width="9.140625" style="10"/>
    <col min="13569" max="13569" width="8.7109375" style="10" customWidth="1"/>
    <col min="13570" max="13570" width="9.85546875" style="10" customWidth="1"/>
    <col min="13571" max="13571" width="14.42578125" style="10" customWidth="1"/>
    <col min="13572" max="13572" width="7.28515625" style="10" customWidth="1"/>
    <col min="13573" max="13573" width="5.5703125" style="10" customWidth="1"/>
    <col min="13574" max="13574" width="9" style="10" customWidth="1"/>
    <col min="13575" max="13576" width="9.85546875" style="10" customWidth="1"/>
    <col min="13577" max="13577" width="11.140625" style="10" customWidth="1"/>
    <col min="13578" max="13578" width="2.85546875" style="10" customWidth="1"/>
    <col min="13579" max="13579" width="3.5703125" style="10" customWidth="1"/>
    <col min="13580" max="13824" width="9.140625" style="10"/>
    <col min="13825" max="13825" width="8.7109375" style="10" customWidth="1"/>
    <col min="13826" max="13826" width="9.85546875" style="10" customWidth="1"/>
    <col min="13827" max="13827" width="14.42578125" style="10" customWidth="1"/>
    <col min="13828" max="13828" width="7.28515625" style="10" customWidth="1"/>
    <col min="13829" max="13829" width="5.5703125" style="10" customWidth="1"/>
    <col min="13830" max="13830" width="9" style="10" customWidth="1"/>
    <col min="13831" max="13832" width="9.85546875" style="10" customWidth="1"/>
    <col min="13833" max="13833" width="11.140625" style="10" customWidth="1"/>
    <col min="13834" max="13834" width="2.85546875" style="10" customWidth="1"/>
    <col min="13835" max="13835" width="3.5703125" style="10" customWidth="1"/>
    <col min="13836" max="14080" width="9.140625" style="10"/>
    <col min="14081" max="14081" width="8.7109375" style="10" customWidth="1"/>
    <col min="14082" max="14082" width="9.85546875" style="10" customWidth="1"/>
    <col min="14083" max="14083" width="14.42578125" style="10" customWidth="1"/>
    <col min="14084" max="14084" width="7.28515625" style="10" customWidth="1"/>
    <col min="14085" max="14085" width="5.5703125" style="10" customWidth="1"/>
    <col min="14086" max="14086" width="9" style="10" customWidth="1"/>
    <col min="14087" max="14088" width="9.85546875" style="10" customWidth="1"/>
    <col min="14089" max="14089" width="11.140625" style="10" customWidth="1"/>
    <col min="14090" max="14090" width="2.85546875" style="10" customWidth="1"/>
    <col min="14091" max="14091" width="3.5703125" style="10" customWidth="1"/>
    <col min="14092" max="14336" width="9.140625" style="10"/>
    <col min="14337" max="14337" width="8.7109375" style="10" customWidth="1"/>
    <col min="14338" max="14338" width="9.85546875" style="10" customWidth="1"/>
    <col min="14339" max="14339" width="14.42578125" style="10" customWidth="1"/>
    <col min="14340" max="14340" width="7.28515625" style="10" customWidth="1"/>
    <col min="14341" max="14341" width="5.5703125" style="10" customWidth="1"/>
    <col min="14342" max="14342" width="9" style="10" customWidth="1"/>
    <col min="14343" max="14344" width="9.85546875" style="10" customWidth="1"/>
    <col min="14345" max="14345" width="11.140625" style="10" customWidth="1"/>
    <col min="14346" max="14346" width="2.85546875" style="10" customWidth="1"/>
    <col min="14347" max="14347" width="3.5703125" style="10" customWidth="1"/>
    <col min="14348" max="14592" width="9.140625" style="10"/>
    <col min="14593" max="14593" width="8.7109375" style="10" customWidth="1"/>
    <col min="14594" max="14594" width="9.85546875" style="10" customWidth="1"/>
    <col min="14595" max="14595" width="14.42578125" style="10" customWidth="1"/>
    <col min="14596" max="14596" width="7.28515625" style="10" customWidth="1"/>
    <col min="14597" max="14597" width="5.5703125" style="10" customWidth="1"/>
    <col min="14598" max="14598" width="9" style="10" customWidth="1"/>
    <col min="14599" max="14600" width="9.85546875" style="10" customWidth="1"/>
    <col min="14601" max="14601" width="11.140625" style="10" customWidth="1"/>
    <col min="14602" max="14602" width="2.85546875" style="10" customWidth="1"/>
    <col min="14603" max="14603" width="3.5703125" style="10" customWidth="1"/>
    <col min="14604" max="14848" width="9.140625" style="10"/>
    <col min="14849" max="14849" width="8.7109375" style="10" customWidth="1"/>
    <col min="14850" max="14850" width="9.85546875" style="10" customWidth="1"/>
    <col min="14851" max="14851" width="14.42578125" style="10" customWidth="1"/>
    <col min="14852" max="14852" width="7.28515625" style="10" customWidth="1"/>
    <col min="14853" max="14853" width="5.5703125" style="10" customWidth="1"/>
    <col min="14854" max="14854" width="9" style="10" customWidth="1"/>
    <col min="14855" max="14856" width="9.85546875" style="10" customWidth="1"/>
    <col min="14857" max="14857" width="11.140625" style="10" customWidth="1"/>
    <col min="14858" max="14858" width="2.85546875" style="10" customWidth="1"/>
    <col min="14859" max="14859" width="3.5703125" style="10" customWidth="1"/>
    <col min="14860" max="15104" width="9.140625" style="10"/>
    <col min="15105" max="15105" width="8.7109375" style="10" customWidth="1"/>
    <col min="15106" max="15106" width="9.85546875" style="10" customWidth="1"/>
    <col min="15107" max="15107" width="14.42578125" style="10" customWidth="1"/>
    <col min="15108" max="15108" width="7.28515625" style="10" customWidth="1"/>
    <col min="15109" max="15109" width="5.5703125" style="10" customWidth="1"/>
    <col min="15110" max="15110" width="9" style="10" customWidth="1"/>
    <col min="15111" max="15112" width="9.85546875" style="10" customWidth="1"/>
    <col min="15113" max="15113" width="11.140625" style="10" customWidth="1"/>
    <col min="15114" max="15114" width="2.85546875" style="10" customWidth="1"/>
    <col min="15115" max="15115" width="3.5703125" style="10" customWidth="1"/>
    <col min="15116" max="15360" width="9.140625" style="10"/>
    <col min="15361" max="15361" width="8.7109375" style="10" customWidth="1"/>
    <col min="15362" max="15362" width="9.85546875" style="10" customWidth="1"/>
    <col min="15363" max="15363" width="14.42578125" style="10" customWidth="1"/>
    <col min="15364" max="15364" width="7.28515625" style="10" customWidth="1"/>
    <col min="15365" max="15365" width="5.5703125" style="10" customWidth="1"/>
    <col min="15366" max="15366" width="9" style="10" customWidth="1"/>
    <col min="15367" max="15368" width="9.85546875" style="10" customWidth="1"/>
    <col min="15369" max="15369" width="11.140625" style="10" customWidth="1"/>
    <col min="15370" max="15370" width="2.85546875" style="10" customWidth="1"/>
    <col min="15371" max="15371" width="3.5703125" style="10" customWidth="1"/>
    <col min="15372" max="15616" width="9.140625" style="10"/>
    <col min="15617" max="15617" width="8.7109375" style="10" customWidth="1"/>
    <col min="15618" max="15618" width="9.85546875" style="10" customWidth="1"/>
    <col min="15619" max="15619" width="14.42578125" style="10" customWidth="1"/>
    <col min="15620" max="15620" width="7.28515625" style="10" customWidth="1"/>
    <col min="15621" max="15621" width="5.5703125" style="10" customWidth="1"/>
    <col min="15622" max="15622" width="9" style="10" customWidth="1"/>
    <col min="15623" max="15624" width="9.85546875" style="10" customWidth="1"/>
    <col min="15625" max="15625" width="11.140625" style="10" customWidth="1"/>
    <col min="15626" max="15626" width="2.85546875" style="10" customWidth="1"/>
    <col min="15627" max="15627" width="3.5703125" style="10" customWidth="1"/>
    <col min="15628" max="15872" width="9.140625" style="10"/>
    <col min="15873" max="15873" width="8.7109375" style="10" customWidth="1"/>
    <col min="15874" max="15874" width="9.85546875" style="10" customWidth="1"/>
    <col min="15875" max="15875" width="14.42578125" style="10" customWidth="1"/>
    <col min="15876" max="15876" width="7.28515625" style="10" customWidth="1"/>
    <col min="15877" max="15877" width="5.5703125" style="10" customWidth="1"/>
    <col min="15878" max="15878" width="9" style="10" customWidth="1"/>
    <col min="15879" max="15880" width="9.85546875" style="10" customWidth="1"/>
    <col min="15881" max="15881" width="11.140625" style="10" customWidth="1"/>
    <col min="15882" max="15882" width="2.85546875" style="10" customWidth="1"/>
    <col min="15883" max="15883" width="3.5703125" style="10" customWidth="1"/>
    <col min="15884" max="16128" width="9.140625" style="10"/>
    <col min="16129" max="16129" width="8.7109375" style="10" customWidth="1"/>
    <col min="16130" max="16130" width="9.85546875" style="10" customWidth="1"/>
    <col min="16131" max="16131" width="14.42578125" style="10" customWidth="1"/>
    <col min="16132" max="16132" width="7.28515625" style="10" customWidth="1"/>
    <col min="16133" max="16133" width="5.5703125" style="10" customWidth="1"/>
    <col min="16134" max="16134" width="9" style="10" customWidth="1"/>
    <col min="16135" max="16136" width="9.85546875" style="10" customWidth="1"/>
    <col min="16137" max="16137" width="11.140625" style="10" customWidth="1"/>
    <col min="16138" max="16138" width="2.85546875" style="10" customWidth="1"/>
    <col min="16139" max="16139" width="3.5703125" style="10" customWidth="1"/>
    <col min="16140" max="16384" width="9.140625" style="10"/>
  </cols>
  <sheetData>
    <row r="1" spans="1:10" ht="46.5" customHeight="1" x14ac:dyDescent="0.25">
      <c r="A1" s="206" t="s">
        <v>186</v>
      </c>
      <c r="B1" s="207"/>
      <c r="C1" s="207"/>
      <c r="D1" s="207"/>
      <c r="E1" s="207"/>
      <c r="F1" s="207"/>
      <c r="G1" s="207"/>
      <c r="H1" s="207"/>
      <c r="I1" s="207"/>
      <c r="J1" s="208"/>
    </row>
    <row r="2" spans="1:10" ht="16.5" customHeight="1" x14ac:dyDescent="0.25">
      <c r="A2" s="209" t="s">
        <v>0</v>
      </c>
      <c r="B2" s="210"/>
      <c r="C2" s="210"/>
      <c r="D2" s="210"/>
      <c r="E2" s="210"/>
      <c r="F2" s="210"/>
      <c r="G2" s="210"/>
      <c r="H2" s="210"/>
      <c r="I2" s="210"/>
      <c r="J2" s="211"/>
    </row>
    <row r="3" spans="1:10" x14ac:dyDescent="0.25">
      <c r="A3" s="185" t="s">
        <v>1</v>
      </c>
      <c r="B3" s="186"/>
      <c r="C3" s="186"/>
      <c r="D3" s="186"/>
      <c r="E3" s="187"/>
      <c r="F3" s="212" t="s">
        <v>237</v>
      </c>
      <c r="G3" s="213"/>
      <c r="H3" s="213"/>
      <c r="I3" s="213"/>
      <c r="J3" s="214"/>
    </row>
    <row r="4" spans="1:10" ht="15" customHeight="1" x14ac:dyDescent="0.25">
      <c r="A4" s="185" t="s">
        <v>2</v>
      </c>
      <c r="B4" s="186"/>
      <c r="C4" s="186"/>
      <c r="D4" s="186"/>
      <c r="E4" s="187"/>
      <c r="F4" s="188" t="s">
        <v>188</v>
      </c>
      <c r="G4" s="189"/>
      <c r="H4" s="189"/>
      <c r="I4" s="189"/>
      <c r="J4" s="190"/>
    </row>
    <row r="5" spans="1:10" x14ac:dyDescent="0.25">
      <c r="A5" s="185" t="s">
        <v>3</v>
      </c>
      <c r="B5" s="186"/>
      <c r="C5" s="186"/>
      <c r="D5" s="186"/>
      <c r="E5" s="187"/>
      <c r="F5" s="212" t="s">
        <v>238</v>
      </c>
      <c r="G5" s="213"/>
      <c r="H5" s="213"/>
      <c r="I5" s="213"/>
      <c r="J5" s="214"/>
    </row>
    <row r="6" spans="1:10" ht="16.5" customHeight="1" x14ac:dyDescent="0.25">
      <c r="A6" s="185" t="s">
        <v>4</v>
      </c>
      <c r="B6" s="186"/>
      <c r="C6" s="186"/>
      <c r="D6" s="186"/>
      <c r="E6" s="187"/>
      <c r="F6" s="168" t="s">
        <v>233</v>
      </c>
      <c r="G6" s="169"/>
      <c r="H6" s="169"/>
      <c r="I6" s="169"/>
      <c r="J6" s="170"/>
    </row>
    <row r="7" spans="1:10" ht="15" customHeight="1" x14ac:dyDescent="0.25">
      <c r="A7" s="185" t="s">
        <v>5</v>
      </c>
      <c r="B7" s="186"/>
      <c r="C7" s="186"/>
      <c r="D7" s="186"/>
      <c r="E7" s="187"/>
      <c r="F7" s="168" t="str">
        <f>F6</f>
        <v>M/s.Satya Shiv Developers</v>
      </c>
      <c r="G7" s="169"/>
      <c r="H7" s="169"/>
      <c r="I7" s="169"/>
      <c r="J7" s="170"/>
    </row>
    <row r="8" spans="1:10" x14ac:dyDescent="0.25">
      <c r="A8" s="185" t="s">
        <v>6</v>
      </c>
      <c r="B8" s="186"/>
      <c r="C8" s="186"/>
      <c r="D8" s="186"/>
      <c r="E8" s="187"/>
      <c r="F8" s="185" t="s">
        <v>189</v>
      </c>
      <c r="G8" s="186"/>
      <c r="H8" s="186"/>
      <c r="I8" s="186"/>
      <c r="J8" s="187"/>
    </row>
    <row r="9" spans="1:10" x14ac:dyDescent="0.25">
      <c r="A9" s="185" t="s">
        <v>7</v>
      </c>
      <c r="B9" s="186"/>
      <c r="C9" s="186"/>
      <c r="D9" s="186"/>
      <c r="E9" s="187"/>
      <c r="F9" s="185">
        <v>9930244957</v>
      </c>
      <c r="G9" s="186"/>
      <c r="H9" s="186"/>
      <c r="I9" s="186"/>
      <c r="J9" s="187"/>
    </row>
    <row r="10" spans="1:10" x14ac:dyDescent="0.25">
      <c r="A10" s="185" t="s">
        <v>8</v>
      </c>
      <c r="B10" s="186"/>
      <c r="C10" s="186"/>
      <c r="D10" s="186"/>
      <c r="E10" s="187"/>
      <c r="F10" s="238" t="s">
        <v>211</v>
      </c>
      <c r="G10" s="218"/>
      <c r="H10" s="218"/>
      <c r="I10" s="218"/>
      <c r="J10" s="219"/>
    </row>
    <row r="11" spans="1:10" ht="16.5" customHeight="1" x14ac:dyDescent="0.25">
      <c r="A11" s="185" t="s">
        <v>9</v>
      </c>
      <c r="B11" s="186"/>
      <c r="C11" s="186"/>
      <c r="D11" s="186"/>
      <c r="E11" s="187"/>
      <c r="F11" s="215" t="s">
        <v>10</v>
      </c>
      <c r="G11" s="216"/>
      <c r="H11" s="216"/>
      <c r="I11" s="216"/>
      <c r="J11" s="217"/>
    </row>
    <row r="12" spans="1:10" x14ac:dyDescent="0.25">
      <c r="A12" s="185" t="s">
        <v>11</v>
      </c>
      <c r="B12" s="186"/>
      <c r="C12" s="186"/>
      <c r="D12" s="186"/>
      <c r="E12" s="187"/>
      <c r="F12" s="168" t="s">
        <v>190</v>
      </c>
      <c r="G12" s="186"/>
      <c r="H12" s="186"/>
      <c r="I12" s="186"/>
      <c r="J12" s="187"/>
    </row>
    <row r="13" spans="1:10" ht="31.5" customHeight="1" x14ac:dyDescent="0.25">
      <c r="A13" s="167" t="s">
        <v>12</v>
      </c>
      <c r="B13" s="167"/>
      <c r="C13" s="168" t="str">
        <f>CONCATENATE((IF(OR(F8="",F8="NA"),"",F8)),", ",(IF(OR(A14="",A14="NA"),"",A14)),".",(IF(OR(C14="",C14="NA"),"",C14)),", ",(IF(OR(C16="",C15="NA"),"",C15)),", ",(IF(OR(H15="",H15="NA"),"",H15)),", ",(IF(OR(H16="",H16="NA"),"",H16)),".")</f>
        <v>Shree Siddhivinayak Park, Survey No/H.No.66/7, 76/5/P, Internal Road, Murbad, Thane.</v>
      </c>
      <c r="D13" s="169"/>
      <c r="E13" s="169"/>
      <c r="F13" s="169"/>
      <c r="G13" s="169"/>
      <c r="H13" s="169"/>
      <c r="I13" s="169"/>
      <c r="J13" s="170"/>
    </row>
    <row r="14" spans="1:10" ht="15.75" customHeight="1" x14ac:dyDescent="0.25">
      <c r="A14" s="168" t="s">
        <v>234</v>
      </c>
      <c r="B14" s="170"/>
      <c r="C14" s="168" t="s">
        <v>212</v>
      </c>
      <c r="D14" s="169"/>
      <c r="E14" s="169"/>
      <c r="F14" s="169"/>
      <c r="G14" s="169"/>
      <c r="H14" s="169"/>
      <c r="I14" s="169"/>
      <c r="J14" s="170"/>
    </row>
    <row r="15" spans="1:10" ht="15.75" customHeight="1" x14ac:dyDescent="0.25">
      <c r="A15" s="168" t="s">
        <v>13</v>
      </c>
      <c r="B15" s="170"/>
      <c r="C15" s="171" t="s">
        <v>216</v>
      </c>
      <c r="D15" s="171"/>
      <c r="E15" s="171"/>
      <c r="F15" s="172" t="s">
        <v>150</v>
      </c>
      <c r="G15" s="173"/>
      <c r="H15" s="168" t="s">
        <v>191</v>
      </c>
      <c r="I15" s="169"/>
      <c r="J15" s="170"/>
    </row>
    <row r="16" spans="1:10" x14ac:dyDescent="0.25">
      <c r="A16" s="171" t="s">
        <v>15</v>
      </c>
      <c r="B16" s="171"/>
      <c r="C16" s="171" t="s">
        <v>191</v>
      </c>
      <c r="D16" s="171"/>
      <c r="E16" s="171"/>
      <c r="F16" s="172" t="s">
        <v>14</v>
      </c>
      <c r="G16" s="173"/>
      <c r="H16" s="174" t="s">
        <v>192</v>
      </c>
      <c r="I16" s="174"/>
      <c r="J16" s="174"/>
    </row>
    <row r="17" spans="1:10" x14ac:dyDescent="0.25">
      <c r="A17" s="171" t="s">
        <v>151</v>
      </c>
      <c r="B17" s="171"/>
      <c r="C17" s="168" t="s">
        <v>191</v>
      </c>
      <c r="D17" s="169"/>
      <c r="E17" s="170"/>
      <c r="F17" s="172" t="s">
        <v>16</v>
      </c>
      <c r="G17" s="173"/>
      <c r="H17" s="168">
        <v>421401</v>
      </c>
      <c r="I17" s="169"/>
      <c r="J17" s="170"/>
    </row>
    <row r="18" spans="1:10" ht="32.25" customHeight="1" x14ac:dyDescent="0.25">
      <c r="A18" s="171" t="s">
        <v>17</v>
      </c>
      <c r="B18" s="171"/>
      <c r="C18" s="220" t="s">
        <v>217</v>
      </c>
      <c r="D18" s="220"/>
      <c r="E18" s="220"/>
      <c r="F18" s="167" t="s">
        <v>18</v>
      </c>
      <c r="G18" s="167"/>
      <c r="H18" s="216" t="s">
        <v>215</v>
      </c>
      <c r="I18" s="216"/>
      <c r="J18" s="217"/>
    </row>
    <row r="19" spans="1:10" ht="15" customHeight="1" x14ac:dyDescent="0.25">
      <c r="A19" s="172" t="s">
        <v>162</v>
      </c>
      <c r="B19" s="181"/>
      <c r="C19" s="181"/>
      <c r="D19" s="181"/>
      <c r="E19" s="173"/>
      <c r="F19" s="221" t="s">
        <v>19</v>
      </c>
      <c r="G19" s="222"/>
      <c r="H19" s="222"/>
      <c r="I19" s="222"/>
      <c r="J19" s="223"/>
    </row>
    <row r="20" spans="1:10" ht="18.75" customHeight="1" x14ac:dyDescent="0.25">
      <c r="A20" s="182"/>
      <c r="B20" s="183"/>
      <c r="C20" s="183"/>
      <c r="D20" s="183"/>
      <c r="E20" s="184"/>
      <c r="F20" s="224"/>
      <c r="G20" s="225"/>
      <c r="H20" s="225"/>
      <c r="I20" s="225"/>
      <c r="J20" s="226"/>
    </row>
    <row r="21" spans="1:10" ht="15" customHeight="1" x14ac:dyDescent="0.25">
      <c r="A21" s="172" t="s">
        <v>20</v>
      </c>
      <c r="B21" s="181"/>
      <c r="C21" s="181"/>
      <c r="D21" s="181"/>
      <c r="E21" s="173"/>
      <c r="F21" s="172" t="s">
        <v>21</v>
      </c>
      <c r="G21" s="181"/>
      <c r="H21" s="181"/>
      <c r="I21" s="181"/>
      <c r="J21" s="173"/>
    </row>
    <row r="22" spans="1:10" x14ac:dyDescent="0.25">
      <c r="A22" s="182"/>
      <c r="B22" s="183"/>
      <c r="C22" s="183"/>
      <c r="D22" s="183"/>
      <c r="E22" s="184"/>
      <c r="F22" s="182"/>
      <c r="G22" s="183"/>
      <c r="H22" s="183"/>
      <c r="I22" s="183"/>
      <c r="J22" s="184"/>
    </row>
    <row r="23" spans="1:10" ht="15" customHeight="1" x14ac:dyDescent="0.25">
      <c r="A23" s="185" t="s">
        <v>22</v>
      </c>
      <c r="B23" s="186"/>
      <c r="C23" s="186"/>
      <c r="D23" s="186"/>
      <c r="E23" s="187"/>
      <c r="F23" s="188" t="s">
        <v>23</v>
      </c>
      <c r="G23" s="189"/>
      <c r="H23" s="189"/>
      <c r="I23" s="189"/>
      <c r="J23" s="190"/>
    </row>
    <row r="24" spans="1:10" x14ac:dyDescent="0.25">
      <c r="A24" s="185" t="s">
        <v>24</v>
      </c>
      <c r="B24" s="186"/>
      <c r="C24" s="186"/>
      <c r="D24" s="186"/>
      <c r="E24" s="187"/>
      <c r="F24" s="188" t="s">
        <v>25</v>
      </c>
      <c r="G24" s="189"/>
      <c r="H24" s="189"/>
      <c r="I24" s="189"/>
      <c r="J24" s="190"/>
    </row>
    <row r="25" spans="1:10" ht="15" customHeight="1" x14ac:dyDescent="0.25">
      <c r="A25" s="185" t="s">
        <v>26</v>
      </c>
      <c r="B25" s="186"/>
      <c r="C25" s="186"/>
      <c r="D25" s="186"/>
      <c r="E25" s="187"/>
      <c r="F25" s="188" t="s">
        <v>27</v>
      </c>
      <c r="G25" s="189"/>
      <c r="H25" s="189"/>
      <c r="I25" s="189"/>
      <c r="J25" s="190"/>
    </row>
    <row r="26" spans="1:10" x14ac:dyDescent="0.25">
      <c r="A26" s="185" t="s">
        <v>28</v>
      </c>
      <c r="B26" s="186"/>
      <c r="C26" s="186"/>
      <c r="D26" s="186"/>
      <c r="E26" s="187"/>
      <c r="F26" s="188" t="s">
        <v>29</v>
      </c>
      <c r="G26" s="189"/>
      <c r="H26" s="189"/>
      <c r="I26" s="189"/>
      <c r="J26" s="190"/>
    </row>
    <row r="27" spans="1:10" x14ac:dyDescent="0.25">
      <c r="A27" s="227" t="s">
        <v>30</v>
      </c>
      <c r="B27" s="228"/>
      <c r="C27" s="227" t="s">
        <v>31</v>
      </c>
      <c r="D27" s="228"/>
      <c r="E27" s="227" t="s">
        <v>32</v>
      </c>
      <c r="F27" s="228"/>
      <c r="G27" s="227" t="s">
        <v>34</v>
      </c>
      <c r="H27" s="228"/>
      <c r="I27" s="227" t="s">
        <v>33</v>
      </c>
      <c r="J27" s="228"/>
    </row>
    <row r="28" spans="1:10" x14ac:dyDescent="0.25">
      <c r="A28" s="229" t="s">
        <v>35</v>
      </c>
      <c r="B28" s="230"/>
      <c r="C28" s="229" t="s">
        <v>36</v>
      </c>
      <c r="D28" s="230"/>
      <c r="E28" s="229" t="s">
        <v>36</v>
      </c>
      <c r="F28" s="230"/>
      <c r="G28" s="229" t="s">
        <v>36</v>
      </c>
      <c r="H28" s="230"/>
      <c r="I28" s="229" t="s">
        <v>36</v>
      </c>
      <c r="J28" s="230"/>
    </row>
    <row r="29" spans="1:10" x14ac:dyDescent="0.25">
      <c r="A29" s="229" t="s">
        <v>37</v>
      </c>
      <c r="B29" s="230"/>
      <c r="C29" s="229" t="s">
        <v>219</v>
      </c>
      <c r="D29" s="230"/>
      <c r="E29" s="229" t="s">
        <v>219</v>
      </c>
      <c r="F29" s="230"/>
      <c r="G29" s="229" t="s">
        <v>218</v>
      </c>
      <c r="H29" s="230"/>
      <c r="I29" s="229" t="s">
        <v>219</v>
      </c>
      <c r="J29" s="230"/>
    </row>
    <row r="30" spans="1:10" x14ac:dyDescent="0.25">
      <c r="A30" s="185" t="s">
        <v>38</v>
      </c>
      <c r="B30" s="186"/>
      <c r="C30" s="186"/>
      <c r="D30" s="186"/>
      <c r="E30" s="186"/>
      <c r="F30" s="186"/>
      <c r="G30" s="186"/>
      <c r="H30" s="186"/>
      <c r="I30" s="186"/>
      <c r="J30" s="187"/>
    </row>
    <row r="31" spans="1:10" x14ac:dyDescent="0.25">
      <c r="A31" s="185" t="s">
        <v>39</v>
      </c>
      <c r="B31" s="186"/>
      <c r="C31" s="186"/>
      <c r="D31" s="186"/>
      <c r="E31" s="186"/>
      <c r="F31" s="186"/>
      <c r="G31" s="186"/>
      <c r="H31" s="186"/>
      <c r="I31" s="186"/>
      <c r="J31" s="187"/>
    </row>
    <row r="32" spans="1:10" x14ac:dyDescent="0.25">
      <c r="A32" s="185" t="s">
        <v>40</v>
      </c>
      <c r="B32" s="187"/>
      <c r="C32" s="229" t="s">
        <v>41</v>
      </c>
      <c r="D32" s="230"/>
      <c r="E32" s="229">
        <v>19.248933999999998</v>
      </c>
      <c r="F32" s="230"/>
      <c r="G32" s="229" t="s">
        <v>42</v>
      </c>
      <c r="H32" s="230"/>
      <c r="I32" s="229">
        <v>73.394381800000005</v>
      </c>
      <c r="J32" s="230"/>
    </row>
    <row r="33" spans="1:10" x14ac:dyDescent="0.25">
      <c r="A33" s="200" t="s">
        <v>43</v>
      </c>
      <c r="B33" s="201"/>
      <c r="C33" s="201"/>
      <c r="D33" s="201"/>
      <c r="E33" s="201"/>
      <c r="F33" s="201"/>
      <c r="G33" s="201"/>
      <c r="H33" s="201"/>
      <c r="I33" s="201"/>
      <c r="J33" s="202"/>
    </row>
    <row r="34" spans="1:10" ht="15" customHeight="1" x14ac:dyDescent="0.25">
      <c r="A34" s="168" t="s">
        <v>44</v>
      </c>
      <c r="B34" s="169"/>
      <c r="C34" s="169"/>
      <c r="D34" s="169"/>
      <c r="E34" s="170"/>
      <c r="F34" s="343" t="s">
        <v>193</v>
      </c>
      <c r="G34" s="344"/>
      <c r="H34" s="344"/>
      <c r="I34" s="344"/>
      <c r="J34" s="345"/>
    </row>
    <row r="35" spans="1:10" ht="15" customHeight="1" x14ac:dyDescent="0.25">
      <c r="A35" s="182" t="s">
        <v>45</v>
      </c>
      <c r="B35" s="183"/>
      <c r="C35" s="183"/>
      <c r="D35" s="183"/>
      <c r="E35" s="183"/>
      <c r="F35" s="168" t="s">
        <v>46</v>
      </c>
      <c r="G35" s="169"/>
      <c r="H35" s="169"/>
      <c r="I35" s="169"/>
      <c r="J35" s="170"/>
    </row>
    <row r="36" spans="1:10" x14ac:dyDescent="0.25">
      <c r="A36" s="200" t="s">
        <v>47</v>
      </c>
      <c r="B36" s="201"/>
      <c r="C36" s="201"/>
      <c r="D36" s="201"/>
      <c r="E36" s="201"/>
      <c r="F36" s="201"/>
      <c r="G36" s="201"/>
      <c r="H36" s="201"/>
      <c r="I36" s="201"/>
      <c r="J36" s="202"/>
    </row>
    <row r="37" spans="1:10" x14ac:dyDescent="0.25">
      <c r="A37" s="185" t="s">
        <v>48</v>
      </c>
      <c r="B37" s="186"/>
      <c r="C37" s="186"/>
      <c r="D37" s="186"/>
      <c r="E37" s="187"/>
      <c r="F37" s="346">
        <v>5645</v>
      </c>
      <c r="G37" s="347"/>
      <c r="H37" s="347"/>
      <c r="I37" s="347"/>
      <c r="J37" s="348"/>
    </row>
    <row r="38" spans="1:10" x14ac:dyDescent="0.25">
      <c r="A38" s="185" t="s">
        <v>49</v>
      </c>
      <c r="B38" s="186"/>
      <c r="C38" s="186"/>
      <c r="D38" s="186"/>
      <c r="E38" s="187"/>
      <c r="F38" s="340">
        <v>0.9</v>
      </c>
      <c r="G38" s="341"/>
      <c r="H38" s="341"/>
      <c r="I38" s="341"/>
      <c r="J38" s="342"/>
    </row>
    <row r="39" spans="1:10" x14ac:dyDescent="0.25">
      <c r="A39" s="185" t="s">
        <v>50</v>
      </c>
      <c r="B39" s="186"/>
      <c r="C39" s="186"/>
      <c r="D39" s="186"/>
      <c r="E39" s="187"/>
      <c r="F39" s="340">
        <v>0</v>
      </c>
      <c r="G39" s="341"/>
      <c r="H39" s="341"/>
      <c r="I39" s="341"/>
      <c r="J39" s="342"/>
    </row>
    <row r="40" spans="1:10" x14ac:dyDescent="0.25">
      <c r="A40" s="185" t="s">
        <v>51</v>
      </c>
      <c r="B40" s="186"/>
      <c r="C40" s="186"/>
      <c r="D40" s="186"/>
      <c r="E40" s="187"/>
      <c r="F40" s="340">
        <f>F38+F39</f>
        <v>0.9</v>
      </c>
      <c r="G40" s="341"/>
      <c r="H40" s="341"/>
      <c r="I40" s="341"/>
      <c r="J40" s="342"/>
    </row>
    <row r="41" spans="1:10" x14ac:dyDescent="0.25">
      <c r="A41" s="185" t="s">
        <v>52</v>
      </c>
      <c r="B41" s="186"/>
      <c r="C41" s="186"/>
      <c r="D41" s="186"/>
      <c r="E41" s="187"/>
      <c r="F41" s="235">
        <f>F37*F40</f>
        <v>5080.5</v>
      </c>
      <c r="G41" s="236"/>
      <c r="H41" s="236"/>
      <c r="I41" s="236"/>
      <c r="J41" s="237"/>
    </row>
    <row r="42" spans="1:10" x14ac:dyDescent="0.25">
      <c r="A42" s="185" t="s">
        <v>53</v>
      </c>
      <c r="B42" s="186"/>
      <c r="C42" s="186"/>
      <c r="D42" s="186"/>
      <c r="E42" s="187"/>
      <c r="F42" s="238" t="s">
        <v>213</v>
      </c>
      <c r="G42" s="218"/>
      <c r="H42" s="218"/>
      <c r="I42" s="218"/>
      <c r="J42" s="219"/>
    </row>
    <row r="43" spans="1:10" x14ac:dyDescent="0.25">
      <c r="A43" s="200" t="s">
        <v>54</v>
      </c>
      <c r="B43" s="201"/>
      <c r="C43" s="201"/>
      <c r="D43" s="201"/>
      <c r="E43" s="201"/>
      <c r="F43" s="201"/>
      <c r="G43" s="201"/>
      <c r="H43" s="201"/>
      <c r="I43" s="201"/>
      <c r="J43" s="202"/>
    </row>
    <row r="44" spans="1:10" ht="30.75" customHeight="1" x14ac:dyDescent="0.25">
      <c r="A44" s="168" t="s">
        <v>55</v>
      </c>
      <c r="B44" s="170"/>
      <c r="C44" s="203" t="s">
        <v>214</v>
      </c>
      <c r="D44" s="204"/>
      <c r="E44" s="204"/>
      <c r="F44" s="205"/>
      <c r="G44" s="16" t="s">
        <v>56</v>
      </c>
      <c r="H44" s="168" t="s">
        <v>194</v>
      </c>
      <c r="I44" s="169"/>
      <c r="J44" s="170"/>
    </row>
    <row r="45" spans="1:10" ht="31.5" customHeight="1" x14ac:dyDescent="0.25">
      <c r="A45" s="168" t="s">
        <v>57</v>
      </c>
      <c r="B45" s="170"/>
      <c r="C45" s="203" t="str">
        <f>C44</f>
        <v>BS/RKKN/BP/M.MURBAD/T.MURBAD/SSTN/112</v>
      </c>
      <c r="D45" s="204"/>
      <c r="E45" s="204"/>
      <c r="F45" s="205"/>
      <c r="G45" s="16" t="s">
        <v>56</v>
      </c>
      <c r="H45" s="168" t="str">
        <f>H44</f>
        <v>24/01/2017.</v>
      </c>
      <c r="I45" s="169"/>
      <c r="J45" s="170"/>
    </row>
    <row r="46" spans="1:10" ht="80.25" customHeight="1" x14ac:dyDescent="0.25">
      <c r="A46" s="168" t="s">
        <v>58</v>
      </c>
      <c r="B46" s="170"/>
      <c r="C46" s="203" t="s">
        <v>236</v>
      </c>
      <c r="D46" s="262"/>
      <c r="E46" s="262"/>
      <c r="F46" s="263"/>
      <c r="G46" s="11" t="s">
        <v>56</v>
      </c>
      <c r="H46" s="16" t="str">
        <f>H45</f>
        <v>24/01/2017.</v>
      </c>
      <c r="I46" s="349" t="s">
        <v>59</v>
      </c>
      <c r="J46" s="350"/>
    </row>
    <row r="47" spans="1:10" ht="15" customHeight="1" x14ac:dyDescent="0.25">
      <c r="A47" s="168" t="s">
        <v>60</v>
      </c>
      <c r="B47" s="170"/>
      <c r="C47" s="203" t="s">
        <v>160</v>
      </c>
      <c r="D47" s="262"/>
      <c r="E47" s="262"/>
      <c r="F47" s="263" t="s">
        <v>61</v>
      </c>
      <c r="G47" s="16" t="s">
        <v>56</v>
      </c>
      <c r="H47" s="168" t="s">
        <v>36</v>
      </c>
      <c r="I47" s="169" t="s">
        <v>36</v>
      </c>
      <c r="J47" s="170"/>
    </row>
    <row r="48" spans="1:10" x14ac:dyDescent="0.25">
      <c r="A48" s="171" t="s">
        <v>62</v>
      </c>
      <c r="B48" s="171"/>
      <c r="C48" s="171"/>
      <c r="D48" s="251" t="str">
        <f>H46</f>
        <v>24/01/2017.</v>
      </c>
      <c r="E48" s="251"/>
      <c r="F48" s="185" t="s">
        <v>63</v>
      </c>
      <c r="G48" s="252"/>
      <c r="H48" s="238" t="s">
        <v>195</v>
      </c>
      <c r="I48" s="218"/>
      <c r="J48" s="219"/>
    </row>
    <row r="49" spans="1:10" x14ac:dyDescent="0.25">
      <c r="A49" s="254" t="s">
        <v>64</v>
      </c>
      <c r="B49" s="255"/>
      <c r="C49" s="255"/>
      <c r="D49" s="255"/>
      <c r="E49" s="255"/>
      <c r="F49" s="255"/>
      <c r="G49" s="255"/>
      <c r="H49" s="255"/>
      <c r="I49" s="255"/>
      <c r="J49" s="256"/>
    </row>
    <row r="50" spans="1:10" ht="15.75" customHeight="1" x14ac:dyDescent="0.25">
      <c r="A50" s="185" t="s">
        <v>65</v>
      </c>
      <c r="B50" s="186"/>
      <c r="C50" s="187"/>
      <c r="D50" s="229">
        <f>F41</f>
        <v>5080.5</v>
      </c>
      <c r="E50" s="230"/>
      <c r="F50" s="259" t="s">
        <v>66</v>
      </c>
      <c r="G50" s="260"/>
      <c r="H50" s="259" t="s">
        <v>207</v>
      </c>
      <c r="I50" s="351"/>
      <c r="J50" s="260"/>
    </row>
    <row r="51" spans="1:10" ht="33" customHeight="1" x14ac:dyDescent="0.25">
      <c r="A51" s="238" t="s">
        <v>67</v>
      </c>
      <c r="B51" s="218"/>
      <c r="C51" s="257" t="s">
        <v>220</v>
      </c>
      <c r="D51" s="355"/>
      <c r="E51" s="355"/>
      <c r="F51" s="355"/>
      <c r="G51" s="258"/>
      <c r="H51" s="352" t="s">
        <v>68</v>
      </c>
      <c r="I51" s="353"/>
      <c r="J51" s="354"/>
    </row>
    <row r="52" spans="1:10" ht="15.75" customHeight="1" x14ac:dyDescent="0.25">
      <c r="A52" s="185" t="s">
        <v>69</v>
      </c>
      <c r="B52" s="186"/>
      <c r="C52" s="186"/>
      <c r="D52" s="168" t="s">
        <v>70</v>
      </c>
      <c r="E52" s="169"/>
      <c r="F52" s="169"/>
      <c r="G52" s="169"/>
      <c r="H52" s="169"/>
      <c r="I52" s="169"/>
      <c r="J52" s="170"/>
    </row>
    <row r="53" spans="1:10" s="35" customFormat="1" x14ac:dyDescent="0.25">
      <c r="A53" s="238" t="s">
        <v>221</v>
      </c>
      <c r="B53" s="218"/>
      <c r="C53" s="218"/>
      <c r="D53" s="218"/>
      <c r="E53" s="218"/>
      <c r="F53" s="218"/>
      <c r="G53" s="218"/>
      <c r="H53" s="218"/>
      <c r="I53" s="218"/>
      <c r="J53" s="219"/>
    </row>
    <row r="54" spans="1:10" ht="15" customHeight="1" x14ac:dyDescent="0.25">
      <c r="A54" s="360" t="s">
        <v>71</v>
      </c>
      <c r="B54" s="179"/>
      <c r="C54" s="179"/>
      <c r="D54" s="179"/>
      <c r="E54" s="179"/>
      <c r="F54" s="179"/>
      <c r="G54" s="179"/>
      <c r="H54" s="179"/>
      <c r="I54" s="179"/>
      <c r="J54" s="180"/>
    </row>
    <row r="55" spans="1:10" s="35" customFormat="1" ht="33" customHeight="1" x14ac:dyDescent="0.25">
      <c r="A55" s="197" t="s">
        <v>239</v>
      </c>
      <c r="B55" s="198"/>
      <c r="C55" s="198"/>
      <c r="D55" s="198"/>
      <c r="E55" s="198"/>
      <c r="F55" s="198"/>
      <c r="G55" s="198"/>
      <c r="H55" s="198"/>
      <c r="I55" s="198"/>
      <c r="J55" s="199"/>
    </row>
    <row r="56" spans="1:10" ht="15" customHeight="1" x14ac:dyDescent="0.25">
      <c r="A56" s="320"/>
      <c r="B56" s="321"/>
      <c r="C56" s="326" t="s">
        <v>72</v>
      </c>
      <c r="D56" s="327"/>
      <c r="E56" s="328"/>
      <c r="F56" s="326" t="s">
        <v>73</v>
      </c>
      <c r="G56" s="328"/>
      <c r="H56" s="320"/>
      <c r="I56" s="335"/>
      <c r="J56" s="321"/>
    </row>
    <row r="57" spans="1:10" x14ac:dyDescent="0.25">
      <c r="A57" s="322"/>
      <c r="B57" s="323"/>
      <c r="C57" s="326" t="s">
        <v>74</v>
      </c>
      <c r="D57" s="327"/>
      <c r="E57" s="328"/>
      <c r="F57" s="338">
        <f>'A1 '!D6</f>
        <v>1</v>
      </c>
      <c r="G57" s="339"/>
      <c r="H57" s="322"/>
      <c r="I57" s="336"/>
      <c r="J57" s="323"/>
    </row>
    <row r="58" spans="1:10" x14ac:dyDescent="0.25">
      <c r="A58" s="322"/>
      <c r="B58" s="323"/>
      <c r="C58" s="326" t="s">
        <v>75</v>
      </c>
      <c r="D58" s="327"/>
      <c r="E58" s="328"/>
      <c r="F58" s="338">
        <f>'A1 '!D7</f>
        <v>1</v>
      </c>
      <c r="G58" s="339"/>
      <c r="H58" s="322"/>
      <c r="I58" s="336"/>
      <c r="J58" s="323"/>
    </row>
    <row r="59" spans="1:10" x14ac:dyDescent="0.25">
      <c r="A59" s="322"/>
      <c r="B59" s="323"/>
      <c r="C59" s="326" t="s">
        <v>76</v>
      </c>
      <c r="D59" s="327"/>
      <c r="E59" s="328"/>
      <c r="F59" s="338">
        <f>'A1 '!D8</f>
        <v>1</v>
      </c>
      <c r="G59" s="339"/>
      <c r="H59" s="322"/>
      <c r="I59" s="336"/>
      <c r="J59" s="323"/>
    </row>
    <row r="60" spans="1:10" x14ac:dyDescent="0.25">
      <c r="A60" s="322"/>
      <c r="B60" s="323"/>
      <c r="C60" s="326" t="s">
        <v>77</v>
      </c>
      <c r="D60" s="327"/>
      <c r="E60" s="328"/>
      <c r="F60" s="338">
        <f>'A1 '!D9</f>
        <v>1</v>
      </c>
      <c r="G60" s="339"/>
      <c r="H60" s="322"/>
      <c r="I60" s="336"/>
      <c r="J60" s="323"/>
    </row>
    <row r="61" spans="1:10" x14ac:dyDescent="0.25">
      <c r="A61" s="322"/>
      <c r="B61" s="323"/>
      <c r="C61" s="326" t="s">
        <v>78</v>
      </c>
      <c r="D61" s="327"/>
      <c r="E61" s="328"/>
      <c r="F61" s="338">
        <f>'A1 '!D10</f>
        <v>1</v>
      </c>
      <c r="G61" s="339"/>
      <c r="H61" s="322"/>
      <c r="I61" s="336"/>
      <c r="J61" s="323"/>
    </row>
    <row r="62" spans="1:10" ht="15" customHeight="1" x14ac:dyDescent="0.25">
      <c r="A62" s="322"/>
      <c r="B62" s="323"/>
      <c r="C62" s="326" t="s">
        <v>79</v>
      </c>
      <c r="D62" s="327"/>
      <c r="E62" s="328"/>
      <c r="F62" s="338">
        <f>'A1 '!D11</f>
        <v>1</v>
      </c>
      <c r="G62" s="339"/>
      <c r="H62" s="322"/>
      <c r="I62" s="336"/>
      <c r="J62" s="323"/>
    </row>
    <row r="63" spans="1:10" x14ac:dyDescent="0.25">
      <c r="A63" s="324"/>
      <c r="B63" s="325"/>
      <c r="C63" s="326" t="s">
        <v>80</v>
      </c>
      <c r="D63" s="327"/>
      <c r="E63" s="328"/>
      <c r="F63" s="338">
        <f>'A1 '!D12</f>
        <v>1</v>
      </c>
      <c r="G63" s="339"/>
      <c r="H63" s="324"/>
      <c r="I63" s="337"/>
      <c r="J63" s="325"/>
    </row>
    <row r="64" spans="1:10" x14ac:dyDescent="0.25">
      <c r="A64" s="329" t="s">
        <v>81</v>
      </c>
      <c r="B64" s="330"/>
      <c r="C64" s="331"/>
      <c r="D64" s="332">
        <f>'A1 '!B22</f>
        <v>0.95</v>
      </c>
      <c r="E64" s="333"/>
      <c r="F64" s="329" t="s">
        <v>82</v>
      </c>
      <c r="G64" s="330"/>
      <c r="H64" s="331"/>
      <c r="I64" s="332">
        <f>'A1 '!C22</f>
        <v>1</v>
      </c>
      <c r="J64" s="334"/>
    </row>
    <row r="65" spans="1:10" s="35" customFormat="1" ht="32.25" customHeight="1" x14ac:dyDescent="0.25">
      <c r="A65" s="197" t="s">
        <v>240</v>
      </c>
      <c r="B65" s="198"/>
      <c r="C65" s="198"/>
      <c r="D65" s="198"/>
      <c r="E65" s="198"/>
      <c r="F65" s="198"/>
      <c r="G65" s="198"/>
      <c r="H65" s="198"/>
      <c r="I65" s="198"/>
      <c r="J65" s="199"/>
    </row>
    <row r="66" spans="1:10" ht="15" customHeight="1" x14ac:dyDescent="0.25">
      <c r="A66" s="320"/>
      <c r="B66" s="321"/>
      <c r="C66" s="326" t="s">
        <v>72</v>
      </c>
      <c r="D66" s="327"/>
      <c r="E66" s="328"/>
      <c r="F66" s="326" t="s">
        <v>73</v>
      </c>
      <c r="G66" s="328"/>
      <c r="H66" s="320"/>
      <c r="I66" s="335"/>
      <c r="J66" s="321"/>
    </row>
    <row r="67" spans="1:10" x14ac:dyDescent="0.25">
      <c r="A67" s="322"/>
      <c r="B67" s="323"/>
      <c r="C67" s="326" t="s">
        <v>74</v>
      </c>
      <c r="D67" s="327"/>
      <c r="E67" s="328"/>
      <c r="F67" s="338">
        <f>' A2'!D6</f>
        <v>1</v>
      </c>
      <c r="G67" s="339"/>
      <c r="H67" s="322"/>
      <c r="I67" s="336"/>
      <c r="J67" s="323"/>
    </row>
    <row r="68" spans="1:10" x14ac:dyDescent="0.25">
      <c r="A68" s="322"/>
      <c r="B68" s="323"/>
      <c r="C68" s="326" t="s">
        <v>75</v>
      </c>
      <c r="D68" s="327"/>
      <c r="E68" s="328"/>
      <c r="F68" s="338">
        <f>' A2'!D7</f>
        <v>1</v>
      </c>
      <c r="G68" s="339"/>
      <c r="H68" s="322"/>
      <c r="I68" s="336"/>
      <c r="J68" s="323"/>
    </row>
    <row r="69" spans="1:10" x14ac:dyDescent="0.25">
      <c r="A69" s="322"/>
      <c r="B69" s="323"/>
      <c r="C69" s="326" t="s">
        <v>76</v>
      </c>
      <c r="D69" s="327"/>
      <c r="E69" s="328"/>
      <c r="F69" s="338">
        <f>' A2'!D8</f>
        <v>1</v>
      </c>
      <c r="G69" s="339"/>
      <c r="H69" s="322"/>
      <c r="I69" s="336"/>
      <c r="J69" s="323"/>
    </row>
    <row r="70" spans="1:10" x14ac:dyDescent="0.25">
      <c r="A70" s="322"/>
      <c r="B70" s="323"/>
      <c r="C70" s="326" t="s">
        <v>77</v>
      </c>
      <c r="D70" s="327"/>
      <c r="E70" s="328"/>
      <c r="F70" s="338">
        <f>' A2'!D9</f>
        <v>1</v>
      </c>
      <c r="G70" s="339"/>
      <c r="H70" s="322"/>
      <c r="I70" s="336"/>
      <c r="J70" s="323"/>
    </row>
    <row r="71" spans="1:10" x14ac:dyDescent="0.25">
      <c r="A71" s="322"/>
      <c r="B71" s="323"/>
      <c r="C71" s="326" t="s">
        <v>78</v>
      </c>
      <c r="D71" s="327"/>
      <c r="E71" s="328"/>
      <c r="F71" s="338">
        <f>' A2'!D10</f>
        <v>1</v>
      </c>
      <c r="G71" s="339"/>
      <c r="H71" s="322"/>
      <c r="I71" s="336"/>
      <c r="J71" s="323"/>
    </row>
    <row r="72" spans="1:10" ht="15" customHeight="1" x14ac:dyDescent="0.25">
      <c r="A72" s="322"/>
      <c r="B72" s="323"/>
      <c r="C72" s="326" t="s">
        <v>79</v>
      </c>
      <c r="D72" s="327"/>
      <c r="E72" s="328"/>
      <c r="F72" s="338">
        <f>' A2'!D11</f>
        <v>1</v>
      </c>
      <c r="G72" s="339"/>
      <c r="H72" s="322"/>
      <c r="I72" s="336"/>
      <c r="J72" s="323"/>
    </row>
    <row r="73" spans="1:10" x14ac:dyDescent="0.25">
      <c r="A73" s="324"/>
      <c r="B73" s="325"/>
      <c r="C73" s="326" t="s">
        <v>80</v>
      </c>
      <c r="D73" s="327"/>
      <c r="E73" s="328"/>
      <c r="F73" s="338">
        <f>' A2'!D12</f>
        <v>1</v>
      </c>
      <c r="G73" s="339"/>
      <c r="H73" s="324"/>
      <c r="I73" s="337"/>
      <c r="J73" s="325"/>
    </row>
    <row r="74" spans="1:10" x14ac:dyDescent="0.25">
      <c r="A74" s="329" t="s">
        <v>81</v>
      </c>
      <c r="B74" s="330"/>
      <c r="C74" s="331"/>
      <c r="D74" s="332">
        <f>' A2'!B22</f>
        <v>0.95</v>
      </c>
      <c r="E74" s="333"/>
      <c r="F74" s="329" t="s">
        <v>82</v>
      </c>
      <c r="G74" s="330"/>
      <c r="H74" s="331"/>
      <c r="I74" s="332">
        <f>' A2'!C22</f>
        <v>1</v>
      </c>
      <c r="J74" s="334"/>
    </row>
    <row r="75" spans="1:10" x14ac:dyDescent="0.25">
      <c r="A75" s="238" t="s">
        <v>229</v>
      </c>
      <c r="B75" s="218"/>
      <c r="C75" s="218"/>
      <c r="D75" s="218"/>
      <c r="E75" s="218"/>
      <c r="F75" s="218"/>
      <c r="G75" s="218"/>
      <c r="H75" s="218"/>
      <c r="I75" s="218"/>
      <c r="J75" s="219"/>
    </row>
    <row r="76" spans="1:10" x14ac:dyDescent="0.25">
      <c r="A76" s="185" t="s">
        <v>83</v>
      </c>
      <c r="B76" s="186"/>
      <c r="C76" s="186"/>
      <c r="D76" s="186"/>
      <c r="E76" s="186"/>
      <c r="F76" s="186"/>
      <c r="G76" s="186"/>
      <c r="H76" s="186"/>
      <c r="I76" s="186"/>
      <c r="J76" s="187"/>
    </row>
    <row r="77" spans="1:10" ht="15" customHeight="1" x14ac:dyDescent="0.25">
      <c r="A77" s="194" t="s">
        <v>152</v>
      </c>
      <c r="B77" s="196"/>
      <c r="C77" s="197" t="s">
        <v>153</v>
      </c>
      <c r="D77" s="198"/>
      <c r="E77" s="198"/>
      <c r="F77" s="198"/>
      <c r="G77" s="198"/>
      <c r="H77" s="198"/>
      <c r="I77" s="198"/>
      <c r="J77" s="199"/>
    </row>
    <row r="78" spans="1:10" x14ac:dyDescent="0.25">
      <c r="A78" s="200" t="s">
        <v>84</v>
      </c>
      <c r="B78" s="201"/>
      <c r="C78" s="201"/>
      <c r="D78" s="201"/>
      <c r="E78" s="201"/>
      <c r="F78" s="201"/>
      <c r="G78" s="201"/>
      <c r="H78" s="201"/>
      <c r="I78" s="201"/>
      <c r="J78" s="202"/>
    </row>
    <row r="79" spans="1:10" x14ac:dyDescent="0.25">
      <c r="A79" s="185" t="s">
        <v>161</v>
      </c>
      <c r="B79" s="186"/>
      <c r="C79" s="186"/>
      <c r="D79" s="186"/>
      <c r="E79" s="186"/>
      <c r="F79" s="187"/>
      <c r="G79" s="261">
        <v>3000</v>
      </c>
      <c r="H79" s="262"/>
      <c r="I79" s="262"/>
      <c r="J79" s="263"/>
    </row>
    <row r="80" spans="1:10" x14ac:dyDescent="0.25">
      <c r="A80" s="185" t="s">
        <v>85</v>
      </c>
      <c r="B80" s="186"/>
      <c r="C80" s="186"/>
      <c r="D80" s="186"/>
      <c r="E80" s="186"/>
      <c r="F80" s="187"/>
      <c r="G80" s="203" t="s">
        <v>36</v>
      </c>
      <c r="H80" s="204"/>
      <c r="I80" s="204"/>
      <c r="J80" s="205"/>
    </row>
    <row r="81" spans="1:10" x14ac:dyDescent="0.25">
      <c r="A81" s="185" t="s">
        <v>86</v>
      </c>
      <c r="B81" s="186"/>
      <c r="C81" s="186"/>
      <c r="D81" s="186"/>
      <c r="E81" s="186"/>
      <c r="F81" s="187"/>
      <c r="G81" s="203" t="s">
        <v>169</v>
      </c>
      <c r="H81" s="204"/>
      <c r="I81" s="204"/>
      <c r="J81" s="205"/>
    </row>
    <row r="82" spans="1:10" x14ac:dyDescent="0.25">
      <c r="A82" s="185" t="s">
        <v>209</v>
      </c>
      <c r="B82" s="186"/>
      <c r="C82" s="186"/>
      <c r="D82" s="186"/>
      <c r="E82" s="186"/>
      <c r="F82" s="187"/>
      <c r="G82" s="203" t="s">
        <v>208</v>
      </c>
      <c r="H82" s="204"/>
      <c r="I82" s="204"/>
      <c r="J82" s="205"/>
    </row>
    <row r="83" spans="1:10" s="12" customFormat="1" ht="14.45" customHeight="1" x14ac:dyDescent="0.25">
      <c r="A83" s="200" t="s">
        <v>87</v>
      </c>
      <c r="B83" s="201"/>
      <c r="C83" s="201"/>
      <c r="D83" s="201"/>
      <c r="E83" s="201"/>
      <c r="F83" s="202"/>
      <c r="G83" s="261">
        <f>G79*0.8</f>
        <v>2400</v>
      </c>
      <c r="H83" s="262"/>
      <c r="I83" s="262"/>
      <c r="J83" s="263"/>
    </row>
    <row r="84" spans="1:10" s="1" customFormat="1" x14ac:dyDescent="0.25">
      <c r="A84" s="264" t="s">
        <v>145</v>
      </c>
      <c r="B84" s="265"/>
      <c r="C84" s="265"/>
      <c r="D84" s="265"/>
      <c r="E84" s="265"/>
      <c r="F84" s="265"/>
      <c r="G84" s="265"/>
      <c r="H84" s="265"/>
      <c r="I84" s="265"/>
      <c r="J84" s="266"/>
    </row>
    <row r="85" spans="1:10" s="1" customFormat="1" x14ac:dyDescent="0.25">
      <c r="A85" s="267" t="s">
        <v>88</v>
      </c>
      <c r="B85" s="268"/>
      <c r="C85" s="9" t="s">
        <v>185</v>
      </c>
      <c r="D85" s="269" t="s">
        <v>89</v>
      </c>
      <c r="E85" s="270"/>
      <c r="F85" s="271"/>
      <c r="G85" s="267" t="s">
        <v>90</v>
      </c>
      <c r="H85" s="272"/>
      <c r="I85" s="272"/>
      <c r="J85" s="268"/>
    </row>
    <row r="86" spans="1:10" s="1" customFormat="1" x14ac:dyDescent="0.25">
      <c r="A86" s="356" t="s">
        <v>230</v>
      </c>
      <c r="B86" s="357"/>
      <c r="C86" s="32">
        <f>COUNT(D96:E99)*4</f>
        <v>16</v>
      </c>
      <c r="D86" s="285">
        <f>SUM(D96:E99)*4</f>
        <v>5515.0430399999996</v>
      </c>
      <c r="E86" s="286"/>
      <c r="F86" s="287"/>
      <c r="G86" s="288">
        <f>SUM(G96:G99)*4</f>
        <v>9640</v>
      </c>
      <c r="H86" s="289"/>
      <c r="I86" s="289"/>
      <c r="J86" s="290"/>
    </row>
    <row r="87" spans="1:10" s="2" customFormat="1" ht="15.75" customHeight="1" x14ac:dyDescent="0.25">
      <c r="A87" s="356" t="s">
        <v>231</v>
      </c>
      <c r="B87" s="357"/>
      <c r="C87" s="32">
        <f>COUNT(D103:E106)*4</f>
        <v>16</v>
      </c>
      <c r="D87" s="151">
        <f>SUM(D103:E106)*4</f>
        <v>6220.7308800000001</v>
      </c>
      <c r="E87" s="275"/>
      <c r="F87" s="152"/>
      <c r="G87" s="151">
        <f>SUM(G103:G106)*4</f>
        <v>10600</v>
      </c>
      <c r="H87" s="275"/>
      <c r="I87" s="275"/>
      <c r="J87" s="152"/>
    </row>
    <row r="88" spans="1:10" s="1" customFormat="1" x14ac:dyDescent="0.25">
      <c r="A88" s="264" t="s">
        <v>92</v>
      </c>
      <c r="B88" s="265"/>
      <c r="C88" s="36">
        <f>SUM(C86:C87)</f>
        <v>32</v>
      </c>
      <c r="D88" s="278">
        <f>SUM(D86:F87)</f>
        <v>11735.77392</v>
      </c>
      <c r="E88" s="279"/>
      <c r="F88" s="280"/>
      <c r="G88" s="267">
        <f>SUM(G86:J87)</f>
        <v>20240</v>
      </c>
      <c r="H88" s="272"/>
      <c r="I88" s="272"/>
      <c r="J88" s="268"/>
    </row>
    <row r="89" spans="1:10" s="12" customFormat="1" x14ac:dyDescent="0.25">
      <c r="A89" s="209" t="s">
        <v>93</v>
      </c>
      <c r="B89" s="210"/>
      <c r="C89" s="210"/>
      <c r="D89" s="210"/>
      <c r="E89" s="210"/>
      <c r="F89" s="210"/>
      <c r="G89" s="210"/>
      <c r="H89" s="210"/>
      <c r="I89" s="210"/>
      <c r="J89" s="211"/>
    </row>
    <row r="90" spans="1:10" x14ac:dyDescent="0.25">
      <c r="A90" s="209" t="s">
        <v>94</v>
      </c>
      <c r="B90" s="210"/>
      <c r="C90" s="210"/>
      <c r="D90" s="210"/>
      <c r="E90" s="210"/>
      <c r="F90" s="210"/>
      <c r="G90" s="210"/>
      <c r="H90" s="210"/>
      <c r="I90" s="210"/>
      <c r="J90" s="211"/>
    </row>
    <row r="91" spans="1:10" s="35" customFormat="1" ht="70.5" customHeight="1" x14ac:dyDescent="0.25">
      <c r="A91" s="37" t="s">
        <v>235</v>
      </c>
      <c r="B91" s="37" t="s">
        <v>226</v>
      </c>
      <c r="C91" s="37" t="s">
        <v>95</v>
      </c>
      <c r="D91" s="358" t="s">
        <v>96</v>
      </c>
      <c r="E91" s="359"/>
      <c r="F91" s="38" t="s">
        <v>97</v>
      </c>
      <c r="G91" s="37" t="s">
        <v>227</v>
      </c>
      <c r="H91" s="37" t="s">
        <v>98</v>
      </c>
      <c r="I91" s="358" t="s">
        <v>99</v>
      </c>
      <c r="J91" s="359"/>
    </row>
    <row r="92" spans="1:10" s="2" customFormat="1" x14ac:dyDescent="0.25">
      <c r="A92" s="148" t="s">
        <v>223</v>
      </c>
      <c r="B92" s="149"/>
      <c r="C92" s="149"/>
      <c r="D92" s="149"/>
      <c r="E92" s="149"/>
      <c r="F92" s="149"/>
      <c r="G92" s="149"/>
      <c r="H92" s="149"/>
      <c r="I92" s="149"/>
      <c r="J92" s="150"/>
    </row>
    <row r="93" spans="1:10" s="2" customFormat="1" ht="18.75" customHeight="1" x14ac:dyDescent="0.25">
      <c r="A93" s="148" t="s">
        <v>222</v>
      </c>
      <c r="B93" s="149"/>
      <c r="C93" s="149"/>
      <c r="D93" s="149"/>
      <c r="E93" s="149"/>
      <c r="F93" s="149"/>
      <c r="G93" s="149"/>
      <c r="H93" s="149"/>
      <c r="I93" s="149"/>
      <c r="J93" s="150"/>
    </row>
    <row r="94" spans="1:10" s="2" customFormat="1" x14ac:dyDescent="0.25">
      <c r="A94" s="148" t="s">
        <v>243</v>
      </c>
      <c r="B94" s="149"/>
      <c r="C94" s="149"/>
      <c r="D94" s="149"/>
      <c r="E94" s="149"/>
      <c r="F94" s="149"/>
      <c r="G94" s="149"/>
      <c r="H94" s="149"/>
      <c r="I94" s="149"/>
      <c r="J94" s="150"/>
    </row>
    <row r="95" spans="1:10" s="2" customFormat="1" x14ac:dyDescent="0.25">
      <c r="A95" s="148" t="s">
        <v>224</v>
      </c>
      <c r="B95" s="149"/>
      <c r="C95" s="149"/>
      <c r="D95" s="149"/>
      <c r="E95" s="149"/>
      <c r="F95" s="149"/>
      <c r="G95" s="149"/>
      <c r="H95" s="149"/>
      <c r="I95" s="149"/>
      <c r="J95" s="150"/>
    </row>
    <row r="96" spans="1:10" s="2" customFormat="1" x14ac:dyDescent="0.25">
      <c r="A96" s="3">
        <v>1</v>
      </c>
      <c r="B96" s="3">
        <v>1</v>
      </c>
      <c r="C96" s="3" t="s">
        <v>198</v>
      </c>
      <c r="D96" s="151">
        <f>(29.85*10.764)</f>
        <v>321.30540000000002</v>
      </c>
      <c r="E96" s="152"/>
      <c r="F96" s="3">
        <v>0</v>
      </c>
      <c r="G96" s="3">
        <v>600</v>
      </c>
      <c r="H96" s="3" t="s">
        <v>100</v>
      </c>
      <c r="I96" s="136" t="str">
        <f>A95</f>
        <v>1st To 4th Floor</v>
      </c>
      <c r="J96" s="138"/>
    </row>
    <row r="97" spans="1:12" s="2" customFormat="1" x14ac:dyDescent="0.25">
      <c r="A97" s="3">
        <v>2</v>
      </c>
      <c r="B97" s="3">
        <v>2</v>
      </c>
      <c r="C97" s="3" t="s">
        <v>198</v>
      </c>
      <c r="D97" s="151">
        <f>(32.5*10.764)</f>
        <v>349.83</v>
      </c>
      <c r="E97" s="152"/>
      <c r="F97" s="3">
        <v>0</v>
      </c>
      <c r="G97" s="3">
        <v>600</v>
      </c>
      <c r="H97" s="3" t="s">
        <v>100</v>
      </c>
      <c r="I97" s="139"/>
      <c r="J97" s="141"/>
    </row>
    <row r="98" spans="1:12" s="2" customFormat="1" x14ac:dyDescent="0.25">
      <c r="A98" s="3">
        <v>3</v>
      </c>
      <c r="B98" s="3">
        <v>3</v>
      </c>
      <c r="C98" s="3" t="s">
        <v>198</v>
      </c>
      <c r="D98" s="151">
        <f>(33.24*10.764)</f>
        <v>357.79536000000002</v>
      </c>
      <c r="E98" s="152"/>
      <c r="F98" s="3">
        <v>0</v>
      </c>
      <c r="G98" s="3">
        <v>610</v>
      </c>
      <c r="H98" s="3" t="s">
        <v>100</v>
      </c>
      <c r="I98" s="139"/>
      <c r="J98" s="141"/>
    </row>
    <row r="99" spans="1:12" s="2" customFormat="1" x14ac:dyDescent="0.25">
      <c r="A99" s="3">
        <v>4</v>
      </c>
      <c r="B99" s="3">
        <v>4</v>
      </c>
      <c r="C99" s="3" t="s">
        <v>198</v>
      </c>
      <c r="D99" s="151">
        <f>(32.5*10.764)</f>
        <v>349.83</v>
      </c>
      <c r="E99" s="152"/>
      <c r="F99" s="3">
        <v>0</v>
      </c>
      <c r="G99" s="3">
        <v>600</v>
      </c>
      <c r="H99" s="3" t="s">
        <v>100</v>
      </c>
      <c r="I99" s="142"/>
      <c r="J99" s="144"/>
    </row>
    <row r="100" spans="1:12" s="2" customFormat="1" x14ac:dyDescent="0.25">
      <c r="A100" s="148" t="s">
        <v>225</v>
      </c>
      <c r="B100" s="149"/>
      <c r="C100" s="149"/>
      <c r="D100" s="149"/>
      <c r="E100" s="149"/>
      <c r="F100" s="149"/>
      <c r="G100" s="149"/>
      <c r="H100" s="149"/>
      <c r="I100" s="149"/>
      <c r="J100" s="150"/>
    </row>
    <row r="101" spans="1:12" s="2" customFormat="1" x14ac:dyDescent="0.25">
      <c r="A101" s="148" t="s">
        <v>196</v>
      </c>
      <c r="B101" s="149"/>
      <c r="C101" s="149"/>
      <c r="D101" s="149"/>
      <c r="E101" s="149"/>
      <c r="F101" s="149"/>
      <c r="G101" s="149"/>
      <c r="H101" s="149"/>
      <c r="I101" s="149"/>
      <c r="J101" s="150"/>
    </row>
    <row r="102" spans="1:12" s="2" customFormat="1" x14ac:dyDescent="0.25">
      <c r="A102" s="148" t="s">
        <v>224</v>
      </c>
      <c r="B102" s="149"/>
      <c r="C102" s="149"/>
      <c r="D102" s="149"/>
      <c r="E102" s="149"/>
      <c r="F102" s="149"/>
      <c r="G102" s="149"/>
      <c r="H102" s="149"/>
      <c r="I102" s="149"/>
      <c r="J102" s="150"/>
    </row>
    <row r="103" spans="1:12" s="2" customFormat="1" x14ac:dyDescent="0.25">
      <c r="A103" s="3">
        <v>1</v>
      </c>
      <c r="B103" s="3">
        <v>5</v>
      </c>
      <c r="C103" s="3" t="s">
        <v>198</v>
      </c>
      <c r="D103" s="151">
        <f>(32.5*10.764)</f>
        <v>349.83</v>
      </c>
      <c r="E103" s="152"/>
      <c r="F103" s="3">
        <v>0</v>
      </c>
      <c r="G103" s="3">
        <v>600</v>
      </c>
      <c r="H103" s="3" t="s">
        <v>100</v>
      </c>
      <c r="I103" s="136" t="str">
        <f>A95</f>
        <v>1st To 4th Floor</v>
      </c>
      <c r="J103" s="138"/>
    </row>
    <row r="104" spans="1:12" s="2" customFormat="1" x14ac:dyDescent="0.25">
      <c r="A104" s="3">
        <v>2</v>
      </c>
      <c r="B104" s="3">
        <v>6</v>
      </c>
      <c r="C104" s="3" t="s">
        <v>199</v>
      </c>
      <c r="D104" s="151">
        <f>(46.94*10.764)</f>
        <v>505.26215999999994</v>
      </c>
      <c r="E104" s="152"/>
      <c r="F104" s="3">
        <v>0</v>
      </c>
      <c r="G104" s="3">
        <v>850</v>
      </c>
      <c r="H104" s="3" t="s">
        <v>100</v>
      </c>
      <c r="I104" s="139"/>
      <c r="J104" s="141"/>
    </row>
    <row r="105" spans="1:12" s="2" customFormat="1" x14ac:dyDescent="0.25">
      <c r="A105" s="3">
        <v>3</v>
      </c>
      <c r="B105" s="3">
        <v>7</v>
      </c>
      <c r="C105" s="3" t="s">
        <v>198</v>
      </c>
      <c r="D105" s="151">
        <f>(32.52*10.764)</f>
        <v>350.04527999999999</v>
      </c>
      <c r="E105" s="152"/>
      <c r="F105" s="3">
        <v>0</v>
      </c>
      <c r="G105" s="3">
        <v>600</v>
      </c>
      <c r="H105" s="3" t="s">
        <v>100</v>
      </c>
      <c r="I105" s="139"/>
      <c r="J105" s="141"/>
    </row>
    <row r="106" spans="1:12" s="2" customFormat="1" x14ac:dyDescent="0.25">
      <c r="A106" s="3">
        <v>4</v>
      </c>
      <c r="B106" s="3">
        <v>8</v>
      </c>
      <c r="C106" s="3" t="s">
        <v>198</v>
      </c>
      <c r="D106" s="151">
        <f>(32.52*10.764)</f>
        <v>350.04527999999999</v>
      </c>
      <c r="E106" s="152"/>
      <c r="F106" s="3">
        <v>0</v>
      </c>
      <c r="G106" s="3">
        <v>600</v>
      </c>
      <c r="H106" s="3" t="s">
        <v>100</v>
      </c>
      <c r="I106" s="142"/>
      <c r="J106" s="144"/>
    </row>
    <row r="107" spans="1:12" s="2" customFormat="1" hidden="1" x14ac:dyDescent="0.25">
      <c r="A107" s="148" t="s">
        <v>200</v>
      </c>
      <c r="B107" s="149"/>
      <c r="C107" s="149"/>
      <c r="D107" s="149"/>
      <c r="E107" s="149"/>
      <c r="F107" s="149"/>
      <c r="G107" s="149"/>
      <c r="H107" s="149"/>
      <c r="I107" s="149"/>
      <c r="J107" s="150"/>
    </row>
    <row r="108" spans="1:12" s="2" customFormat="1" hidden="1" x14ac:dyDescent="0.25">
      <c r="A108" s="148" t="s">
        <v>196</v>
      </c>
      <c r="B108" s="149"/>
      <c r="C108" s="149"/>
      <c r="D108" s="149"/>
      <c r="E108" s="149"/>
      <c r="F108" s="149"/>
      <c r="G108" s="149"/>
      <c r="H108" s="149"/>
      <c r="I108" s="149"/>
      <c r="J108" s="150"/>
    </row>
    <row r="109" spans="1:12" s="2" customFormat="1" hidden="1" x14ac:dyDescent="0.25">
      <c r="A109" s="148" t="s">
        <v>197</v>
      </c>
      <c r="B109" s="149"/>
      <c r="C109" s="149"/>
      <c r="D109" s="149"/>
      <c r="E109" s="149"/>
      <c r="F109" s="149"/>
      <c r="G109" s="149"/>
      <c r="H109" s="149"/>
      <c r="I109" s="149"/>
      <c r="J109" s="150"/>
    </row>
    <row r="110" spans="1:12" s="2" customFormat="1" hidden="1" x14ac:dyDescent="0.25">
      <c r="A110" s="148" t="s">
        <v>201</v>
      </c>
      <c r="B110" s="149"/>
      <c r="C110" s="149"/>
      <c r="D110" s="149"/>
      <c r="E110" s="149"/>
      <c r="F110" s="149"/>
      <c r="G110" s="149"/>
      <c r="H110" s="149"/>
      <c r="I110" s="149"/>
      <c r="J110" s="150"/>
    </row>
    <row r="111" spans="1:12" s="2" customFormat="1" hidden="1" x14ac:dyDescent="0.25">
      <c r="A111" s="3">
        <v>1</v>
      </c>
      <c r="B111" s="3">
        <v>1</v>
      </c>
      <c r="C111" s="3" t="s">
        <v>198</v>
      </c>
      <c r="D111" s="151">
        <f>(32.5*10.764)</f>
        <v>349.83</v>
      </c>
      <c r="E111" s="152"/>
      <c r="F111" s="3">
        <v>0</v>
      </c>
      <c r="G111" s="3">
        <v>600</v>
      </c>
      <c r="H111" s="3" t="s">
        <v>100</v>
      </c>
      <c r="I111" s="136" t="str">
        <f>A109</f>
        <v>1st,2nd,3rd&amp;4th Floor</v>
      </c>
      <c r="J111" s="138"/>
      <c r="L111" s="2">
        <f>SUM(D103:E106)*4</f>
        <v>6220.7308800000001</v>
      </c>
    </row>
    <row r="112" spans="1:12" s="2" customFormat="1" hidden="1" x14ac:dyDescent="0.25">
      <c r="A112" s="3">
        <v>2</v>
      </c>
      <c r="B112" s="3">
        <v>2</v>
      </c>
      <c r="C112" s="3" t="s">
        <v>198</v>
      </c>
      <c r="D112" s="151">
        <f>(32.5*10.764)</f>
        <v>349.83</v>
      </c>
      <c r="E112" s="152"/>
      <c r="F112" s="3">
        <v>0</v>
      </c>
      <c r="G112" s="3">
        <v>600</v>
      </c>
      <c r="H112" s="3" t="s">
        <v>100</v>
      </c>
      <c r="I112" s="139"/>
      <c r="J112" s="141"/>
    </row>
    <row r="113" spans="1:12" s="2" customFormat="1" hidden="1" x14ac:dyDescent="0.25">
      <c r="A113" s="3">
        <v>3</v>
      </c>
      <c r="B113" s="3">
        <v>3</v>
      </c>
      <c r="C113" s="3" t="s">
        <v>198</v>
      </c>
      <c r="D113" s="151">
        <f t="shared" ref="D113:D119" si="0">(32.5*10.764)</f>
        <v>349.83</v>
      </c>
      <c r="E113" s="152"/>
      <c r="F113" s="3">
        <v>0</v>
      </c>
      <c r="G113" s="3">
        <v>600</v>
      </c>
      <c r="H113" s="3" t="s">
        <v>100</v>
      </c>
      <c r="I113" s="139"/>
      <c r="J113" s="141"/>
      <c r="L113" s="2">
        <f>SUM(D111:E114)*4</f>
        <v>5597.28</v>
      </c>
    </row>
    <row r="114" spans="1:12" s="2" customFormat="1" hidden="1" x14ac:dyDescent="0.25">
      <c r="A114" s="3">
        <v>4</v>
      </c>
      <c r="B114" s="3">
        <v>4</v>
      </c>
      <c r="C114" s="3" t="s">
        <v>198</v>
      </c>
      <c r="D114" s="151">
        <f t="shared" si="0"/>
        <v>349.83</v>
      </c>
      <c r="E114" s="152"/>
      <c r="F114" s="3">
        <v>0</v>
      </c>
      <c r="G114" s="3">
        <v>600</v>
      </c>
      <c r="H114" s="3" t="s">
        <v>100</v>
      </c>
      <c r="I114" s="142"/>
      <c r="J114" s="144"/>
    </row>
    <row r="115" spans="1:12" s="2" customFormat="1" hidden="1" x14ac:dyDescent="0.25">
      <c r="A115" s="148" t="s">
        <v>202</v>
      </c>
      <c r="B115" s="149"/>
      <c r="C115" s="149"/>
      <c r="D115" s="149"/>
      <c r="E115" s="149"/>
      <c r="F115" s="149"/>
      <c r="G115" s="149"/>
      <c r="H115" s="149"/>
      <c r="I115" s="149"/>
      <c r="J115" s="150"/>
    </row>
    <row r="116" spans="1:12" s="2" customFormat="1" hidden="1" x14ac:dyDescent="0.25">
      <c r="A116" s="3">
        <v>1</v>
      </c>
      <c r="B116" s="3">
        <v>1</v>
      </c>
      <c r="C116" s="3" t="s">
        <v>198</v>
      </c>
      <c r="D116" s="151">
        <f t="shared" si="0"/>
        <v>349.83</v>
      </c>
      <c r="E116" s="152"/>
      <c r="F116" s="3">
        <v>0</v>
      </c>
      <c r="G116" s="3">
        <v>600</v>
      </c>
      <c r="H116" s="3" t="s">
        <v>100</v>
      </c>
      <c r="I116" s="136" t="str">
        <f>A109</f>
        <v>1st,2nd,3rd&amp;4th Floor</v>
      </c>
      <c r="J116" s="138"/>
    </row>
    <row r="117" spans="1:12" s="2" customFormat="1" hidden="1" x14ac:dyDescent="0.25">
      <c r="A117" s="3">
        <v>2</v>
      </c>
      <c r="B117" s="3">
        <v>2</v>
      </c>
      <c r="C117" s="3" t="s">
        <v>198</v>
      </c>
      <c r="D117" s="151">
        <f t="shared" si="0"/>
        <v>349.83</v>
      </c>
      <c r="E117" s="152"/>
      <c r="F117" s="3">
        <v>0</v>
      </c>
      <c r="G117" s="3">
        <v>600</v>
      </c>
      <c r="H117" s="3" t="s">
        <v>100</v>
      </c>
      <c r="I117" s="139"/>
      <c r="J117" s="141"/>
    </row>
    <row r="118" spans="1:12" s="2" customFormat="1" hidden="1" x14ac:dyDescent="0.25">
      <c r="A118" s="3">
        <v>3</v>
      </c>
      <c r="B118" s="3">
        <v>3</v>
      </c>
      <c r="C118" s="3" t="s">
        <v>198</v>
      </c>
      <c r="D118" s="151">
        <f t="shared" si="0"/>
        <v>349.83</v>
      </c>
      <c r="E118" s="152"/>
      <c r="F118" s="3">
        <v>0</v>
      </c>
      <c r="G118" s="3">
        <v>600</v>
      </c>
      <c r="H118" s="3" t="s">
        <v>100</v>
      </c>
      <c r="I118" s="139"/>
      <c r="J118" s="141"/>
      <c r="L118" s="2">
        <f>SUM(D116:E119)*4</f>
        <v>5597.28</v>
      </c>
    </row>
    <row r="119" spans="1:12" s="2" customFormat="1" hidden="1" x14ac:dyDescent="0.25">
      <c r="A119" s="3">
        <v>4</v>
      </c>
      <c r="B119" s="3">
        <v>4</v>
      </c>
      <c r="C119" s="3" t="s">
        <v>198</v>
      </c>
      <c r="D119" s="151">
        <f t="shared" si="0"/>
        <v>349.83</v>
      </c>
      <c r="E119" s="152"/>
      <c r="F119" s="3">
        <v>0</v>
      </c>
      <c r="G119" s="3">
        <v>600</v>
      </c>
      <c r="H119" s="3" t="s">
        <v>100</v>
      </c>
      <c r="I119" s="142"/>
      <c r="J119" s="144"/>
    </row>
    <row r="120" spans="1:12" s="2" customFormat="1" hidden="1" x14ac:dyDescent="0.25">
      <c r="A120" s="148" t="s">
        <v>203</v>
      </c>
      <c r="B120" s="149"/>
      <c r="C120" s="149"/>
      <c r="D120" s="149"/>
      <c r="E120" s="149"/>
      <c r="F120" s="149"/>
      <c r="G120" s="149"/>
      <c r="H120" s="149"/>
      <c r="I120" s="149"/>
      <c r="J120" s="150"/>
    </row>
    <row r="121" spans="1:12" s="2" customFormat="1" hidden="1" x14ac:dyDescent="0.25">
      <c r="A121" s="148" t="s">
        <v>196</v>
      </c>
      <c r="B121" s="149"/>
      <c r="C121" s="149"/>
      <c r="D121" s="149"/>
      <c r="E121" s="149"/>
      <c r="F121" s="149"/>
      <c r="G121" s="149"/>
      <c r="H121" s="149"/>
      <c r="I121" s="149"/>
      <c r="J121" s="150"/>
    </row>
    <row r="122" spans="1:12" s="2" customFormat="1" hidden="1" x14ac:dyDescent="0.25">
      <c r="A122" s="148" t="s">
        <v>197</v>
      </c>
      <c r="B122" s="149"/>
      <c r="C122" s="149"/>
      <c r="D122" s="149"/>
      <c r="E122" s="149"/>
      <c r="F122" s="149"/>
      <c r="G122" s="149"/>
      <c r="H122" s="149"/>
      <c r="I122" s="149"/>
      <c r="J122" s="150"/>
    </row>
    <row r="123" spans="1:12" s="2" customFormat="1" hidden="1" x14ac:dyDescent="0.25">
      <c r="A123" s="148" t="s">
        <v>204</v>
      </c>
      <c r="B123" s="149"/>
      <c r="C123" s="149"/>
      <c r="D123" s="149"/>
      <c r="E123" s="149"/>
      <c r="F123" s="149"/>
      <c r="G123" s="149"/>
      <c r="H123" s="149"/>
      <c r="I123" s="149"/>
      <c r="J123" s="150"/>
    </row>
    <row r="124" spans="1:12" s="2" customFormat="1" hidden="1" x14ac:dyDescent="0.25">
      <c r="A124" s="3">
        <v>1</v>
      </c>
      <c r="B124" s="3">
        <v>1</v>
      </c>
      <c r="C124" s="3" t="s">
        <v>198</v>
      </c>
      <c r="D124" s="151">
        <f>(34.27*10.764)</f>
        <v>368.88228000000004</v>
      </c>
      <c r="E124" s="152"/>
      <c r="F124" s="3">
        <v>0</v>
      </c>
      <c r="G124" s="3">
        <v>630</v>
      </c>
      <c r="H124" s="3" t="s">
        <v>100</v>
      </c>
      <c r="I124" s="136" t="str">
        <f>A122</f>
        <v>1st,2nd,3rd&amp;4th Floor</v>
      </c>
      <c r="J124" s="138"/>
    </row>
    <row r="125" spans="1:12" s="2" customFormat="1" hidden="1" x14ac:dyDescent="0.25">
      <c r="A125" s="3">
        <v>2</v>
      </c>
      <c r="B125" s="3">
        <v>2</v>
      </c>
      <c r="C125" s="3" t="s">
        <v>198</v>
      </c>
      <c r="D125" s="151">
        <f>(33.5*10.764)</f>
        <v>360.59399999999999</v>
      </c>
      <c r="E125" s="152"/>
      <c r="F125" s="3">
        <v>0</v>
      </c>
      <c r="G125" s="3">
        <v>630</v>
      </c>
      <c r="H125" s="3" t="s">
        <v>100</v>
      </c>
      <c r="I125" s="139"/>
      <c r="J125" s="141"/>
      <c r="L125" s="2">
        <f>SUM(D124:E129)*4</f>
        <v>9083.0937599999997</v>
      </c>
    </row>
    <row r="126" spans="1:12" s="2" customFormat="1" hidden="1" x14ac:dyDescent="0.25">
      <c r="A126" s="34">
        <v>3</v>
      </c>
      <c r="B126" s="34">
        <v>3</v>
      </c>
      <c r="C126" s="34" t="s">
        <v>199</v>
      </c>
      <c r="D126" s="361">
        <f>(47.56*10.764)</f>
        <v>511.93583999999998</v>
      </c>
      <c r="E126" s="362"/>
      <c r="F126" s="34">
        <v>0</v>
      </c>
      <c r="G126" s="34">
        <f>D126*1.45+F126</f>
        <v>742.30696799999998</v>
      </c>
      <c r="H126" s="3" t="s">
        <v>100</v>
      </c>
      <c r="I126" s="139"/>
      <c r="J126" s="141"/>
    </row>
    <row r="127" spans="1:12" s="2" customFormat="1" hidden="1" x14ac:dyDescent="0.25">
      <c r="A127" s="34">
        <v>4</v>
      </c>
      <c r="B127" s="34">
        <v>4</v>
      </c>
      <c r="C127" s="34" t="s">
        <v>198</v>
      </c>
      <c r="D127" s="361">
        <f>(33.05*10.764)</f>
        <v>355.75019999999995</v>
      </c>
      <c r="E127" s="362"/>
      <c r="F127" s="34">
        <v>0</v>
      </c>
      <c r="G127" s="34">
        <f>D127*1.45+F127</f>
        <v>515.83778999999993</v>
      </c>
      <c r="H127" s="3" t="s">
        <v>100</v>
      </c>
      <c r="I127" s="139"/>
      <c r="J127" s="141"/>
    </row>
    <row r="128" spans="1:12" s="2" customFormat="1" hidden="1" x14ac:dyDescent="0.25">
      <c r="A128" s="3">
        <v>5</v>
      </c>
      <c r="B128" s="3">
        <v>5</v>
      </c>
      <c r="C128" s="3" t="s">
        <v>198</v>
      </c>
      <c r="D128" s="151">
        <f>(32.58*10.764)</f>
        <v>350.69111999999996</v>
      </c>
      <c r="E128" s="152"/>
      <c r="F128" s="3">
        <v>0</v>
      </c>
      <c r="G128" s="3">
        <v>620</v>
      </c>
      <c r="H128" s="3" t="s">
        <v>100</v>
      </c>
      <c r="I128" s="139"/>
      <c r="J128" s="141"/>
    </row>
    <row r="129" spans="1:12" s="2" customFormat="1" hidden="1" x14ac:dyDescent="0.25">
      <c r="A129" s="3">
        <v>6</v>
      </c>
      <c r="B129" s="3">
        <v>6</v>
      </c>
      <c r="C129" s="3" t="s">
        <v>198</v>
      </c>
      <c r="D129" s="151">
        <f>(30*10.764)</f>
        <v>322.91999999999996</v>
      </c>
      <c r="E129" s="152"/>
      <c r="F129" s="3">
        <v>0</v>
      </c>
      <c r="G129" s="3">
        <v>585</v>
      </c>
      <c r="H129" s="3" t="s">
        <v>100</v>
      </c>
      <c r="I129" s="142"/>
      <c r="J129" s="144"/>
    </row>
    <row r="130" spans="1:12" s="2" customFormat="1" hidden="1" x14ac:dyDescent="0.25">
      <c r="A130" s="148" t="s">
        <v>205</v>
      </c>
      <c r="B130" s="149"/>
      <c r="C130" s="149"/>
      <c r="D130" s="149"/>
      <c r="E130" s="149"/>
      <c r="F130" s="149"/>
      <c r="G130" s="149"/>
      <c r="H130" s="149"/>
      <c r="I130" s="149"/>
      <c r="J130" s="150"/>
    </row>
    <row r="131" spans="1:12" s="2" customFormat="1" hidden="1" x14ac:dyDescent="0.25">
      <c r="A131" s="3">
        <v>1</v>
      </c>
      <c r="B131" s="3">
        <v>7</v>
      </c>
      <c r="C131" s="3" t="s">
        <v>198</v>
      </c>
      <c r="D131" s="151">
        <f>(30*10.764)</f>
        <v>322.91999999999996</v>
      </c>
      <c r="E131" s="152"/>
      <c r="F131" s="3">
        <v>0</v>
      </c>
      <c r="G131" s="3">
        <v>585</v>
      </c>
      <c r="H131" s="3" t="s">
        <v>100</v>
      </c>
      <c r="I131" s="136" t="str">
        <f>A122</f>
        <v>1st,2nd,3rd&amp;4th Floor</v>
      </c>
      <c r="J131" s="138"/>
    </row>
    <row r="132" spans="1:12" s="2" customFormat="1" hidden="1" x14ac:dyDescent="0.25">
      <c r="A132" s="3">
        <v>2</v>
      </c>
      <c r="B132" s="3">
        <v>8</v>
      </c>
      <c r="C132" s="3" t="s">
        <v>198</v>
      </c>
      <c r="D132" s="151">
        <f>(32.7*10.764)</f>
        <v>351.9828</v>
      </c>
      <c r="E132" s="152"/>
      <c r="F132" s="3">
        <v>0</v>
      </c>
      <c r="G132" s="3">
        <v>630</v>
      </c>
      <c r="H132" s="3" t="s">
        <v>100</v>
      </c>
      <c r="I132" s="139"/>
      <c r="J132" s="141"/>
    </row>
    <row r="133" spans="1:12" s="2" customFormat="1" hidden="1" x14ac:dyDescent="0.25">
      <c r="A133" s="3">
        <v>3</v>
      </c>
      <c r="B133" s="3">
        <v>9</v>
      </c>
      <c r="C133" s="3" t="s">
        <v>198</v>
      </c>
      <c r="D133" s="151">
        <f>(35*10.764)</f>
        <v>376.73999999999995</v>
      </c>
      <c r="E133" s="152"/>
      <c r="F133" s="3">
        <v>0</v>
      </c>
      <c r="G133" s="3">
        <v>630</v>
      </c>
      <c r="H133" s="3" t="s">
        <v>100</v>
      </c>
      <c r="I133" s="139"/>
      <c r="J133" s="141"/>
      <c r="L133" s="2">
        <f>SUM(D131:E136)*4</f>
        <v>9168.3446399999975</v>
      </c>
    </row>
    <row r="134" spans="1:12" s="2" customFormat="1" hidden="1" x14ac:dyDescent="0.25">
      <c r="A134" s="3">
        <v>4</v>
      </c>
      <c r="B134" s="3">
        <v>10</v>
      </c>
      <c r="C134" s="3" t="s">
        <v>199</v>
      </c>
      <c r="D134" s="151">
        <f>(49.23*10.764)</f>
        <v>529.91171999999995</v>
      </c>
      <c r="E134" s="152"/>
      <c r="F134" s="3">
        <v>0</v>
      </c>
      <c r="G134" s="3">
        <v>890</v>
      </c>
      <c r="H134" s="3" t="s">
        <v>100</v>
      </c>
      <c r="I134" s="139"/>
      <c r="J134" s="141"/>
    </row>
    <row r="135" spans="1:12" s="2" customFormat="1" hidden="1" x14ac:dyDescent="0.25">
      <c r="A135" s="3">
        <v>5</v>
      </c>
      <c r="B135" s="3">
        <v>11</v>
      </c>
      <c r="C135" s="3" t="s">
        <v>198</v>
      </c>
      <c r="D135" s="151">
        <f>(32.29*10.764)</f>
        <v>347.56955999999997</v>
      </c>
      <c r="E135" s="152"/>
      <c r="F135" s="3">
        <v>0</v>
      </c>
      <c r="G135" s="3">
        <v>615</v>
      </c>
      <c r="H135" s="3" t="s">
        <v>100</v>
      </c>
      <c r="I135" s="139"/>
      <c r="J135" s="141"/>
    </row>
    <row r="136" spans="1:12" s="2" customFormat="1" hidden="1" x14ac:dyDescent="0.25">
      <c r="A136" s="3">
        <v>6</v>
      </c>
      <c r="B136" s="3">
        <v>12</v>
      </c>
      <c r="C136" s="3" t="s">
        <v>198</v>
      </c>
      <c r="D136" s="151">
        <f>(33.72*10.764)</f>
        <v>362.96207999999996</v>
      </c>
      <c r="E136" s="152"/>
      <c r="F136" s="3">
        <v>0</v>
      </c>
      <c r="G136" s="3">
        <v>615</v>
      </c>
      <c r="H136" s="3" t="s">
        <v>100</v>
      </c>
      <c r="I136" s="142"/>
      <c r="J136" s="144"/>
    </row>
    <row r="137" spans="1:12" s="2" customFormat="1" hidden="1" x14ac:dyDescent="0.25">
      <c r="A137" s="148" t="s">
        <v>206</v>
      </c>
      <c r="B137" s="149"/>
      <c r="C137" s="149"/>
      <c r="D137" s="149"/>
      <c r="E137" s="149"/>
      <c r="F137" s="149"/>
      <c r="G137" s="149"/>
      <c r="H137" s="149"/>
      <c r="I137" s="149"/>
      <c r="J137" s="150"/>
    </row>
    <row r="138" spans="1:12" s="2" customFormat="1" hidden="1" x14ac:dyDescent="0.25">
      <c r="A138" s="3">
        <v>1</v>
      </c>
      <c r="B138" s="3">
        <v>13</v>
      </c>
      <c r="C138" s="3" t="s">
        <v>198</v>
      </c>
      <c r="D138" s="151">
        <f>(33.27*10.764)</f>
        <v>358.11828000000003</v>
      </c>
      <c r="E138" s="152"/>
      <c r="F138" s="3">
        <v>0</v>
      </c>
      <c r="G138" s="3">
        <v>625</v>
      </c>
      <c r="H138" s="3" t="s">
        <v>100</v>
      </c>
      <c r="I138" s="136" t="str">
        <f>A122</f>
        <v>1st,2nd,3rd&amp;4th Floor</v>
      </c>
      <c r="J138" s="138"/>
    </row>
    <row r="139" spans="1:12" s="2" customFormat="1" hidden="1" x14ac:dyDescent="0.25">
      <c r="A139" s="3">
        <v>2</v>
      </c>
      <c r="B139" s="3">
        <v>14</v>
      </c>
      <c r="C139" s="3" t="s">
        <v>198</v>
      </c>
      <c r="D139" s="151">
        <f>(33.96*10.764)</f>
        <v>365.54543999999999</v>
      </c>
      <c r="E139" s="152"/>
      <c r="F139" s="3">
        <v>0</v>
      </c>
      <c r="G139" s="3">
        <v>620</v>
      </c>
      <c r="H139" s="3" t="s">
        <v>100</v>
      </c>
      <c r="I139" s="139"/>
      <c r="J139" s="141"/>
      <c r="L139" s="2">
        <f>SUM(D138:E141)*4</f>
        <v>5693.2948799999995</v>
      </c>
    </row>
    <row r="140" spans="1:12" s="2" customFormat="1" hidden="1" x14ac:dyDescent="0.25">
      <c r="A140" s="3">
        <v>3</v>
      </c>
      <c r="B140" s="3">
        <v>15</v>
      </c>
      <c r="C140" s="3" t="s">
        <v>198</v>
      </c>
      <c r="D140" s="151">
        <f>(32.5*10.764)</f>
        <v>349.83</v>
      </c>
      <c r="E140" s="152"/>
      <c r="F140" s="3">
        <v>0</v>
      </c>
      <c r="G140" s="3">
        <v>615</v>
      </c>
      <c r="H140" s="3" t="s">
        <v>100</v>
      </c>
      <c r="I140" s="139"/>
      <c r="J140" s="141"/>
    </row>
    <row r="141" spans="1:12" s="2" customFormat="1" hidden="1" x14ac:dyDescent="0.25">
      <c r="A141" s="3">
        <v>4</v>
      </c>
      <c r="B141" s="3">
        <v>16</v>
      </c>
      <c r="C141" s="3" t="s">
        <v>198</v>
      </c>
      <c r="D141" s="151">
        <f>(32.5*10.764)</f>
        <v>349.83</v>
      </c>
      <c r="E141" s="152"/>
      <c r="F141" s="3">
        <v>0</v>
      </c>
      <c r="G141" s="3">
        <v>615</v>
      </c>
      <c r="H141" s="3" t="s">
        <v>100</v>
      </c>
      <c r="I141" s="142"/>
      <c r="J141" s="144"/>
    </row>
    <row r="142" spans="1:12" s="2" customFormat="1" hidden="1" x14ac:dyDescent="0.25">
      <c r="A142" s="151"/>
      <c r="B142" s="152"/>
      <c r="C142" s="3"/>
      <c r="D142" s="151"/>
      <c r="E142" s="152"/>
      <c r="F142" s="3"/>
      <c r="G142" s="3"/>
      <c r="H142" s="3" t="s">
        <v>100</v>
      </c>
      <c r="I142" s="151"/>
      <c r="J142" s="152"/>
    </row>
    <row r="143" spans="1:12" s="1" customFormat="1" x14ac:dyDescent="0.25">
      <c r="A143" s="296" t="s">
        <v>110</v>
      </c>
      <c r="B143" s="296"/>
      <c r="C143" s="296"/>
      <c r="D143" s="296"/>
      <c r="E143" s="296"/>
      <c r="F143" s="296"/>
      <c r="G143" s="296"/>
      <c r="H143" s="296"/>
      <c r="I143" s="296"/>
      <c r="J143" s="296"/>
    </row>
    <row r="144" spans="1:12" s="39" customFormat="1" ht="113.25" customHeight="1" x14ac:dyDescent="0.25">
      <c r="A144" s="297" t="s">
        <v>232</v>
      </c>
      <c r="B144" s="297"/>
      <c r="C144" s="297"/>
      <c r="D144" s="297"/>
      <c r="E144" s="297"/>
      <c r="F144" s="297"/>
      <c r="G144" s="297"/>
      <c r="H144" s="297"/>
      <c r="I144" s="297"/>
      <c r="J144" s="297"/>
    </row>
    <row r="145" spans="1:10" x14ac:dyDescent="0.25">
      <c r="A145" s="298" t="s">
        <v>101</v>
      </c>
      <c r="B145" s="299"/>
      <c r="C145" s="299"/>
      <c r="D145" s="299"/>
      <c r="E145" s="299"/>
      <c r="F145" s="299"/>
      <c r="G145" s="299"/>
      <c r="H145" s="299"/>
      <c r="I145" s="299"/>
      <c r="J145" s="300"/>
    </row>
    <row r="146" spans="1:10" x14ac:dyDescent="0.25">
      <c r="A146" s="185" t="s">
        <v>102</v>
      </c>
      <c r="B146" s="186"/>
      <c r="C146" s="186"/>
      <c r="D146" s="186"/>
      <c r="E146" s="186"/>
      <c r="F146" s="186"/>
      <c r="G146" s="186"/>
      <c r="H146" s="186"/>
      <c r="I146" s="186"/>
      <c r="J146" s="187"/>
    </row>
    <row r="147" spans="1:10" ht="15.75" customHeight="1" x14ac:dyDescent="0.25">
      <c r="A147" s="298" t="s">
        <v>103</v>
      </c>
      <c r="B147" s="299"/>
      <c r="C147" s="299"/>
      <c r="D147" s="299"/>
      <c r="E147" s="299"/>
      <c r="F147" s="299"/>
      <c r="G147" s="299"/>
      <c r="H147" s="299"/>
      <c r="I147" s="299"/>
      <c r="J147" s="300"/>
    </row>
    <row r="148" spans="1:10" x14ac:dyDescent="0.25">
      <c r="A148" s="185" t="s">
        <v>104</v>
      </c>
      <c r="B148" s="186"/>
      <c r="C148" s="186"/>
      <c r="D148" s="186"/>
      <c r="E148" s="186"/>
      <c r="F148" s="186"/>
      <c r="G148" s="186"/>
      <c r="H148" s="186"/>
      <c r="I148" s="186"/>
      <c r="J148" s="187"/>
    </row>
    <row r="149" spans="1:10" x14ac:dyDescent="0.25">
      <c r="A149" s="185" t="s">
        <v>105</v>
      </c>
      <c r="B149" s="186"/>
      <c r="C149" s="186"/>
      <c r="D149" s="186"/>
      <c r="E149" s="186"/>
      <c r="F149" s="186"/>
      <c r="G149" s="186"/>
      <c r="H149" s="186"/>
      <c r="I149" s="186"/>
      <c r="J149" s="187"/>
    </row>
    <row r="150" spans="1:10" x14ac:dyDescent="0.25">
      <c r="A150" s="185" t="s">
        <v>106</v>
      </c>
      <c r="B150" s="186"/>
      <c r="C150" s="186"/>
      <c r="D150" s="186"/>
      <c r="E150" s="186"/>
      <c r="F150" s="186"/>
      <c r="G150" s="186"/>
      <c r="H150" s="186"/>
      <c r="I150" s="186"/>
      <c r="J150" s="187"/>
    </row>
    <row r="151" spans="1:10" ht="35.25" customHeight="1" x14ac:dyDescent="0.25">
      <c r="A151" s="168" t="s">
        <v>107</v>
      </c>
      <c r="B151" s="169"/>
      <c r="C151" s="169"/>
      <c r="D151" s="169"/>
      <c r="E151" s="169"/>
      <c r="F151" s="169"/>
      <c r="G151" s="169"/>
      <c r="H151" s="169"/>
      <c r="I151" s="169"/>
      <c r="J151" s="170"/>
    </row>
    <row r="152" spans="1:10" s="35" customFormat="1" x14ac:dyDescent="0.25">
      <c r="A152" s="301" t="s">
        <v>183</v>
      </c>
      <c r="B152" s="301"/>
      <c r="C152" s="301" t="s">
        <v>228</v>
      </c>
      <c r="D152" s="301"/>
      <c r="E152" s="301" t="s">
        <v>184</v>
      </c>
      <c r="F152" s="301"/>
      <c r="G152" s="301"/>
      <c r="H152" s="301" t="s">
        <v>210</v>
      </c>
      <c r="I152" s="301"/>
      <c r="J152" s="301"/>
    </row>
    <row r="153" spans="1:10" x14ac:dyDescent="0.25">
      <c r="A153" s="302" t="s">
        <v>187</v>
      </c>
      <c r="B153" s="303"/>
      <c r="C153" s="303"/>
      <c r="D153" s="303"/>
      <c r="E153" s="303"/>
      <c r="F153" s="303"/>
      <c r="G153" s="303"/>
      <c r="H153" s="303"/>
      <c r="I153" s="303"/>
      <c r="J153" s="304"/>
    </row>
    <row r="154" spans="1:10" x14ac:dyDescent="0.25">
      <c r="A154" s="305"/>
      <c r="B154" s="306"/>
      <c r="C154" s="306"/>
      <c r="D154" s="306"/>
      <c r="E154" s="306"/>
      <c r="F154" s="306"/>
      <c r="G154" s="306"/>
      <c r="H154" s="306"/>
      <c r="I154" s="306"/>
      <c r="J154" s="307"/>
    </row>
    <row r="155" spans="1:10" x14ac:dyDescent="0.25">
      <c r="A155" s="305"/>
      <c r="B155" s="306"/>
      <c r="C155" s="306"/>
      <c r="D155" s="306"/>
      <c r="E155" s="306"/>
      <c r="F155" s="306"/>
      <c r="G155" s="306"/>
      <c r="H155" s="306"/>
      <c r="I155" s="306"/>
      <c r="J155" s="307"/>
    </row>
    <row r="156" spans="1:10" x14ac:dyDescent="0.25">
      <c r="A156" s="308"/>
      <c r="B156" s="309"/>
      <c r="C156" s="309"/>
      <c r="D156" s="309"/>
      <c r="E156" s="309"/>
      <c r="F156" s="309"/>
      <c r="G156" s="309"/>
      <c r="H156" s="309"/>
      <c r="I156" s="309"/>
      <c r="J156" s="310"/>
    </row>
    <row r="157" spans="1:10" x14ac:dyDescent="0.25">
      <c r="A157" s="33"/>
      <c r="B157" s="33"/>
      <c r="C157" s="33"/>
      <c r="D157" s="33"/>
      <c r="E157" s="33"/>
      <c r="F157" s="33"/>
      <c r="G157" s="33"/>
      <c r="H157" s="33"/>
      <c r="I157" s="33"/>
      <c r="J157" s="33"/>
    </row>
    <row r="158" spans="1:10" x14ac:dyDescent="0.25">
      <c r="A158" s="33"/>
      <c r="B158" s="33"/>
      <c r="C158" s="33"/>
      <c r="D158" s="33"/>
      <c r="E158" s="33"/>
      <c r="F158" s="33"/>
      <c r="G158" s="33"/>
      <c r="H158" s="33"/>
      <c r="I158" s="33"/>
      <c r="J158" s="33"/>
    </row>
    <row r="159" spans="1:10" x14ac:dyDescent="0.25">
      <c r="A159" s="33"/>
      <c r="B159" s="33"/>
      <c r="C159" s="33"/>
      <c r="D159" s="33"/>
      <c r="E159" s="33"/>
      <c r="F159" s="33"/>
      <c r="G159" s="33"/>
      <c r="H159" s="33"/>
      <c r="I159" s="33"/>
      <c r="J159" s="33"/>
    </row>
    <row r="160" spans="1:10" x14ac:dyDescent="0.25">
      <c r="A160" s="33"/>
      <c r="B160" s="33"/>
      <c r="C160" s="33"/>
      <c r="D160" s="33"/>
      <c r="E160" s="33"/>
      <c r="F160" s="33"/>
      <c r="G160" s="33"/>
      <c r="H160" s="33"/>
      <c r="I160" s="33"/>
      <c r="J160" s="33"/>
    </row>
    <row r="161" spans="1:10" x14ac:dyDescent="0.25">
      <c r="A161" s="33"/>
      <c r="B161" s="33"/>
      <c r="C161" s="33"/>
      <c r="D161" s="33"/>
      <c r="E161" s="33"/>
      <c r="F161" s="33"/>
      <c r="G161" s="33"/>
      <c r="H161" s="33"/>
      <c r="I161" s="33"/>
      <c r="J161" s="33"/>
    </row>
    <row r="162" spans="1:10" x14ac:dyDescent="0.25">
      <c r="A162" s="33"/>
      <c r="B162" s="33"/>
      <c r="C162" s="33"/>
      <c r="D162" s="33"/>
      <c r="E162" s="33"/>
      <c r="F162" s="33"/>
      <c r="G162" s="33"/>
      <c r="H162" s="33"/>
      <c r="I162" s="33"/>
      <c r="J162" s="33"/>
    </row>
    <row r="163" spans="1:10" x14ac:dyDescent="0.25">
      <c r="A163" s="33"/>
      <c r="B163" s="33"/>
      <c r="C163" s="33"/>
      <c r="D163" s="33"/>
      <c r="E163" s="33"/>
      <c r="F163" s="33"/>
      <c r="G163" s="33"/>
      <c r="H163" s="33"/>
      <c r="I163" s="33"/>
      <c r="J163" s="33"/>
    </row>
    <row r="164" spans="1:10" x14ac:dyDescent="0.25">
      <c r="A164" s="33"/>
      <c r="B164" s="33"/>
      <c r="C164" s="33"/>
      <c r="D164" s="33"/>
      <c r="E164" s="33"/>
      <c r="F164" s="33"/>
      <c r="G164" s="33"/>
      <c r="H164" s="33"/>
      <c r="I164" s="33"/>
      <c r="J164" s="33"/>
    </row>
    <row r="165" spans="1:10" x14ac:dyDescent="0.25">
      <c r="A165" s="33"/>
      <c r="B165" s="33"/>
      <c r="C165" s="33"/>
      <c r="D165" s="33"/>
      <c r="E165" s="33"/>
      <c r="F165" s="33"/>
      <c r="G165" s="33"/>
      <c r="H165" s="33"/>
      <c r="I165" s="33"/>
      <c r="J165" s="33"/>
    </row>
    <row r="166" spans="1:10" x14ac:dyDescent="0.25">
      <c r="A166" s="33"/>
      <c r="B166" s="33"/>
      <c r="C166" s="33"/>
      <c r="D166" s="33"/>
      <c r="E166" s="33"/>
      <c r="F166" s="33"/>
      <c r="G166" s="33"/>
      <c r="H166" s="33"/>
      <c r="I166" s="33"/>
      <c r="J166" s="33"/>
    </row>
    <row r="167" spans="1:10" x14ac:dyDescent="0.25">
      <c r="A167" s="33"/>
      <c r="B167" s="33"/>
      <c r="C167" s="33"/>
      <c r="D167" s="33"/>
      <c r="E167" s="33"/>
      <c r="F167" s="33"/>
      <c r="G167" s="33"/>
      <c r="H167" s="33"/>
      <c r="I167" s="33"/>
      <c r="J167" s="33"/>
    </row>
    <row r="168" spans="1:10" x14ac:dyDescent="0.25">
      <c r="A168" s="33"/>
      <c r="B168" s="33"/>
      <c r="C168" s="33"/>
      <c r="D168" s="33"/>
      <c r="E168" s="33"/>
      <c r="F168" s="33"/>
      <c r="G168" s="33"/>
      <c r="H168" s="33"/>
      <c r="I168" s="33"/>
      <c r="J168" s="33"/>
    </row>
    <row r="169" spans="1:10" x14ac:dyDescent="0.25">
      <c r="A169" s="33"/>
      <c r="B169" s="33"/>
      <c r="C169" s="33"/>
      <c r="D169" s="33"/>
      <c r="E169" s="33"/>
      <c r="F169" s="33"/>
      <c r="G169" s="33"/>
      <c r="H169" s="33"/>
      <c r="I169" s="33"/>
      <c r="J169" s="33"/>
    </row>
    <row r="170" spans="1:10" x14ac:dyDescent="0.25">
      <c r="A170" s="33"/>
      <c r="B170" s="33"/>
      <c r="C170" s="33"/>
      <c r="D170" s="33"/>
      <c r="E170" s="33"/>
      <c r="F170" s="33"/>
      <c r="G170" s="33"/>
      <c r="H170" s="33"/>
      <c r="I170" s="33"/>
      <c r="J170" s="33"/>
    </row>
    <row r="171" spans="1:10" x14ac:dyDescent="0.25">
      <c r="A171" s="33"/>
      <c r="B171" s="33"/>
      <c r="C171" s="33"/>
      <c r="D171" s="33"/>
      <c r="E171" s="33"/>
      <c r="F171" s="33"/>
      <c r="G171" s="33"/>
      <c r="H171" s="33"/>
      <c r="I171" s="33"/>
      <c r="J171" s="33"/>
    </row>
    <row r="172" spans="1:10" x14ac:dyDescent="0.25">
      <c r="A172" s="33"/>
      <c r="B172" s="33"/>
      <c r="C172" s="33"/>
      <c r="D172" s="33"/>
      <c r="E172" s="33"/>
      <c r="F172" s="33"/>
      <c r="G172" s="33"/>
      <c r="H172" s="33"/>
      <c r="I172" s="33"/>
      <c r="J172" s="33"/>
    </row>
    <row r="173" spans="1:10" x14ac:dyDescent="0.25">
      <c r="A173" s="33"/>
      <c r="B173" s="33"/>
      <c r="C173" s="33"/>
      <c r="D173" s="33"/>
      <c r="E173" s="33"/>
      <c r="F173" s="33"/>
      <c r="G173" s="33"/>
      <c r="H173" s="33"/>
      <c r="I173" s="33"/>
      <c r="J173" s="33"/>
    </row>
    <row r="174" spans="1:10" x14ac:dyDescent="0.25">
      <c r="A174" s="33"/>
      <c r="B174" s="33"/>
      <c r="C174" s="33"/>
      <c r="D174" s="33"/>
      <c r="E174" s="33"/>
      <c r="F174" s="33"/>
      <c r="G174" s="33"/>
      <c r="H174" s="33"/>
      <c r="I174" s="33"/>
      <c r="J174" s="33"/>
    </row>
    <row r="175" spans="1:10" x14ac:dyDescent="0.25">
      <c r="A175" s="33"/>
      <c r="B175" s="33"/>
      <c r="C175" s="33"/>
      <c r="D175" s="33"/>
      <c r="E175" s="33"/>
      <c r="F175" s="33"/>
      <c r="G175" s="33"/>
      <c r="H175" s="33"/>
      <c r="I175" s="33"/>
      <c r="J175" s="33"/>
    </row>
    <row r="176" spans="1:10" x14ac:dyDescent="0.25">
      <c r="A176" s="33"/>
      <c r="B176" s="33"/>
      <c r="C176" s="33"/>
      <c r="D176" s="33"/>
      <c r="E176" s="33"/>
      <c r="F176" s="33"/>
      <c r="G176" s="33"/>
      <c r="H176" s="33"/>
      <c r="I176" s="33"/>
      <c r="J176" s="33"/>
    </row>
    <row r="177" spans="1:10" x14ac:dyDescent="0.25">
      <c r="A177" s="33"/>
      <c r="B177" s="33"/>
      <c r="C177" s="33"/>
      <c r="D177" s="33"/>
      <c r="E177" s="33"/>
      <c r="F177" s="33"/>
      <c r="G177" s="33"/>
      <c r="H177" s="33"/>
      <c r="I177" s="33"/>
      <c r="J177" s="33"/>
    </row>
    <row r="178" spans="1:10" x14ac:dyDescent="0.25">
      <c r="A178" s="33"/>
      <c r="B178" s="33"/>
      <c r="C178" s="33"/>
      <c r="D178" s="33"/>
      <c r="E178" s="33"/>
      <c r="F178" s="33"/>
      <c r="G178" s="33"/>
      <c r="H178" s="33"/>
      <c r="I178" s="33"/>
      <c r="J178" s="33"/>
    </row>
    <row r="179" spans="1:10" ht="15" customHeight="1" x14ac:dyDescent="0.25">
      <c r="A179" s="13"/>
      <c r="B179" s="14"/>
      <c r="C179" s="14"/>
      <c r="D179" s="14"/>
      <c r="E179" s="14"/>
      <c r="F179" s="14"/>
      <c r="G179" s="14"/>
      <c r="H179" s="14"/>
      <c r="I179" s="14"/>
      <c r="J179" s="14"/>
    </row>
    <row r="180" spans="1:10" x14ac:dyDescent="0.25">
      <c r="A180" s="13" t="s">
        <v>108</v>
      </c>
      <c r="B180" s="14"/>
      <c r="C180" s="14"/>
      <c r="D180" s="13" t="str">
        <f>F8</f>
        <v>Shree Siddhivinayak Park</v>
      </c>
      <c r="G180" s="14"/>
      <c r="H180" s="14"/>
      <c r="I180" s="14"/>
      <c r="J180" s="14"/>
    </row>
    <row r="181" spans="1:10" x14ac:dyDescent="0.25">
      <c r="A181" s="14"/>
      <c r="B181" s="14"/>
      <c r="C181" s="14"/>
      <c r="D181" s="14"/>
      <c r="E181" s="14"/>
      <c r="F181" s="14"/>
      <c r="G181" s="14"/>
      <c r="H181" s="14"/>
      <c r="I181" s="14"/>
      <c r="J181" s="14"/>
    </row>
    <row r="182" spans="1:10" x14ac:dyDescent="0.25">
      <c r="A182" s="14"/>
      <c r="B182" s="14"/>
      <c r="C182" s="14"/>
      <c r="D182" s="14"/>
      <c r="E182" s="14"/>
      <c r="F182" s="14"/>
      <c r="G182" s="14"/>
      <c r="H182" s="14"/>
      <c r="I182" s="14"/>
      <c r="J182" s="14"/>
    </row>
    <row r="183" spans="1:10" ht="15" customHeight="1" x14ac:dyDescent="0.25"/>
    <row r="196" spans="3:8" x14ac:dyDescent="0.25">
      <c r="C196" s="40" t="s">
        <v>241</v>
      </c>
      <c r="G196" s="90" t="s">
        <v>242</v>
      </c>
      <c r="H196" s="90"/>
    </row>
    <row r="222" spans="1:1" x14ac:dyDescent="0.25">
      <c r="A222" s="15" t="s">
        <v>109</v>
      </c>
    </row>
  </sheetData>
  <mergeCells count="276">
    <mergeCell ref="G196:H196"/>
    <mergeCell ref="A151:J151"/>
    <mergeCell ref="A143:J143"/>
    <mergeCell ref="A144:J144"/>
    <mergeCell ref="A145:J145"/>
    <mergeCell ref="A146:J146"/>
    <mergeCell ref="D127:E127"/>
    <mergeCell ref="I124:J129"/>
    <mergeCell ref="A130:J130"/>
    <mergeCell ref="I131:J136"/>
    <mergeCell ref="D133:E133"/>
    <mergeCell ref="D134:E134"/>
    <mergeCell ref="D131:E131"/>
    <mergeCell ref="D132:E132"/>
    <mergeCell ref="D128:E128"/>
    <mergeCell ref="D129:E129"/>
    <mergeCell ref="D126:E126"/>
    <mergeCell ref="A142:B142"/>
    <mergeCell ref="D142:E142"/>
    <mergeCell ref="I142:J142"/>
    <mergeCell ref="D140:E140"/>
    <mergeCell ref="D141:E141"/>
    <mergeCell ref="D138:E138"/>
    <mergeCell ref="D139:E139"/>
    <mergeCell ref="A147:J147"/>
    <mergeCell ref="A148:J148"/>
    <mergeCell ref="A149:J149"/>
    <mergeCell ref="A150:J150"/>
    <mergeCell ref="F63:G63"/>
    <mergeCell ref="A78:J78"/>
    <mergeCell ref="A79:F79"/>
    <mergeCell ref="G79:J79"/>
    <mergeCell ref="A82:F82"/>
    <mergeCell ref="G82:J82"/>
    <mergeCell ref="A80:F80"/>
    <mergeCell ref="G80:J80"/>
    <mergeCell ref="A81:F81"/>
    <mergeCell ref="G81:J81"/>
    <mergeCell ref="A76:J76"/>
    <mergeCell ref="A77:B77"/>
    <mergeCell ref="C77:J77"/>
    <mergeCell ref="A120:J120"/>
    <mergeCell ref="A121:J121"/>
    <mergeCell ref="D135:E135"/>
    <mergeCell ref="D136:E136"/>
    <mergeCell ref="A137:J137"/>
    <mergeCell ref="I138:J141"/>
    <mergeCell ref="D117:E117"/>
    <mergeCell ref="F41:J41"/>
    <mergeCell ref="A42:E42"/>
    <mergeCell ref="F42:J42"/>
    <mergeCell ref="A43:J43"/>
    <mergeCell ref="A87:B87"/>
    <mergeCell ref="D87:F87"/>
    <mergeCell ref="G87:J87"/>
    <mergeCell ref="A51:B51"/>
    <mergeCell ref="A52:C52"/>
    <mergeCell ref="D52:J52"/>
    <mergeCell ref="A55:J55"/>
    <mergeCell ref="A56:B63"/>
    <mergeCell ref="H56:J63"/>
    <mergeCell ref="C63:E63"/>
    <mergeCell ref="C60:E60"/>
    <mergeCell ref="F60:G60"/>
    <mergeCell ref="A53:J53"/>
    <mergeCell ref="A54:J54"/>
    <mergeCell ref="C56:E56"/>
    <mergeCell ref="F56:G56"/>
    <mergeCell ref="C57:E57"/>
    <mergeCell ref="C68:E68"/>
    <mergeCell ref="F68:G68"/>
    <mergeCell ref="C69:E69"/>
    <mergeCell ref="D125:E125"/>
    <mergeCell ref="D118:E118"/>
    <mergeCell ref="D119:E119"/>
    <mergeCell ref="D105:E105"/>
    <mergeCell ref="I103:J106"/>
    <mergeCell ref="A107:J107"/>
    <mergeCell ref="A108:J108"/>
    <mergeCell ref="A109:J109"/>
    <mergeCell ref="A110:J110"/>
    <mergeCell ref="A115:J115"/>
    <mergeCell ref="I116:J119"/>
    <mergeCell ref="D103:E103"/>
    <mergeCell ref="D106:E106"/>
    <mergeCell ref="D104:E104"/>
    <mergeCell ref="D114:E114"/>
    <mergeCell ref="D112:E112"/>
    <mergeCell ref="D113:E113"/>
    <mergeCell ref="I111:J114"/>
    <mergeCell ref="D111:E111"/>
    <mergeCell ref="A122:J122"/>
    <mergeCell ref="A123:J123"/>
    <mergeCell ref="D116:E116"/>
    <mergeCell ref="D124:E124"/>
    <mergeCell ref="D98:E98"/>
    <mergeCell ref="D99:E99"/>
    <mergeCell ref="D97:E97"/>
    <mergeCell ref="D96:E96"/>
    <mergeCell ref="A100:J100"/>
    <mergeCell ref="A101:J101"/>
    <mergeCell ref="A102:J102"/>
    <mergeCell ref="D91:E91"/>
    <mergeCell ref="I91:J91"/>
    <mergeCell ref="A93:J93"/>
    <mergeCell ref="A92:J92"/>
    <mergeCell ref="A94:J94"/>
    <mergeCell ref="A95:J95"/>
    <mergeCell ref="I96:J99"/>
    <mergeCell ref="A84:J84"/>
    <mergeCell ref="A86:B86"/>
    <mergeCell ref="A85:B85"/>
    <mergeCell ref="D85:F85"/>
    <mergeCell ref="G85:J85"/>
    <mergeCell ref="D86:F86"/>
    <mergeCell ref="G86:J86"/>
    <mergeCell ref="C70:E70"/>
    <mergeCell ref="F70:G70"/>
    <mergeCell ref="C71:E71"/>
    <mergeCell ref="F71:G71"/>
    <mergeCell ref="C72:E72"/>
    <mergeCell ref="F72:G72"/>
    <mergeCell ref="C73:E73"/>
    <mergeCell ref="F73:G73"/>
    <mergeCell ref="C61:E61"/>
    <mergeCell ref="F61:G61"/>
    <mergeCell ref="C62:E62"/>
    <mergeCell ref="F62:G62"/>
    <mergeCell ref="A64:C64"/>
    <mergeCell ref="D64:E64"/>
    <mergeCell ref="F64:H64"/>
    <mergeCell ref="I64:J64"/>
    <mergeCell ref="A65:J65"/>
    <mergeCell ref="A49:J49"/>
    <mergeCell ref="A50:C50"/>
    <mergeCell ref="D50:E50"/>
    <mergeCell ref="F50:G50"/>
    <mergeCell ref="H50:J50"/>
    <mergeCell ref="C58:E58"/>
    <mergeCell ref="F58:G58"/>
    <mergeCell ref="C59:E59"/>
    <mergeCell ref="F59:G59"/>
    <mergeCell ref="H51:J51"/>
    <mergeCell ref="C51:G51"/>
    <mergeCell ref="F57:G57"/>
    <mergeCell ref="A36:J36"/>
    <mergeCell ref="H47:J47"/>
    <mergeCell ref="A47:B47"/>
    <mergeCell ref="C47:F47"/>
    <mergeCell ref="A48:C48"/>
    <mergeCell ref="D48:E48"/>
    <mergeCell ref="F48:G48"/>
    <mergeCell ref="H48:J48"/>
    <mergeCell ref="A37:E37"/>
    <mergeCell ref="F37:J37"/>
    <mergeCell ref="H44:J44"/>
    <mergeCell ref="H45:J45"/>
    <mergeCell ref="I46:J46"/>
    <mergeCell ref="A45:B45"/>
    <mergeCell ref="C45:F45"/>
    <mergeCell ref="A46:B46"/>
    <mergeCell ref="C46:F46"/>
    <mergeCell ref="A44:B44"/>
    <mergeCell ref="C44:F44"/>
    <mergeCell ref="A39:E39"/>
    <mergeCell ref="F39:J39"/>
    <mergeCell ref="A40:E40"/>
    <mergeCell ref="F40:J40"/>
    <mergeCell ref="A41:E41"/>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J1"/>
    <mergeCell ref="A2:J2"/>
    <mergeCell ref="A3:E3"/>
    <mergeCell ref="F3:J3"/>
    <mergeCell ref="A4:E4"/>
    <mergeCell ref="A8:E8"/>
    <mergeCell ref="F8:J8"/>
    <mergeCell ref="A9:E9"/>
    <mergeCell ref="F9:J9"/>
    <mergeCell ref="F4:J4"/>
    <mergeCell ref="A28:B28"/>
    <mergeCell ref="C28:D28"/>
    <mergeCell ref="E28:F28"/>
    <mergeCell ref="G28:H28"/>
    <mergeCell ref="I28:J28"/>
    <mergeCell ref="A38:E38"/>
    <mergeCell ref="F38:J38"/>
    <mergeCell ref="A34:E34"/>
    <mergeCell ref="F34:J34"/>
    <mergeCell ref="A30:J30"/>
    <mergeCell ref="A29:B29"/>
    <mergeCell ref="C29:D29"/>
    <mergeCell ref="E29:F29"/>
    <mergeCell ref="G29:H29"/>
    <mergeCell ref="I29:J29"/>
    <mergeCell ref="A31:J31"/>
    <mergeCell ref="A32:B32"/>
    <mergeCell ref="C32:D32"/>
    <mergeCell ref="E32:F32"/>
    <mergeCell ref="G32:H32"/>
    <mergeCell ref="I32:J32"/>
    <mergeCell ref="A33:J33"/>
    <mergeCell ref="A35:E35"/>
    <mergeCell ref="F35:J35"/>
    <mergeCell ref="A16:B16"/>
    <mergeCell ref="C16:E16"/>
    <mergeCell ref="F16:G16"/>
    <mergeCell ref="H16:J16"/>
    <mergeCell ref="A27:B27"/>
    <mergeCell ref="C27:D27"/>
    <mergeCell ref="E27:F27"/>
    <mergeCell ref="G27:H27"/>
    <mergeCell ref="I27:J27"/>
    <mergeCell ref="A153:J156"/>
    <mergeCell ref="A152:B152"/>
    <mergeCell ref="E152:G152"/>
    <mergeCell ref="C152:D152"/>
    <mergeCell ref="H152:J152"/>
    <mergeCell ref="A75:J75"/>
    <mergeCell ref="A66:B73"/>
    <mergeCell ref="C66:E66"/>
    <mergeCell ref="F66:G66"/>
    <mergeCell ref="A74:C74"/>
    <mergeCell ref="D74:E74"/>
    <mergeCell ref="F74:H74"/>
    <mergeCell ref="I74:J74"/>
    <mergeCell ref="H66:J73"/>
    <mergeCell ref="C67:E67"/>
    <mergeCell ref="F67:G67"/>
    <mergeCell ref="F69:G69"/>
    <mergeCell ref="A88:B88"/>
    <mergeCell ref="D88:F88"/>
    <mergeCell ref="G88:J88"/>
    <mergeCell ref="A89:J89"/>
    <mergeCell ref="A90:J90"/>
    <mergeCell ref="A83:F83"/>
    <mergeCell ref="G83:J83"/>
  </mergeCells>
  <pageMargins left="0.62992125984251968" right="0.62992125984251968" top="0.78740157480314965" bottom="1.1811023622047245" header="0.19685039370078741" footer="0.19685039370078741"/>
  <pageSetup orientation="portrait" r:id="rId1"/>
  <headerFooter>
    <oddHeader>&amp;C&amp;"Times New Roman,Bold"&amp;20&amp;G</oddHeader>
    <oddFooter>&amp;L&amp;"Times New Roman,Bold"&amp;12Ref No: &amp;F&amp;R&amp;"Times New Roman,Bold"&amp;12&amp;P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workbookViewId="0">
      <selection sqref="A1:XFD1048576"/>
    </sheetView>
  </sheetViews>
  <sheetFormatPr defaultColWidth="8.7109375" defaultRowHeight="15" x14ac:dyDescent="0.25"/>
  <cols>
    <col min="1" max="1" width="8.7109375" style="44"/>
    <col min="2" max="2" width="22.140625" style="44" customWidth="1"/>
    <col min="3" max="3" width="37" style="44" customWidth="1"/>
    <col min="4" max="5" width="11.42578125" style="44" customWidth="1"/>
    <col min="6" max="6" width="14" style="44" customWidth="1"/>
    <col min="7" max="7" width="20" style="44" customWidth="1"/>
    <col min="8" max="8" width="16.42578125" style="44" customWidth="1"/>
    <col min="9" max="16384" width="8.7109375" style="44"/>
  </cols>
  <sheetData>
    <row r="1" spans="1:9" ht="15" customHeight="1" x14ac:dyDescent="0.25"/>
    <row r="2" spans="1:9" ht="15" customHeight="1" x14ac:dyDescent="0.25">
      <c r="A2" s="45"/>
      <c r="B2" s="45"/>
      <c r="C2" s="45"/>
      <c r="D2" s="45"/>
      <c r="E2" s="45"/>
      <c r="F2" s="45"/>
      <c r="G2" s="45"/>
      <c r="H2" s="45"/>
    </row>
    <row r="3" spans="1:9" x14ac:dyDescent="0.25">
      <c r="A3" s="45"/>
      <c r="B3" s="313" t="s">
        <v>266</v>
      </c>
      <c r="C3" s="313"/>
      <c r="D3" s="313"/>
      <c r="E3" s="313"/>
      <c r="F3" s="313"/>
      <c r="G3" s="313"/>
      <c r="H3" s="313"/>
    </row>
    <row r="4" spans="1:9" x14ac:dyDescent="0.25">
      <c r="A4" s="45"/>
      <c r="B4" s="46" t="s">
        <v>267</v>
      </c>
      <c r="C4" s="46" t="s">
        <v>268</v>
      </c>
      <c r="D4" s="46" t="s">
        <v>124</v>
      </c>
      <c r="E4" s="46" t="s">
        <v>269</v>
      </c>
      <c r="F4" s="46" t="s">
        <v>270</v>
      </c>
      <c r="G4" s="46" t="s">
        <v>271</v>
      </c>
      <c r="H4" s="46" t="s">
        <v>272</v>
      </c>
    </row>
    <row r="5" spans="1:9" ht="15" customHeight="1" x14ac:dyDescent="0.25">
      <c r="A5" s="45"/>
      <c r="B5" s="47" t="s">
        <v>273</v>
      </c>
      <c r="C5" s="48"/>
      <c r="D5" s="47" t="s">
        <v>274</v>
      </c>
      <c r="E5" s="47">
        <v>1106</v>
      </c>
      <c r="F5" s="49">
        <f>E5*1.6</f>
        <v>1769.6000000000001</v>
      </c>
      <c r="G5" s="49">
        <f>H5/F5</f>
        <v>31532.549728752259</v>
      </c>
      <c r="H5" s="50">
        <v>55800000</v>
      </c>
    </row>
    <row r="6" spans="1:9" x14ac:dyDescent="0.25">
      <c r="A6" s="45"/>
      <c r="B6" s="47" t="s">
        <v>275</v>
      </c>
      <c r="C6" s="51"/>
      <c r="D6" s="47"/>
      <c r="E6" s="47"/>
      <c r="F6" s="49">
        <f t="shared" ref="F6:F11" si="0">E6*1.6</f>
        <v>0</v>
      </c>
      <c r="G6" s="49" t="e">
        <f t="shared" ref="G6:G11" si="1">H6/F6</f>
        <v>#DIV/0!</v>
      </c>
      <c r="H6" s="50"/>
    </row>
    <row r="7" spans="1:9" ht="15" customHeight="1" x14ac:dyDescent="0.25">
      <c r="A7" s="45"/>
      <c r="B7" s="47" t="s">
        <v>275</v>
      </c>
      <c r="C7" s="48"/>
      <c r="D7" s="47"/>
      <c r="E7" s="47"/>
      <c r="F7" s="49">
        <f t="shared" si="0"/>
        <v>0</v>
      </c>
      <c r="G7" s="49" t="e">
        <f t="shared" si="1"/>
        <v>#DIV/0!</v>
      </c>
      <c r="H7" s="50"/>
    </row>
    <row r="8" spans="1:9" x14ac:dyDescent="0.25">
      <c r="A8" s="45"/>
      <c r="B8" s="47" t="s">
        <v>275</v>
      </c>
      <c r="C8" s="51"/>
      <c r="D8" s="47"/>
      <c r="E8" s="47"/>
      <c r="F8" s="49">
        <f t="shared" si="0"/>
        <v>0</v>
      </c>
      <c r="G8" s="49" t="e">
        <f t="shared" si="1"/>
        <v>#DIV/0!</v>
      </c>
      <c r="H8" s="50"/>
    </row>
    <row r="9" spans="1:9" ht="15" customHeight="1" x14ac:dyDescent="0.25">
      <c r="A9" s="45"/>
      <c r="B9" s="47" t="s">
        <v>275</v>
      </c>
      <c r="C9" s="51"/>
      <c r="D9" s="47"/>
      <c r="E9" s="47"/>
      <c r="F9" s="49">
        <f t="shared" si="0"/>
        <v>0</v>
      </c>
      <c r="G9" s="49" t="e">
        <f t="shared" si="1"/>
        <v>#DIV/0!</v>
      </c>
      <c r="H9" s="50"/>
    </row>
    <row r="10" spans="1:9" ht="15" customHeight="1" x14ac:dyDescent="0.25">
      <c r="A10" s="45"/>
      <c r="B10" s="47" t="s">
        <v>273</v>
      </c>
      <c r="C10" s="48"/>
      <c r="D10" s="47"/>
      <c r="E10" s="47"/>
      <c r="F10" s="49">
        <f t="shared" si="0"/>
        <v>0</v>
      </c>
      <c r="G10" s="49" t="e">
        <f t="shared" si="1"/>
        <v>#DIV/0!</v>
      </c>
      <c r="H10" s="50"/>
    </row>
    <row r="11" spans="1:9" ht="15" customHeight="1" x14ac:dyDescent="0.25">
      <c r="A11" s="45"/>
      <c r="B11" s="47" t="s">
        <v>273</v>
      </c>
      <c r="C11" s="48"/>
      <c r="D11" s="47"/>
      <c r="E11" s="47"/>
      <c r="F11" s="49">
        <f t="shared" si="0"/>
        <v>0</v>
      </c>
      <c r="G11" s="49" t="e">
        <f t="shared" si="1"/>
        <v>#DIV/0!</v>
      </c>
      <c r="H11" s="50"/>
    </row>
    <row r="12" spans="1:9" ht="15" customHeight="1" x14ac:dyDescent="0.25">
      <c r="A12" s="45"/>
      <c r="B12" s="52" t="s">
        <v>276</v>
      </c>
      <c r="C12" s="47"/>
      <c r="D12" s="47"/>
      <c r="E12" s="47"/>
      <c r="F12" s="47"/>
      <c r="G12" s="53" t="e">
        <f>AVERAGE(G5:G11)</f>
        <v>#DIV/0!</v>
      </c>
      <c r="H12" s="47"/>
    </row>
    <row r="13" spans="1:9" ht="15" customHeight="1" x14ac:dyDescent="0.25">
      <c r="B13" s="52" t="s">
        <v>277</v>
      </c>
      <c r="C13" s="47"/>
      <c r="D13" s="47"/>
      <c r="E13" s="47"/>
      <c r="F13" s="54"/>
      <c r="G13" s="52"/>
      <c r="H13" s="52"/>
      <c r="I13" s="55"/>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29"/>
  <sheetViews>
    <sheetView workbookViewId="0">
      <selection activeCell="C13" sqref="C13"/>
    </sheetView>
  </sheetViews>
  <sheetFormatPr defaultRowHeight="15" x14ac:dyDescent="0.25"/>
  <cols>
    <col min="1" max="1" width="20.5703125" style="17" customWidth="1"/>
    <col min="2" max="2" width="11.7109375" style="17" customWidth="1"/>
    <col min="3" max="4" width="9.140625" style="17"/>
    <col min="5" max="5" width="10.140625" style="17" customWidth="1"/>
    <col min="6" max="6" width="10.7109375" style="17" customWidth="1"/>
    <col min="7" max="7" width="9.140625" style="17"/>
    <col min="8" max="8" width="10.42578125" style="17" customWidth="1"/>
    <col min="9" max="9" width="15.42578125" style="17" customWidth="1"/>
    <col min="10" max="258" width="9.140625" style="17"/>
    <col min="259" max="259" width="11.7109375" style="17" customWidth="1"/>
    <col min="260" max="260" width="9.140625" style="17"/>
    <col min="261" max="261" width="14.7109375" style="17" customWidth="1"/>
    <col min="262" max="262" width="10.7109375" style="17" customWidth="1"/>
    <col min="263" max="514" width="9.140625" style="17"/>
    <col min="515" max="515" width="11.7109375" style="17" customWidth="1"/>
    <col min="516" max="516" width="9.140625" style="17"/>
    <col min="517" max="517" width="14.7109375" style="17" customWidth="1"/>
    <col min="518" max="518" width="10.7109375" style="17" customWidth="1"/>
    <col min="519" max="770" width="9.140625" style="17"/>
    <col min="771" max="771" width="11.7109375" style="17" customWidth="1"/>
    <col min="772" max="772" width="9.140625" style="17"/>
    <col min="773" max="773" width="14.7109375" style="17" customWidth="1"/>
    <col min="774" max="774" width="10.7109375" style="17" customWidth="1"/>
    <col min="775" max="1026" width="9.140625" style="17"/>
    <col min="1027" max="1027" width="11.7109375" style="17" customWidth="1"/>
    <col min="1028" max="1028" width="9.140625" style="17"/>
    <col min="1029" max="1029" width="14.7109375" style="17" customWidth="1"/>
    <col min="1030" max="1030" width="10.7109375" style="17" customWidth="1"/>
    <col min="1031" max="1282" width="9.140625" style="17"/>
    <col min="1283" max="1283" width="11.7109375" style="17" customWidth="1"/>
    <col min="1284" max="1284" width="9.140625" style="17"/>
    <col min="1285" max="1285" width="14.7109375" style="17" customWidth="1"/>
    <col min="1286" max="1286" width="10.7109375" style="17" customWidth="1"/>
    <col min="1287" max="1538" width="9.140625" style="17"/>
    <col min="1539" max="1539" width="11.7109375" style="17" customWidth="1"/>
    <col min="1540" max="1540" width="9.140625" style="17"/>
    <col min="1541" max="1541" width="14.7109375" style="17" customWidth="1"/>
    <col min="1542" max="1542" width="10.7109375" style="17" customWidth="1"/>
    <col min="1543" max="1794" width="9.140625" style="17"/>
    <col min="1795" max="1795" width="11.7109375" style="17" customWidth="1"/>
    <col min="1796" max="1796" width="9.140625" style="17"/>
    <col min="1797" max="1797" width="14.7109375" style="17" customWidth="1"/>
    <col min="1798" max="1798" width="10.7109375" style="17" customWidth="1"/>
    <col min="1799" max="2050" width="9.140625" style="17"/>
    <col min="2051" max="2051" width="11.7109375" style="17" customWidth="1"/>
    <col min="2052" max="2052" width="9.140625" style="17"/>
    <col min="2053" max="2053" width="14.7109375" style="17" customWidth="1"/>
    <col min="2054" max="2054" width="10.7109375" style="17" customWidth="1"/>
    <col min="2055" max="2306" width="9.140625" style="17"/>
    <col min="2307" max="2307" width="11.7109375" style="17" customWidth="1"/>
    <col min="2308" max="2308" width="9.140625" style="17"/>
    <col min="2309" max="2309" width="14.7109375" style="17" customWidth="1"/>
    <col min="2310" max="2310" width="10.7109375" style="17" customWidth="1"/>
    <col min="2311" max="2562" width="9.140625" style="17"/>
    <col min="2563" max="2563" width="11.7109375" style="17" customWidth="1"/>
    <col min="2564" max="2564" width="9.140625" style="17"/>
    <col min="2565" max="2565" width="14.7109375" style="17" customWidth="1"/>
    <col min="2566" max="2566" width="10.7109375" style="17" customWidth="1"/>
    <col min="2567" max="2818" width="9.140625" style="17"/>
    <col min="2819" max="2819" width="11.7109375" style="17" customWidth="1"/>
    <col min="2820" max="2820" width="9.140625" style="17"/>
    <col min="2821" max="2821" width="14.7109375" style="17" customWidth="1"/>
    <col min="2822" max="2822" width="10.7109375" style="17" customWidth="1"/>
    <col min="2823" max="3074" width="9.140625" style="17"/>
    <col min="3075" max="3075" width="11.7109375" style="17" customWidth="1"/>
    <col min="3076" max="3076" width="9.140625" style="17"/>
    <col min="3077" max="3077" width="14.7109375" style="17" customWidth="1"/>
    <col min="3078" max="3078" width="10.7109375" style="17" customWidth="1"/>
    <col min="3079" max="3330" width="9.140625" style="17"/>
    <col min="3331" max="3331" width="11.7109375" style="17" customWidth="1"/>
    <col min="3332" max="3332" width="9.140625" style="17"/>
    <col min="3333" max="3333" width="14.7109375" style="17" customWidth="1"/>
    <col min="3334" max="3334" width="10.7109375" style="17" customWidth="1"/>
    <col min="3335" max="3586" width="9.140625" style="17"/>
    <col min="3587" max="3587" width="11.7109375" style="17" customWidth="1"/>
    <col min="3588" max="3588" width="9.140625" style="17"/>
    <col min="3589" max="3589" width="14.7109375" style="17" customWidth="1"/>
    <col min="3590" max="3590" width="10.7109375" style="17" customWidth="1"/>
    <col min="3591" max="3842" width="9.140625" style="17"/>
    <col min="3843" max="3843" width="11.7109375" style="17" customWidth="1"/>
    <col min="3844" max="3844" width="9.140625" style="17"/>
    <col min="3845" max="3845" width="14.7109375" style="17" customWidth="1"/>
    <col min="3846" max="3846" width="10.7109375" style="17" customWidth="1"/>
    <col min="3847" max="4098" width="9.140625" style="17"/>
    <col min="4099" max="4099" width="11.7109375" style="17" customWidth="1"/>
    <col min="4100" max="4100" width="9.140625" style="17"/>
    <col min="4101" max="4101" width="14.7109375" style="17" customWidth="1"/>
    <col min="4102" max="4102" width="10.7109375" style="17" customWidth="1"/>
    <col min="4103" max="4354" width="9.140625" style="17"/>
    <col min="4355" max="4355" width="11.7109375" style="17" customWidth="1"/>
    <col min="4356" max="4356" width="9.140625" style="17"/>
    <col min="4357" max="4357" width="14.7109375" style="17" customWidth="1"/>
    <col min="4358" max="4358" width="10.7109375" style="17" customWidth="1"/>
    <col min="4359" max="4610" width="9.140625" style="17"/>
    <col min="4611" max="4611" width="11.7109375" style="17" customWidth="1"/>
    <col min="4612" max="4612" width="9.140625" style="17"/>
    <col min="4613" max="4613" width="14.7109375" style="17" customWidth="1"/>
    <col min="4614" max="4614" width="10.7109375" style="17" customWidth="1"/>
    <col min="4615" max="4866" width="9.140625" style="17"/>
    <col min="4867" max="4867" width="11.7109375" style="17" customWidth="1"/>
    <col min="4868" max="4868" width="9.140625" style="17"/>
    <col min="4869" max="4869" width="14.7109375" style="17" customWidth="1"/>
    <col min="4870" max="4870" width="10.7109375" style="17" customWidth="1"/>
    <col min="4871" max="5122" width="9.140625" style="17"/>
    <col min="5123" max="5123" width="11.7109375" style="17" customWidth="1"/>
    <col min="5124" max="5124" width="9.140625" style="17"/>
    <col min="5125" max="5125" width="14.7109375" style="17" customWidth="1"/>
    <col min="5126" max="5126" width="10.7109375" style="17" customWidth="1"/>
    <col min="5127" max="5378" width="9.140625" style="17"/>
    <col min="5379" max="5379" width="11.7109375" style="17" customWidth="1"/>
    <col min="5380" max="5380" width="9.140625" style="17"/>
    <col min="5381" max="5381" width="14.7109375" style="17" customWidth="1"/>
    <col min="5382" max="5382" width="10.7109375" style="17" customWidth="1"/>
    <col min="5383" max="5634" width="9.140625" style="17"/>
    <col min="5635" max="5635" width="11.7109375" style="17" customWidth="1"/>
    <col min="5636" max="5636" width="9.140625" style="17"/>
    <col min="5637" max="5637" width="14.7109375" style="17" customWidth="1"/>
    <col min="5638" max="5638" width="10.7109375" style="17" customWidth="1"/>
    <col min="5639" max="5890" width="9.140625" style="17"/>
    <col min="5891" max="5891" width="11.7109375" style="17" customWidth="1"/>
    <col min="5892" max="5892" width="9.140625" style="17"/>
    <col min="5893" max="5893" width="14.7109375" style="17" customWidth="1"/>
    <col min="5894" max="5894" width="10.7109375" style="17" customWidth="1"/>
    <col min="5895" max="6146" width="9.140625" style="17"/>
    <col min="6147" max="6147" width="11.7109375" style="17" customWidth="1"/>
    <col min="6148" max="6148" width="9.140625" style="17"/>
    <col min="6149" max="6149" width="14.7109375" style="17" customWidth="1"/>
    <col min="6150" max="6150" width="10.7109375" style="17" customWidth="1"/>
    <col min="6151" max="6402" width="9.140625" style="17"/>
    <col min="6403" max="6403" width="11.7109375" style="17" customWidth="1"/>
    <col min="6404" max="6404" width="9.140625" style="17"/>
    <col min="6405" max="6405" width="14.7109375" style="17" customWidth="1"/>
    <col min="6406" max="6406" width="10.7109375" style="17" customWidth="1"/>
    <col min="6407" max="6658" width="9.140625" style="17"/>
    <col min="6659" max="6659" width="11.7109375" style="17" customWidth="1"/>
    <col min="6660" max="6660" width="9.140625" style="17"/>
    <col min="6661" max="6661" width="14.7109375" style="17" customWidth="1"/>
    <col min="6662" max="6662" width="10.7109375" style="17" customWidth="1"/>
    <col min="6663" max="6914" width="9.140625" style="17"/>
    <col min="6915" max="6915" width="11.7109375" style="17" customWidth="1"/>
    <col min="6916" max="6916" width="9.140625" style="17"/>
    <col min="6917" max="6917" width="14.7109375" style="17" customWidth="1"/>
    <col min="6918" max="6918" width="10.7109375" style="17" customWidth="1"/>
    <col min="6919" max="7170" width="9.140625" style="17"/>
    <col min="7171" max="7171" width="11.7109375" style="17" customWidth="1"/>
    <col min="7172" max="7172" width="9.140625" style="17"/>
    <col min="7173" max="7173" width="14.7109375" style="17" customWidth="1"/>
    <col min="7174" max="7174" width="10.7109375" style="17" customWidth="1"/>
    <col min="7175" max="7426" width="9.140625" style="17"/>
    <col min="7427" max="7427" width="11.7109375" style="17" customWidth="1"/>
    <col min="7428" max="7428" width="9.140625" style="17"/>
    <col min="7429" max="7429" width="14.7109375" style="17" customWidth="1"/>
    <col min="7430" max="7430" width="10.7109375" style="17" customWidth="1"/>
    <col min="7431" max="7682" width="9.140625" style="17"/>
    <col min="7683" max="7683" width="11.7109375" style="17" customWidth="1"/>
    <col min="7684" max="7684" width="9.140625" style="17"/>
    <col min="7685" max="7685" width="14.7109375" style="17" customWidth="1"/>
    <col min="7686" max="7686" width="10.7109375" style="17" customWidth="1"/>
    <col min="7687" max="7938" width="9.140625" style="17"/>
    <col min="7939" max="7939" width="11.7109375" style="17" customWidth="1"/>
    <col min="7940" max="7940" width="9.140625" style="17"/>
    <col min="7941" max="7941" width="14.7109375" style="17" customWidth="1"/>
    <col min="7942" max="7942" width="10.7109375" style="17" customWidth="1"/>
    <col min="7943" max="8194" width="9.140625" style="17"/>
    <col min="8195" max="8195" width="11.7109375" style="17" customWidth="1"/>
    <col min="8196" max="8196" width="9.140625" style="17"/>
    <col min="8197" max="8197" width="14.7109375" style="17" customWidth="1"/>
    <col min="8198" max="8198" width="10.7109375" style="17" customWidth="1"/>
    <col min="8199" max="8450" width="9.140625" style="17"/>
    <col min="8451" max="8451" width="11.7109375" style="17" customWidth="1"/>
    <col min="8452" max="8452" width="9.140625" style="17"/>
    <col min="8453" max="8453" width="14.7109375" style="17" customWidth="1"/>
    <col min="8454" max="8454" width="10.7109375" style="17" customWidth="1"/>
    <col min="8455" max="8706" width="9.140625" style="17"/>
    <col min="8707" max="8707" width="11.7109375" style="17" customWidth="1"/>
    <col min="8708" max="8708" width="9.140625" style="17"/>
    <col min="8709" max="8709" width="14.7109375" style="17" customWidth="1"/>
    <col min="8710" max="8710" width="10.7109375" style="17" customWidth="1"/>
    <col min="8711" max="8962" width="9.140625" style="17"/>
    <col min="8963" max="8963" width="11.7109375" style="17" customWidth="1"/>
    <col min="8964" max="8964" width="9.140625" style="17"/>
    <col min="8965" max="8965" width="14.7109375" style="17" customWidth="1"/>
    <col min="8966" max="8966" width="10.7109375" style="17" customWidth="1"/>
    <col min="8967" max="9218" width="9.140625" style="17"/>
    <col min="9219" max="9219" width="11.7109375" style="17" customWidth="1"/>
    <col min="9220" max="9220" width="9.140625" style="17"/>
    <col min="9221" max="9221" width="14.7109375" style="17" customWidth="1"/>
    <col min="9222" max="9222" width="10.7109375" style="17" customWidth="1"/>
    <col min="9223" max="9474" width="9.140625" style="17"/>
    <col min="9475" max="9475" width="11.7109375" style="17" customWidth="1"/>
    <col min="9476" max="9476" width="9.140625" style="17"/>
    <col min="9477" max="9477" width="14.7109375" style="17" customWidth="1"/>
    <col min="9478" max="9478" width="10.7109375" style="17" customWidth="1"/>
    <col min="9479" max="9730" width="9.140625" style="17"/>
    <col min="9731" max="9731" width="11.7109375" style="17" customWidth="1"/>
    <col min="9732" max="9732" width="9.140625" style="17"/>
    <col min="9733" max="9733" width="14.7109375" style="17" customWidth="1"/>
    <col min="9734" max="9734" width="10.7109375" style="17" customWidth="1"/>
    <col min="9735" max="9986" width="9.140625" style="17"/>
    <col min="9987" max="9987" width="11.7109375" style="17" customWidth="1"/>
    <col min="9988" max="9988" width="9.140625" style="17"/>
    <col min="9989" max="9989" width="14.7109375" style="17" customWidth="1"/>
    <col min="9990" max="9990" width="10.7109375" style="17" customWidth="1"/>
    <col min="9991" max="10242" width="9.140625" style="17"/>
    <col min="10243" max="10243" width="11.7109375" style="17" customWidth="1"/>
    <col min="10244" max="10244" width="9.140625" style="17"/>
    <col min="10245" max="10245" width="14.7109375" style="17" customWidth="1"/>
    <col min="10246" max="10246" width="10.7109375" style="17" customWidth="1"/>
    <col min="10247" max="10498" width="9.140625" style="17"/>
    <col min="10499" max="10499" width="11.7109375" style="17" customWidth="1"/>
    <col min="10500" max="10500" width="9.140625" style="17"/>
    <col min="10501" max="10501" width="14.7109375" style="17" customWidth="1"/>
    <col min="10502" max="10502" width="10.7109375" style="17" customWidth="1"/>
    <col min="10503" max="10754" width="9.140625" style="17"/>
    <col min="10755" max="10755" width="11.7109375" style="17" customWidth="1"/>
    <col min="10756" max="10756" width="9.140625" style="17"/>
    <col min="10757" max="10757" width="14.7109375" style="17" customWidth="1"/>
    <col min="10758" max="10758" width="10.7109375" style="17" customWidth="1"/>
    <col min="10759" max="11010" width="9.140625" style="17"/>
    <col min="11011" max="11011" width="11.7109375" style="17" customWidth="1"/>
    <col min="11012" max="11012" width="9.140625" style="17"/>
    <col min="11013" max="11013" width="14.7109375" style="17" customWidth="1"/>
    <col min="11014" max="11014" width="10.7109375" style="17" customWidth="1"/>
    <col min="11015" max="11266" width="9.140625" style="17"/>
    <col min="11267" max="11267" width="11.7109375" style="17" customWidth="1"/>
    <col min="11268" max="11268" width="9.140625" style="17"/>
    <col min="11269" max="11269" width="14.7109375" style="17" customWidth="1"/>
    <col min="11270" max="11270" width="10.7109375" style="17" customWidth="1"/>
    <col min="11271" max="11522" width="9.140625" style="17"/>
    <col min="11523" max="11523" width="11.7109375" style="17" customWidth="1"/>
    <col min="11524" max="11524" width="9.140625" style="17"/>
    <col min="11525" max="11525" width="14.7109375" style="17" customWidth="1"/>
    <col min="11526" max="11526" width="10.7109375" style="17" customWidth="1"/>
    <col min="11527" max="11778" width="9.140625" style="17"/>
    <col min="11779" max="11779" width="11.7109375" style="17" customWidth="1"/>
    <col min="11780" max="11780" width="9.140625" style="17"/>
    <col min="11781" max="11781" width="14.7109375" style="17" customWidth="1"/>
    <col min="11782" max="11782" width="10.7109375" style="17" customWidth="1"/>
    <col min="11783" max="12034" width="9.140625" style="17"/>
    <col min="12035" max="12035" width="11.7109375" style="17" customWidth="1"/>
    <col min="12036" max="12036" width="9.140625" style="17"/>
    <col min="12037" max="12037" width="14.7109375" style="17" customWidth="1"/>
    <col min="12038" max="12038" width="10.7109375" style="17" customWidth="1"/>
    <col min="12039" max="12290" width="9.140625" style="17"/>
    <col min="12291" max="12291" width="11.7109375" style="17" customWidth="1"/>
    <col min="12292" max="12292" width="9.140625" style="17"/>
    <col min="12293" max="12293" width="14.7109375" style="17" customWidth="1"/>
    <col min="12294" max="12294" width="10.7109375" style="17" customWidth="1"/>
    <col min="12295" max="12546" width="9.140625" style="17"/>
    <col min="12547" max="12547" width="11.7109375" style="17" customWidth="1"/>
    <col min="12548" max="12548" width="9.140625" style="17"/>
    <col min="12549" max="12549" width="14.7109375" style="17" customWidth="1"/>
    <col min="12550" max="12550" width="10.7109375" style="17" customWidth="1"/>
    <col min="12551" max="12802" width="9.140625" style="17"/>
    <col min="12803" max="12803" width="11.7109375" style="17" customWidth="1"/>
    <col min="12804" max="12804" width="9.140625" style="17"/>
    <col min="12805" max="12805" width="14.7109375" style="17" customWidth="1"/>
    <col min="12806" max="12806" width="10.7109375" style="17" customWidth="1"/>
    <col min="12807" max="13058" width="9.140625" style="17"/>
    <col min="13059" max="13059" width="11.7109375" style="17" customWidth="1"/>
    <col min="13060" max="13060" width="9.140625" style="17"/>
    <col min="13061" max="13061" width="14.7109375" style="17" customWidth="1"/>
    <col min="13062" max="13062" width="10.7109375" style="17" customWidth="1"/>
    <col min="13063" max="13314" width="9.140625" style="17"/>
    <col min="13315" max="13315" width="11.7109375" style="17" customWidth="1"/>
    <col min="13316" max="13316" width="9.140625" style="17"/>
    <col min="13317" max="13317" width="14.7109375" style="17" customWidth="1"/>
    <col min="13318" max="13318" width="10.7109375" style="17" customWidth="1"/>
    <col min="13319" max="13570" width="9.140625" style="17"/>
    <col min="13571" max="13571" width="11.7109375" style="17" customWidth="1"/>
    <col min="13572" max="13572" width="9.140625" style="17"/>
    <col min="13573" max="13573" width="14.7109375" style="17" customWidth="1"/>
    <col min="13574" max="13574" width="10.7109375" style="17" customWidth="1"/>
    <col min="13575" max="13826" width="9.140625" style="17"/>
    <col min="13827" max="13827" width="11.7109375" style="17" customWidth="1"/>
    <col min="13828" max="13828" width="9.140625" style="17"/>
    <col min="13829" max="13829" width="14.7109375" style="17" customWidth="1"/>
    <col min="13830" max="13830" width="10.7109375" style="17" customWidth="1"/>
    <col min="13831" max="14082" width="9.140625" style="17"/>
    <col min="14083" max="14083" width="11.7109375" style="17" customWidth="1"/>
    <col min="14084" max="14084" width="9.140625" style="17"/>
    <col min="14085" max="14085" width="14.7109375" style="17" customWidth="1"/>
    <col min="14086" max="14086" width="10.7109375" style="17" customWidth="1"/>
    <col min="14087" max="14338" width="9.140625" style="17"/>
    <col min="14339" max="14339" width="11.7109375" style="17" customWidth="1"/>
    <col min="14340" max="14340" width="9.140625" style="17"/>
    <col min="14341" max="14341" width="14.7109375" style="17" customWidth="1"/>
    <col min="14342" max="14342" width="10.7109375" style="17" customWidth="1"/>
    <col min="14343" max="14594" width="9.140625" style="17"/>
    <col min="14595" max="14595" width="11.7109375" style="17" customWidth="1"/>
    <col min="14596" max="14596" width="9.140625" style="17"/>
    <col min="14597" max="14597" width="14.7109375" style="17" customWidth="1"/>
    <col min="14598" max="14598" width="10.7109375" style="17" customWidth="1"/>
    <col min="14599" max="14850" width="9.140625" style="17"/>
    <col min="14851" max="14851" width="11.7109375" style="17" customWidth="1"/>
    <col min="14852" max="14852" width="9.140625" style="17"/>
    <col min="14853" max="14853" width="14.7109375" style="17" customWidth="1"/>
    <col min="14854" max="14854" width="10.7109375" style="17" customWidth="1"/>
    <col min="14855" max="15106" width="9.140625" style="17"/>
    <col min="15107" max="15107" width="11.7109375" style="17" customWidth="1"/>
    <col min="15108" max="15108" width="9.140625" style="17"/>
    <col min="15109" max="15109" width="14.7109375" style="17" customWidth="1"/>
    <col min="15110" max="15110" width="10.7109375" style="17" customWidth="1"/>
    <col min="15111" max="15362" width="9.140625" style="17"/>
    <col min="15363" max="15363" width="11.7109375" style="17" customWidth="1"/>
    <col min="15364" max="15364" width="9.140625" style="17"/>
    <col min="15365" max="15365" width="14.7109375" style="17" customWidth="1"/>
    <col min="15366" max="15366" width="10.7109375" style="17" customWidth="1"/>
    <col min="15367" max="15618" width="9.140625" style="17"/>
    <col min="15619" max="15619" width="11.7109375" style="17" customWidth="1"/>
    <col min="15620" max="15620" width="9.140625" style="17"/>
    <col min="15621" max="15621" width="14.7109375" style="17" customWidth="1"/>
    <col min="15622" max="15622" width="10.7109375" style="17" customWidth="1"/>
    <col min="15623" max="15874" width="9.140625" style="17"/>
    <col min="15875" max="15875" width="11.7109375" style="17" customWidth="1"/>
    <col min="15876" max="15876" width="9.140625" style="17"/>
    <col min="15877" max="15877" width="14.7109375" style="17" customWidth="1"/>
    <col min="15878" max="15878" width="10.7109375" style="17" customWidth="1"/>
    <col min="15879" max="16130" width="9.140625" style="17"/>
    <col min="16131" max="16131" width="11.7109375" style="17" customWidth="1"/>
    <col min="16132" max="16132" width="9.140625" style="17"/>
    <col min="16133" max="16133" width="14.7109375" style="17" customWidth="1"/>
    <col min="16134" max="16134" width="10.7109375" style="17" customWidth="1"/>
    <col min="16135" max="16384" width="9.140625" style="17"/>
  </cols>
  <sheetData>
    <row r="2" spans="1:13" x14ac:dyDescent="0.25">
      <c r="A2" s="18" t="s">
        <v>146</v>
      </c>
      <c r="B2" s="18" t="s">
        <v>147</v>
      </c>
      <c r="C2" s="18" t="s">
        <v>148</v>
      </c>
      <c r="D2" s="314" t="s">
        <v>149</v>
      </c>
      <c r="E2" s="314"/>
    </row>
    <row r="3" spans="1:13" x14ac:dyDescent="0.25">
      <c r="A3" s="21">
        <v>0</v>
      </c>
      <c r="B3" s="21">
        <v>0</v>
      </c>
      <c r="C3" s="21">
        <v>1</v>
      </c>
      <c r="D3" s="316">
        <v>4</v>
      </c>
      <c r="E3" s="316"/>
    </row>
    <row r="5" spans="1:13" hidden="1" x14ac:dyDescent="0.25">
      <c r="A5" s="17" t="s">
        <v>111</v>
      </c>
      <c r="B5" s="19" t="s">
        <v>163</v>
      </c>
      <c r="C5" s="19">
        <f>D3</f>
        <v>4</v>
      </c>
      <c r="D5" s="20"/>
    </row>
    <row r="6" spans="1:13" x14ac:dyDescent="0.25">
      <c r="A6" s="17" t="s">
        <v>112</v>
      </c>
      <c r="B6" s="22">
        <v>10</v>
      </c>
      <c r="C6" s="23">
        <v>10</v>
      </c>
      <c r="D6" s="24">
        <f>((100/B6)*C6)/100</f>
        <v>1</v>
      </c>
    </row>
    <row r="7" spans="1:13" x14ac:dyDescent="0.25">
      <c r="A7" s="17" t="s">
        <v>113</v>
      </c>
      <c r="B7" s="22">
        <f>A3+B3+C3+D3</f>
        <v>5</v>
      </c>
      <c r="C7" s="23">
        <v>5</v>
      </c>
      <c r="D7" s="24">
        <f t="shared" ref="D7:D12" si="0">((100/B7)*C7)/100</f>
        <v>1</v>
      </c>
      <c r="F7" s="317" t="s">
        <v>164</v>
      </c>
      <c r="G7" s="317"/>
      <c r="H7" s="25" t="s">
        <v>165</v>
      </c>
      <c r="J7" s="31"/>
    </row>
    <row r="8" spans="1:13" x14ac:dyDescent="0.25">
      <c r="A8" s="17" t="s">
        <v>118</v>
      </c>
      <c r="B8" s="22">
        <f>C5</f>
        <v>4</v>
      </c>
      <c r="C8" s="23">
        <v>4</v>
      </c>
      <c r="D8" s="24">
        <f t="shared" si="0"/>
        <v>1</v>
      </c>
      <c r="F8" s="315" t="s">
        <v>166</v>
      </c>
      <c r="G8" s="315"/>
      <c r="H8" s="22" t="s">
        <v>167</v>
      </c>
    </row>
    <row r="9" spans="1:13" x14ac:dyDescent="0.25">
      <c r="A9" s="17" t="s">
        <v>120</v>
      </c>
      <c r="B9" s="22">
        <f>C5</f>
        <v>4</v>
      </c>
      <c r="C9" s="23">
        <v>4</v>
      </c>
      <c r="D9" s="24">
        <f t="shared" si="0"/>
        <v>1</v>
      </c>
      <c r="F9" s="315" t="s">
        <v>168</v>
      </c>
      <c r="G9" s="315"/>
      <c r="H9" s="22" t="s">
        <v>169</v>
      </c>
    </row>
    <row r="10" spans="1:13" x14ac:dyDescent="0.25">
      <c r="A10" s="17" t="s">
        <v>78</v>
      </c>
      <c r="B10" s="22">
        <f>C5</f>
        <v>4</v>
      </c>
      <c r="C10" s="23">
        <v>4</v>
      </c>
      <c r="D10" s="24">
        <f t="shared" si="0"/>
        <v>1</v>
      </c>
      <c r="F10" s="315" t="s">
        <v>170</v>
      </c>
      <c r="G10" s="315"/>
      <c r="H10" s="22" t="s">
        <v>171</v>
      </c>
    </row>
    <row r="11" spans="1:13" x14ac:dyDescent="0.25">
      <c r="A11" s="26" t="s">
        <v>116</v>
      </c>
      <c r="B11" s="22">
        <f>C5</f>
        <v>4</v>
      </c>
      <c r="C11" s="23">
        <v>4</v>
      </c>
      <c r="D11" s="24">
        <f t="shared" si="0"/>
        <v>1</v>
      </c>
      <c r="F11" s="315" t="s">
        <v>172</v>
      </c>
      <c r="G11" s="315"/>
      <c r="H11" s="22" t="s">
        <v>173</v>
      </c>
    </row>
    <row r="12" spans="1:13" x14ac:dyDescent="0.25">
      <c r="A12" s="17" t="s">
        <v>80</v>
      </c>
      <c r="B12" s="22">
        <f>C5</f>
        <v>4</v>
      </c>
      <c r="C12" s="23">
        <v>4</v>
      </c>
      <c r="D12" s="24">
        <f t="shared" si="0"/>
        <v>1</v>
      </c>
      <c r="F12" s="315" t="s">
        <v>174</v>
      </c>
      <c r="G12" s="315"/>
      <c r="H12" s="22" t="s">
        <v>175</v>
      </c>
    </row>
    <row r="13" spans="1:13" x14ac:dyDescent="0.25">
      <c r="F13" s="315" t="s">
        <v>176</v>
      </c>
      <c r="G13" s="315"/>
      <c r="H13" s="22" t="s">
        <v>177</v>
      </c>
    </row>
    <row r="14" spans="1:13" hidden="1" x14ac:dyDescent="0.25">
      <c r="A14" s="18"/>
      <c r="B14" s="18" t="s">
        <v>117</v>
      </c>
      <c r="C14" s="18" t="s">
        <v>121</v>
      </c>
      <c r="G14" s="18" t="s">
        <v>112</v>
      </c>
      <c r="H14" s="18" t="s">
        <v>114</v>
      </c>
      <c r="I14" s="18" t="s">
        <v>115</v>
      </c>
      <c r="J14" s="18" t="s">
        <v>77</v>
      </c>
      <c r="K14" s="18" t="s">
        <v>78</v>
      </c>
      <c r="L14" s="18" t="s">
        <v>116</v>
      </c>
      <c r="M14" s="18" t="s">
        <v>80</v>
      </c>
    </row>
    <row r="15" spans="1:13" hidden="1" x14ac:dyDescent="0.25">
      <c r="A15" s="18" t="s">
        <v>74</v>
      </c>
      <c r="B15" s="18">
        <f>G15</f>
        <v>10</v>
      </c>
      <c r="C15" s="18">
        <f>G16</f>
        <v>30</v>
      </c>
      <c r="E15" s="314" t="s">
        <v>117</v>
      </c>
      <c r="F15" s="314"/>
      <c r="G15" s="27">
        <f>C6</f>
        <v>10</v>
      </c>
      <c r="H15" s="27">
        <f>40/B7*C7</f>
        <v>40</v>
      </c>
      <c r="I15" s="27">
        <f>15/B8*C8</f>
        <v>15</v>
      </c>
      <c r="J15" s="27">
        <f>10/B9*C9</f>
        <v>10</v>
      </c>
      <c r="K15" s="27">
        <f>10/B10*C10</f>
        <v>10</v>
      </c>
      <c r="L15" s="27">
        <f>5/B11*C11</f>
        <v>5</v>
      </c>
      <c r="M15" s="27">
        <f>5/B12*C12</f>
        <v>5</v>
      </c>
    </row>
    <row r="16" spans="1:13" hidden="1" x14ac:dyDescent="0.25">
      <c r="A16" s="18" t="s">
        <v>75</v>
      </c>
      <c r="B16" s="18">
        <f>H15</f>
        <v>40</v>
      </c>
      <c r="C16" s="18">
        <f>H16</f>
        <v>30</v>
      </c>
      <c r="E16" s="314" t="s">
        <v>119</v>
      </c>
      <c r="F16" s="314"/>
      <c r="G16" s="18">
        <f>G15+20</f>
        <v>30</v>
      </c>
      <c r="H16" s="18">
        <f>30/B7*C7</f>
        <v>30</v>
      </c>
      <c r="I16" s="18">
        <f>15/B8*C8</f>
        <v>15</v>
      </c>
      <c r="J16" s="18">
        <f>10/B9*C9</f>
        <v>10</v>
      </c>
      <c r="K16" s="18">
        <f>5/B10*C10</f>
        <v>5</v>
      </c>
      <c r="L16" s="18">
        <f>5/B11*C11</f>
        <v>5</v>
      </c>
      <c r="M16" s="18">
        <f>5/B12*C12</f>
        <v>5</v>
      </c>
    </row>
    <row r="17" spans="1:8" hidden="1" x14ac:dyDescent="0.25">
      <c r="A17" s="18" t="s">
        <v>115</v>
      </c>
      <c r="B17" s="18">
        <f>I15</f>
        <v>15</v>
      </c>
      <c r="C17" s="18">
        <f>I16</f>
        <v>15</v>
      </c>
    </row>
    <row r="18" spans="1:8" hidden="1" x14ac:dyDescent="0.25">
      <c r="A18" s="18" t="s">
        <v>77</v>
      </c>
      <c r="B18" s="18">
        <f>J15</f>
        <v>10</v>
      </c>
      <c r="C18" s="18">
        <f>J16</f>
        <v>10</v>
      </c>
    </row>
    <row r="19" spans="1:8" hidden="1" x14ac:dyDescent="0.25">
      <c r="A19" s="18" t="s">
        <v>78</v>
      </c>
      <c r="B19" s="18">
        <f>K15</f>
        <v>10</v>
      </c>
      <c r="C19" s="18">
        <f>K16</f>
        <v>5</v>
      </c>
    </row>
    <row r="20" spans="1:8" hidden="1" x14ac:dyDescent="0.25">
      <c r="A20" s="28" t="s">
        <v>116</v>
      </c>
      <c r="B20" s="18">
        <f>L15</f>
        <v>5</v>
      </c>
      <c r="C20" s="18">
        <f>L16</f>
        <v>5</v>
      </c>
    </row>
    <row r="21" spans="1:8" hidden="1" x14ac:dyDescent="0.25">
      <c r="A21" s="18" t="s">
        <v>80</v>
      </c>
      <c r="B21" s="18">
        <f>M15</f>
        <v>5</v>
      </c>
      <c r="C21" s="18">
        <f>M16</f>
        <v>5</v>
      </c>
    </row>
    <row r="22" spans="1:8" x14ac:dyDescent="0.25">
      <c r="A22" s="18" t="s">
        <v>122</v>
      </c>
      <c r="B22" s="29">
        <f>(B15+B16+B17+B18+B19+B20+B21)/100</f>
        <v>0.95</v>
      </c>
      <c r="C22" s="29">
        <f>(C15+C16+C17+C18+C19+C20+C21)/100</f>
        <v>1</v>
      </c>
      <c r="F22" s="315" t="s">
        <v>178</v>
      </c>
      <c r="G22" s="315"/>
      <c r="H22" s="22" t="s">
        <v>169</v>
      </c>
    </row>
    <row r="23" spans="1:8" x14ac:dyDescent="0.25">
      <c r="F23" s="315" t="s">
        <v>179</v>
      </c>
      <c r="G23" s="315"/>
      <c r="H23" s="22" t="s">
        <v>180</v>
      </c>
    </row>
    <row r="24" spans="1:8" x14ac:dyDescent="0.25">
      <c r="A24" s="17" t="s">
        <v>154</v>
      </c>
      <c r="B24" s="30">
        <v>0.01</v>
      </c>
      <c r="C24" s="30">
        <v>0.02</v>
      </c>
      <c r="F24" s="315" t="s">
        <v>181</v>
      </c>
      <c r="G24" s="315"/>
      <c r="H24" s="22" t="s">
        <v>182</v>
      </c>
    </row>
    <row r="25" spans="1:8" x14ac:dyDescent="0.25">
      <c r="A25" s="17" t="s">
        <v>155</v>
      </c>
      <c r="B25" s="30">
        <v>0.01</v>
      </c>
      <c r="C25" s="30">
        <v>0.03</v>
      </c>
    </row>
    <row r="26" spans="1:8" x14ac:dyDescent="0.25">
      <c r="A26" s="17" t="s">
        <v>156</v>
      </c>
      <c r="B26" s="30">
        <v>0.03</v>
      </c>
      <c r="C26" s="30">
        <v>0.08</v>
      </c>
    </row>
    <row r="27" spans="1:8" x14ac:dyDescent="0.25">
      <c r="A27" s="17" t="s">
        <v>157</v>
      </c>
      <c r="B27" s="30">
        <v>0.05</v>
      </c>
      <c r="C27" s="30">
        <v>0.15</v>
      </c>
    </row>
    <row r="28" spans="1:8" x14ac:dyDescent="0.25">
      <c r="A28" s="17" t="s">
        <v>158</v>
      </c>
      <c r="B28" s="30">
        <v>7.0000000000000007E-2</v>
      </c>
      <c r="C28" s="30">
        <v>0.2</v>
      </c>
    </row>
    <row r="29" spans="1:8" x14ac:dyDescent="0.25">
      <c r="A29" s="17" t="s">
        <v>159</v>
      </c>
      <c r="B29" s="30">
        <v>0.1</v>
      </c>
      <c r="C29" s="30">
        <v>0.3</v>
      </c>
    </row>
  </sheetData>
  <mergeCells count="14">
    <mergeCell ref="D2:E2"/>
    <mergeCell ref="D3:E3"/>
    <mergeCell ref="F12:G12"/>
    <mergeCell ref="F13:G13"/>
    <mergeCell ref="F7:G7"/>
    <mergeCell ref="F8:G8"/>
    <mergeCell ref="F9:G9"/>
    <mergeCell ref="F10:G10"/>
    <mergeCell ref="F11:G11"/>
    <mergeCell ref="E16:F16"/>
    <mergeCell ref="F22:G22"/>
    <mergeCell ref="F23:G23"/>
    <mergeCell ref="F24:G24"/>
    <mergeCell ref="E15:F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29"/>
  <sheetViews>
    <sheetView topLeftCell="A4" workbookViewId="0">
      <selection activeCell="F27" sqref="F27"/>
    </sheetView>
  </sheetViews>
  <sheetFormatPr defaultRowHeight="15" x14ac:dyDescent="0.25"/>
  <cols>
    <col min="1" max="1" width="20.5703125" style="17" customWidth="1"/>
    <col min="2" max="2" width="11.7109375" style="17" customWidth="1"/>
    <col min="3" max="4" width="9.140625" style="17"/>
    <col min="5" max="5" width="10.140625" style="17" customWidth="1"/>
    <col min="6" max="6" width="10.7109375" style="17" customWidth="1"/>
    <col min="7" max="7" width="9.140625" style="17"/>
    <col min="8" max="8" width="10.42578125" style="17" customWidth="1"/>
    <col min="9" max="9" width="15.42578125" style="17" customWidth="1"/>
    <col min="10" max="258" width="9.140625" style="17"/>
    <col min="259" max="259" width="11.7109375" style="17" customWidth="1"/>
    <col min="260" max="260" width="9.140625" style="17"/>
    <col min="261" max="261" width="14.7109375" style="17" customWidth="1"/>
    <col min="262" max="262" width="10.7109375" style="17" customWidth="1"/>
    <col min="263" max="514" width="9.140625" style="17"/>
    <col min="515" max="515" width="11.7109375" style="17" customWidth="1"/>
    <col min="516" max="516" width="9.140625" style="17"/>
    <col min="517" max="517" width="14.7109375" style="17" customWidth="1"/>
    <col min="518" max="518" width="10.7109375" style="17" customWidth="1"/>
    <col min="519" max="770" width="9.140625" style="17"/>
    <col min="771" max="771" width="11.7109375" style="17" customWidth="1"/>
    <col min="772" max="772" width="9.140625" style="17"/>
    <col min="773" max="773" width="14.7109375" style="17" customWidth="1"/>
    <col min="774" max="774" width="10.7109375" style="17" customWidth="1"/>
    <col min="775" max="1026" width="9.140625" style="17"/>
    <col min="1027" max="1027" width="11.7109375" style="17" customWidth="1"/>
    <col min="1028" max="1028" width="9.140625" style="17"/>
    <col min="1029" max="1029" width="14.7109375" style="17" customWidth="1"/>
    <col min="1030" max="1030" width="10.7109375" style="17" customWidth="1"/>
    <col min="1031" max="1282" width="9.140625" style="17"/>
    <col min="1283" max="1283" width="11.7109375" style="17" customWidth="1"/>
    <col min="1284" max="1284" width="9.140625" style="17"/>
    <col min="1285" max="1285" width="14.7109375" style="17" customWidth="1"/>
    <col min="1286" max="1286" width="10.7109375" style="17" customWidth="1"/>
    <col min="1287" max="1538" width="9.140625" style="17"/>
    <col min="1539" max="1539" width="11.7109375" style="17" customWidth="1"/>
    <col min="1540" max="1540" width="9.140625" style="17"/>
    <col min="1541" max="1541" width="14.7109375" style="17" customWidth="1"/>
    <col min="1542" max="1542" width="10.7109375" style="17" customWidth="1"/>
    <col min="1543" max="1794" width="9.140625" style="17"/>
    <col min="1795" max="1795" width="11.7109375" style="17" customWidth="1"/>
    <col min="1796" max="1796" width="9.140625" style="17"/>
    <col min="1797" max="1797" width="14.7109375" style="17" customWidth="1"/>
    <col min="1798" max="1798" width="10.7109375" style="17" customWidth="1"/>
    <col min="1799" max="2050" width="9.140625" style="17"/>
    <col min="2051" max="2051" width="11.7109375" style="17" customWidth="1"/>
    <col min="2052" max="2052" width="9.140625" style="17"/>
    <col min="2053" max="2053" width="14.7109375" style="17" customWidth="1"/>
    <col min="2054" max="2054" width="10.7109375" style="17" customWidth="1"/>
    <col min="2055" max="2306" width="9.140625" style="17"/>
    <col min="2307" max="2307" width="11.7109375" style="17" customWidth="1"/>
    <col min="2308" max="2308" width="9.140625" style="17"/>
    <col min="2309" max="2309" width="14.7109375" style="17" customWidth="1"/>
    <col min="2310" max="2310" width="10.7109375" style="17" customWidth="1"/>
    <col min="2311" max="2562" width="9.140625" style="17"/>
    <col min="2563" max="2563" width="11.7109375" style="17" customWidth="1"/>
    <col min="2564" max="2564" width="9.140625" style="17"/>
    <col min="2565" max="2565" width="14.7109375" style="17" customWidth="1"/>
    <col min="2566" max="2566" width="10.7109375" style="17" customWidth="1"/>
    <col min="2567" max="2818" width="9.140625" style="17"/>
    <col min="2819" max="2819" width="11.7109375" style="17" customWidth="1"/>
    <col min="2820" max="2820" width="9.140625" style="17"/>
    <col min="2821" max="2821" width="14.7109375" style="17" customWidth="1"/>
    <col min="2822" max="2822" width="10.7109375" style="17" customWidth="1"/>
    <col min="2823" max="3074" width="9.140625" style="17"/>
    <col min="3075" max="3075" width="11.7109375" style="17" customWidth="1"/>
    <col min="3076" max="3076" width="9.140625" style="17"/>
    <col min="3077" max="3077" width="14.7109375" style="17" customWidth="1"/>
    <col min="3078" max="3078" width="10.7109375" style="17" customWidth="1"/>
    <col min="3079" max="3330" width="9.140625" style="17"/>
    <col min="3331" max="3331" width="11.7109375" style="17" customWidth="1"/>
    <col min="3332" max="3332" width="9.140625" style="17"/>
    <col min="3333" max="3333" width="14.7109375" style="17" customWidth="1"/>
    <col min="3334" max="3334" width="10.7109375" style="17" customWidth="1"/>
    <col min="3335" max="3586" width="9.140625" style="17"/>
    <col min="3587" max="3587" width="11.7109375" style="17" customWidth="1"/>
    <col min="3588" max="3588" width="9.140625" style="17"/>
    <col min="3589" max="3589" width="14.7109375" style="17" customWidth="1"/>
    <col min="3590" max="3590" width="10.7109375" style="17" customWidth="1"/>
    <col min="3591" max="3842" width="9.140625" style="17"/>
    <col min="3843" max="3843" width="11.7109375" style="17" customWidth="1"/>
    <col min="3844" max="3844" width="9.140625" style="17"/>
    <col min="3845" max="3845" width="14.7109375" style="17" customWidth="1"/>
    <col min="3846" max="3846" width="10.7109375" style="17" customWidth="1"/>
    <col min="3847" max="4098" width="9.140625" style="17"/>
    <col min="4099" max="4099" width="11.7109375" style="17" customWidth="1"/>
    <col min="4100" max="4100" width="9.140625" style="17"/>
    <col min="4101" max="4101" width="14.7109375" style="17" customWidth="1"/>
    <col min="4102" max="4102" width="10.7109375" style="17" customWidth="1"/>
    <col min="4103" max="4354" width="9.140625" style="17"/>
    <col min="4355" max="4355" width="11.7109375" style="17" customWidth="1"/>
    <col min="4356" max="4356" width="9.140625" style="17"/>
    <col min="4357" max="4357" width="14.7109375" style="17" customWidth="1"/>
    <col min="4358" max="4358" width="10.7109375" style="17" customWidth="1"/>
    <col min="4359" max="4610" width="9.140625" style="17"/>
    <col min="4611" max="4611" width="11.7109375" style="17" customWidth="1"/>
    <col min="4612" max="4612" width="9.140625" style="17"/>
    <col min="4613" max="4613" width="14.7109375" style="17" customWidth="1"/>
    <col min="4614" max="4614" width="10.7109375" style="17" customWidth="1"/>
    <col min="4615" max="4866" width="9.140625" style="17"/>
    <col min="4867" max="4867" width="11.7109375" style="17" customWidth="1"/>
    <col min="4868" max="4868" width="9.140625" style="17"/>
    <col min="4869" max="4869" width="14.7109375" style="17" customWidth="1"/>
    <col min="4870" max="4870" width="10.7109375" style="17" customWidth="1"/>
    <col min="4871" max="5122" width="9.140625" style="17"/>
    <col min="5123" max="5123" width="11.7109375" style="17" customWidth="1"/>
    <col min="5124" max="5124" width="9.140625" style="17"/>
    <col min="5125" max="5125" width="14.7109375" style="17" customWidth="1"/>
    <col min="5126" max="5126" width="10.7109375" style="17" customWidth="1"/>
    <col min="5127" max="5378" width="9.140625" style="17"/>
    <col min="5379" max="5379" width="11.7109375" style="17" customWidth="1"/>
    <col min="5380" max="5380" width="9.140625" style="17"/>
    <col min="5381" max="5381" width="14.7109375" style="17" customWidth="1"/>
    <col min="5382" max="5382" width="10.7109375" style="17" customWidth="1"/>
    <col min="5383" max="5634" width="9.140625" style="17"/>
    <col min="5635" max="5635" width="11.7109375" style="17" customWidth="1"/>
    <col min="5636" max="5636" width="9.140625" style="17"/>
    <col min="5637" max="5637" width="14.7109375" style="17" customWidth="1"/>
    <col min="5638" max="5638" width="10.7109375" style="17" customWidth="1"/>
    <col min="5639" max="5890" width="9.140625" style="17"/>
    <col min="5891" max="5891" width="11.7109375" style="17" customWidth="1"/>
    <col min="5892" max="5892" width="9.140625" style="17"/>
    <col min="5893" max="5893" width="14.7109375" style="17" customWidth="1"/>
    <col min="5894" max="5894" width="10.7109375" style="17" customWidth="1"/>
    <col min="5895" max="6146" width="9.140625" style="17"/>
    <col min="6147" max="6147" width="11.7109375" style="17" customWidth="1"/>
    <col min="6148" max="6148" width="9.140625" style="17"/>
    <col min="6149" max="6149" width="14.7109375" style="17" customWidth="1"/>
    <col min="6150" max="6150" width="10.7109375" style="17" customWidth="1"/>
    <col min="6151" max="6402" width="9.140625" style="17"/>
    <col min="6403" max="6403" width="11.7109375" style="17" customWidth="1"/>
    <col min="6404" max="6404" width="9.140625" style="17"/>
    <col min="6405" max="6405" width="14.7109375" style="17" customWidth="1"/>
    <col min="6406" max="6406" width="10.7109375" style="17" customWidth="1"/>
    <col min="6407" max="6658" width="9.140625" style="17"/>
    <col min="6659" max="6659" width="11.7109375" style="17" customWidth="1"/>
    <col min="6660" max="6660" width="9.140625" style="17"/>
    <col min="6661" max="6661" width="14.7109375" style="17" customWidth="1"/>
    <col min="6662" max="6662" width="10.7109375" style="17" customWidth="1"/>
    <col min="6663" max="6914" width="9.140625" style="17"/>
    <col min="6915" max="6915" width="11.7109375" style="17" customWidth="1"/>
    <col min="6916" max="6916" width="9.140625" style="17"/>
    <col min="6917" max="6917" width="14.7109375" style="17" customWidth="1"/>
    <col min="6918" max="6918" width="10.7109375" style="17" customWidth="1"/>
    <col min="6919" max="7170" width="9.140625" style="17"/>
    <col min="7171" max="7171" width="11.7109375" style="17" customWidth="1"/>
    <col min="7172" max="7172" width="9.140625" style="17"/>
    <col min="7173" max="7173" width="14.7109375" style="17" customWidth="1"/>
    <col min="7174" max="7174" width="10.7109375" style="17" customWidth="1"/>
    <col min="7175" max="7426" width="9.140625" style="17"/>
    <col min="7427" max="7427" width="11.7109375" style="17" customWidth="1"/>
    <col min="7428" max="7428" width="9.140625" style="17"/>
    <col min="7429" max="7429" width="14.7109375" style="17" customWidth="1"/>
    <col min="7430" max="7430" width="10.7109375" style="17" customWidth="1"/>
    <col min="7431" max="7682" width="9.140625" style="17"/>
    <col min="7683" max="7683" width="11.7109375" style="17" customWidth="1"/>
    <col min="7684" max="7684" width="9.140625" style="17"/>
    <col min="7685" max="7685" width="14.7109375" style="17" customWidth="1"/>
    <col min="7686" max="7686" width="10.7109375" style="17" customWidth="1"/>
    <col min="7687" max="7938" width="9.140625" style="17"/>
    <col min="7939" max="7939" width="11.7109375" style="17" customWidth="1"/>
    <col min="7940" max="7940" width="9.140625" style="17"/>
    <col min="7941" max="7941" width="14.7109375" style="17" customWidth="1"/>
    <col min="7942" max="7942" width="10.7109375" style="17" customWidth="1"/>
    <col min="7943" max="8194" width="9.140625" style="17"/>
    <col min="8195" max="8195" width="11.7109375" style="17" customWidth="1"/>
    <col min="8196" max="8196" width="9.140625" style="17"/>
    <col min="8197" max="8197" width="14.7109375" style="17" customWidth="1"/>
    <col min="8198" max="8198" width="10.7109375" style="17" customWidth="1"/>
    <col min="8199" max="8450" width="9.140625" style="17"/>
    <col min="8451" max="8451" width="11.7109375" style="17" customWidth="1"/>
    <col min="8452" max="8452" width="9.140625" style="17"/>
    <col min="8453" max="8453" width="14.7109375" style="17" customWidth="1"/>
    <col min="8454" max="8454" width="10.7109375" style="17" customWidth="1"/>
    <col min="8455" max="8706" width="9.140625" style="17"/>
    <col min="8707" max="8707" width="11.7109375" style="17" customWidth="1"/>
    <col min="8708" max="8708" width="9.140625" style="17"/>
    <col min="8709" max="8709" width="14.7109375" style="17" customWidth="1"/>
    <col min="8710" max="8710" width="10.7109375" style="17" customWidth="1"/>
    <col min="8711" max="8962" width="9.140625" style="17"/>
    <col min="8963" max="8963" width="11.7109375" style="17" customWidth="1"/>
    <col min="8964" max="8964" width="9.140625" style="17"/>
    <col min="8965" max="8965" width="14.7109375" style="17" customWidth="1"/>
    <col min="8966" max="8966" width="10.7109375" style="17" customWidth="1"/>
    <col min="8967" max="9218" width="9.140625" style="17"/>
    <col min="9219" max="9219" width="11.7109375" style="17" customWidth="1"/>
    <col min="9220" max="9220" width="9.140625" style="17"/>
    <col min="9221" max="9221" width="14.7109375" style="17" customWidth="1"/>
    <col min="9222" max="9222" width="10.7109375" style="17" customWidth="1"/>
    <col min="9223" max="9474" width="9.140625" style="17"/>
    <col min="9475" max="9475" width="11.7109375" style="17" customWidth="1"/>
    <col min="9476" max="9476" width="9.140625" style="17"/>
    <col min="9477" max="9477" width="14.7109375" style="17" customWidth="1"/>
    <col min="9478" max="9478" width="10.7109375" style="17" customWidth="1"/>
    <col min="9479" max="9730" width="9.140625" style="17"/>
    <col min="9731" max="9731" width="11.7109375" style="17" customWidth="1"/>
    <col min="9732" max="9732" width="9.140625" style="17"/>
    <col min="9733" max="9733" width="14.7109375" style="17" customWidth="1"/>
    <col min="9734" max="9734" width="10.7109375" style="17" customWidth="1"/>
    <col min="9735" max="9986" width="9.140625" style="17"/>
    <col min="9987" max="9987" width="11.7109375" style="17" customWidth="1"/>
    <col min="9988" max="9988" width="9.140625" style="17"/>
    <col min="9989" max="9989" width="14.7109375" style="17" customWidth="1"/>
    <col min="9990" max="9990" width="10.7109375" style="17" customWidth="1"/>
    <col min="9991" max="10242" width="9.140625" style="17"/>
    <col min="10243" max="10243" width="11.7109375" style="17" customWidth="1"/>
    <col min="10244" max="10244" width="9.140625" style="17"/>
    <col min="10245" max="10245" width="14.7109375" style="17" customWidth="1"/>
    <col min="10246" max="10246" width="10.7109375" style="17" customWidth="1"/>
    <col min="10247" max="10498" width="9.140625" style="17"/>
    <col min="10499" max="10499" width="11.7109375" style="17" customWidth="1"/>
    <col min="10500" max="10500" width="9.140625" style="17"/>
    <col min="10501" max="10501" width="14.7109375" style="17" customWidth="1"/>
    <col min="10502" max="10502" width="10.7109375" style="17" customWidth="1"/>
    <col min="10503" max="10754" width="9.140625" style="17"/>
    <col min="10755" max="10755" width="11.7109375" style="17" customWidth="1"/>
    <col min="10756" max="10756" width="9.140625" style="17"/>
    <col min="10757" max="10757" width="14.7109375" style="17" customWidth="1"/>
    <col min="10758" max="10758" width="10.7109375" style="17" customWidth="1"/>
    <col min="10759" max="11010" width="9.140625" style="17"/>
    <col min="11011" max="11011" width="11.7109375" style="17" customWidth="1"/>
    <col min="11012" max="11012" width="9.140625" style="17"/>
    <col min="11013" max="11013" width="14.7109375" style="17" customWidth="1"/>
    <col min="11014" max="11014" width="10.7109375" style="17" customWidth="1"/>
    <col min="11015" max="11266" width="9.140625" style="17"/>
    <col min="11267" max="11267" width="11.7109375" style="17" customWidth="1"/>
    <col min="11268" max="11268" width="9.140625" style="17"/>
    <col min="11269" max="11269" width="14.7109375" style="17" customWidth="1"/>
    <col min="11270" max="11270" width="10.7109375" style="17" customWidth="1"/>
    <col min="11271" max="11522" width="9.140625" style="17"/>
    <col min="11523" max="11523" width="11.7109375" style="17" customWidth="1"/>
    <col min="11524" max="11524" width="9.140625" style="17"/>
    <col min="11525" max="11525" width="14.7109375" style="17" customWidth="1"/>
    <col min="11526" max="11526" width="10.7109375" style="17" customWidth="1"/>
    <col min="11527" max="11778" width="9.140625" style="17"/>
    <col min="11779" max="11779" width="11.7109375" style="17" customWidth="1"/>
    <col min="11780" max="11780" width="9.140625" style="17"/>
    <col min="11781" max="11781" width="14.7109375" style="17" customWidth="1"/>
    <col min="11782" max="11782" width="10.7109375" style="17" customWidth="1"/>
    <col min="11783" max="12034" width="9.140625" style="17"/>
    <col min="12035" max="12035" width="11.7109375" style="17" customWidth="1"/>
    <col min="12036" max="12036" width="9.140625" style="17"/>
    <col min="12037" max="12037" width="14.7109375" style="17" customWidth="1"/>
    <col min="12038" max="12038" width="10.7109375" style="17" customWidth="1"/>
    <col min="12039" max="12290" width="9.140625" style="17"/>
    <col min="12291" max="12291" width="11.7109375" style="17" customWidth="1"/>
    <col min="12292" max="12292" width="9.140625" style="17"/>
    <col min="12293" max="12293" width="14.7109375" style="17" customWidth="1"/>
    <col min="12294" max="12294" width="10.7109375" style="17" customWidth="1"/>
    <col min="12295" max="12546" width="9.140625" style="17"/>
    <col min="12547" max="12547" width="11.7109375" style="17" customWidth="1"/>
    <col min="12548" max="12548" width="9.140625" style="17"/>
    <col min="12549" max="12549" width="14.7109375" style="17" customWidth="1"/>
    <col min="12550" max="12550" width="10.7109375" style="17" customWidth="1"/>
    <col min="12551" max="12802" width="9.140625" style="17"/>
    <col min="12803" max="12803" width="11.7109375" style="17" customWidth="1"/>
    <col min="12804" max="12804" width="9.140625" style="17"/>
    <col min="12805" max="12805" width="14.7109375" style="17" customWidth="1"/>
    <col min="12806" max="12806" width="10.7109375" style="17" customWidth="1"/>
    <col min="12807" max="13058" width="9.140625" style="17"/>
    <col min="13059" max="13059" width="11.7109375" style="17" customWidth="1"/>
    <col min="13060" max="13060" width="9.140625" style="17"/>
    <col min="13061" max="13061" width="14.7109375" style="17" customWidth="1"/>
    <col min="13062" max="13062" width="10.7109375" style="17" customWidth="1"/>
    <col min="13063" max="13314" width="9.140625" style="17"/>
    <col min="13315" max="13315" width="11.7109375" style="17" customWidth="1"/>
    <col min="13316" max="13316" width="9.140625" style="17"/>
    <col min="13317" max="13317" width="14.7109375" style="17" customWidth="1"/>
    <col min="13318" max="13318" width="10.7109375" style="17" customWidth="1"/>
    <col min="13319" max="13570" width="9.140625" style="17"/>
    <col min="13571" max="13571" width="11.7109375" style="17" customWidth="1"/>
    <col min="13572" max="13572" width="9.140625" style="17"/>
    <col min="13573" max="13573" width="14.7109375" style="17" customWidth="1"/>
    <col min="13574" max="13574" width="10.7109375" style="17" customWidth="1"/>
    <col min="13575" max="13826" width="9.140625" style="17"/>
    <col min="13827" max="13827" width="11.7109375" style="17" customWidth="1"/>
    <col min="13828" max="13828" width="9.140625" style="17"/>
    <col min="13829" max="13829" width="14.7109375" style="17" customWidth="1"/>
    <col min="13830" max="13830" width="10.7109375" style="17" customWidth="1"/>
    <col min="13831" max="14082" width="9.140625" style="17"/>
    <col min="14083" max="14083" width="11.7109375" style="17" customWidth="1"/>
    <col min="14084" max="14084" width="9.140625" style="17"/>
    <col min="14085" max="14085" width="14.7109375" style="17" customWidth="1"/>
    <col min="14086" max="14086" width="10.7109375" style="17" customWidth="1"/>
    <col min="14087" max="14338" width="9.140625" style="17"/>
    <col min="14339" max="14339" width="11.7109375" style="17" customWidth="1"/>
    <col min="14340" max="14340" width="9.140625" style="17"/>
    <col min="14341" max="14341" width="14.7109375" style="17" customWidth="1"/>
    <col min="14342" max="14342" width="10.7109375" style="17" customWidth="1"/>
    <col min="14343" max="14594" width="9.140625" style="17"/>
    <col min="14595" max="14595" width="11.7109375" style="17" customWidth="1"/>
    <col min="14596" max="14596" width="9.140625" style="17"/>
    <col min="14597" max="14597" width="14.7109375" style="17" customWidth="1"/>
    <col min="14598" max="14598" width="10.7109375" style="17" customWidth="1"/>
    <col min="14599" max="14850" width="9.140625" style="17"/>
    <col min="14851" max="14851" width="11.7109375" style="17" customWidth="1"/>
    <col min="14852" max="14852" width="9.140625" style="17"/>
    <col min="14853" max="14853" width="14.7109375" style="17" customWidth="1"/>
    <col min="14854" max="14854" width="10.7109375" style="17" customWidth="1"/>
    <col min="14855" max="15106" width="9.140625" style="17"/>
    <col min="15107" max="15107" width="11.7109375" style="17" customWidth="1"/>
    <col min="15108" max="15108" width="9.140625" style="17"/>
    <col min="15109" max="15109" width="14.7109375" style="17" customWidth="1"/>
    <col min="15110" max="15110" width="10.7109375" style="17" customWidth="1"/>
    <col min="15111" max="15362" width="9.140625" style="17"/>
    <col min="15363" max="15363" width="11.7109375" style="17" customWidth="1"/>
    <col min="15364" max="15364" width="9.140625" style="17"/>
    <col min="15365" max="15365" width="14.7109375" style="17" customWidth="1"/>
    <col min="15366" max="15366" width="10.7109375" style="17" customWidth="1"/>
    <col min="15367" max="15618" width="9.140625" style="17"/>
    <col min="15619" max="15619" width="11.7109375" style="17" customWidth="1"/>
    <col min="15620" max="15620" width="9.140625" style="17"/>
    <col min="15621" max="15621" width="14.7109375" style="17" customWidth="1"/>
    <col min="15622" max="15622" width="10.7109375" style="17" customWidth="1"/>
    <col min="15623" max="15874" width="9.140625" style="17"/>
    <col min="15875" max="15875" width="11.7109375" style="17" customWidth="1"/>
    <col min="15876" max="15876" width="9.140625" style="17"/>
    <col min="15877" max="15877" width="14.7109375" style="17" customWidth="1"/>
    <col min="15878" max="15878" width="10.7109375" style="17" customWidth="1"/>
    <col min="15879" max="16130" width="9.140625" style="17"/>
    <col min="16131" max="16131" width="11.7109375" style="17" customWidth="1"/>
    <col min="16132" max="16132" width="9.140625" style="17"/>
    <col min="16133" max="16133" width="14.7109375" style="17" customWidth="1"/>
    <col min="16134" max="16134" width="10.7109375" style="17" customWidth="1"/>
    <col min="16135" max="16384" width="9.140625" style="17"/>
  </cols>
  <sheetData>
    <row r="2" spans="1:13" x14ac:dyDescent="0.25">
      <c r="A2" s="18" t="s">
        <v>146</v>
      </c>
      <c r="B2" s="18" t="s">
        <v>147</v>
      </c>
      <c r="C2" s="18" t="s">
        <v>148</v>
      </c>
      <c r="D2" s="314" t="s">
        <v>149</v>
      </c>
      <c r="E2" s="314"/>
    </row>
    <row r="3" spans="1:13" x14ac:dyDescent="0.25">
      <c r="A3" s="21">
        <v>0</v>
      </c>
      <c r="B3" s="21">
        <v>0</v>
      </c>
      <c r="C3" s="21">
        <v>1</v>
      </c>
      <c r="D3" s="316">
        <v>4</v>
      </c>
      <c r="E3" s="316"/>
    </row>
    <row r="5" spans="1:13" hidden="1" x14ac:dyDescent="0.25">
      <c r="A5" s="17" t="s">
        <v>111</v>
      </c>
      <c r="B5" s="19" t="s">
        <v>163</v>
      </c>
      <c r="C5" s="19">
        <f>D3</f>
        <v>4</v>
      </c>
      <c r="D5" s="20"/>
    </row>
    <row r="6" spans="1:13" x14ac:dyDescent="0.25">
      <c r="A6" s="17" t="s">
        <v>112</v>
      </c>
      <c r="B6" s="22">
        <v>10</v>
      </c>
      <c r="C6" s="23">
        <v>10</v>
      </c>
      <c r="D6" s="24">
        <f>((100/B6)*C6)/100</f>
        <v>1</v>
      </c>
    </row>
    <row r="7" spans="1:13" x14ac:dyDescent="0.25">
      <c r="A7" s="17" t="s">
        <v>113</v>
      </c>
      <c r="B7" s="22">
        <f>A3+B3+C3+D3</f>
        <v>5</v>
      </c>
      <c r="C7" s="23">
        <v>5</v>
      </c>
      <c r="D7" s="24">
        <f t="shared" ref="D7:D12" si="0">((100/B7)*C7)/100</f>
        <v>1</v>
      </c>
      <c r="F7" s="317" t="s">
        <v>164</v>
      </c>
      <c r="G7" s="317"/>
      <c r="H7" s="25" t="s">
        <v>165</v>
      </c>
      <c r="J7" s="31"/>
    </row>
    <row r="8" spans="1:13" x14ac:dyDescent="0.25">
      <c r="A8" s="17" t="s">
        <v>118</v>
      </c>
      <c r="B8" s="22">
        <f>C5</f>
        <v>4</v>
      </c>
      <c r="C8" s="23">
        <v>4</v>
      </c>
      <c r="D8" s="24">
        <f t="shared" si="0"/>
        <v>1</v>
      </c>
      <c r="F8" s="315" t="s">
        <v>166</v>
      </c>
      <c r="G8" s="315"/>
      <c r="H8" s="22" t="s">
        <v>167</v>
      </c>
    </row>
    <row r="9" spans="1:13" x14ac:dyDescent="0.25">
      <c r="A9" s="17" t="s">
        <v>120</v>
      </c>
      <c r="B9" s="22">
        <f>C5</f>
        <v>4</v>
      </c>
      <c r="C9" s="23">
        <v>4</v>
      </c>
      <c r="D9" s="24">
        <f t="shared" si="0"/>
        <v>1</v>
      </c>
      <c r="F9" s="315" t="s">
        <v>168</v>
      </c>
      <c r="G9" s="315"/>
      <c r="H9" s="22" t="s">
        <v>169</v>
      </c>
    </row>
    <row r="10" spans="1:13" x14ac:dyDescent="0.25">
      <c r="A10" s="17" t="s">
        <v>78</v>
      </c>
      <c r="B10" s="22">
        <f>C5</f>
        <v>4</v>
      </c>
      <c r="C10" s="23">
        <v>4</v>
      </c>
      <c r="D10" s="24">
        <f t="shared" si="0"/>
        <v>1</v>
      </c>
      <c r="F10" s="315" t="s">
        <v>170</v>
      </c>
      <c r="G10" s="315"/>
      <c r="H10" s="22" t="s">
        <v>171</v>
      </c>
    </row>
    <row r="11" spans="1:13" x14ac:dyDescent="0.25">
      <c r="A11" s="26" t="s">
        <v>116</v>
      </c>
      <c r="B11" s="22">
        <f>C5</f>
        <v>4</v>
      </c>
      <c r="C11" s="23">
        <v>4</v>
      </c>
      <c r="D11" s="24">
        <f t="shared" si="0"/>
        <v>1</v>
      </c>
      <c r="F11" s="315" t="s">
        <v>172</v>
      </c>
      <c r="G11" s="315"/>
      <c r="H11" s="22" t="s">
        <v>173</v>
      </c>
    </row>
    <row r="12" spans="1:13" x14ac:dyDescent="0.25">
      <c r="A12" s="17" t="s">
        <v>80</v>
      </c>
      <c r="B12" s="22">
        <f>C5</f>
        <v>4</v>
      </c>
      <c r="C12" s="23">
        <v>4</v>
      </c>
      <c r="D12" s="24">
        <f t="shared" si="0"/>
        <v>1</v>
      </c>
      <c r="F12" s="315" t="s">
        <v>174</v>
      </c>
      <c r="G12" s="315"/>
      <c r="H12" s="22" t="s">
        <v>175</v>
      </c>
    </row>
    <row r="13" spans="1:13" x14ac:dyDescent="0.25">
      <c r="F13" s="315" t="s">
        <v>176</v>
      </c>
      <c r="G13" s="315"/>
      <c r="H13" s="22" t="s">
        <v>177</v>
      </c>
    </row>
    <row r="14" spans="1:13" hidden="1" x14ac:dyDescent="0.25">
      <c r="A14" s="18"/>
      <c r="B14" s="18" t="s">
        <v>117</v>
      </c>
      <c r="C14" s="18" t="s">
        <v>121</v>
      </c>
      <c r="G14" s="18" t="s">
        <v>112</v>
      </c>
      <c r="H14" s="18" t="s">
        <v>114</v>
      </c>
      <c r="I14" s="18" t="s">
        <v>115</v>
      </c>
      <c r="J14" s="18" t="s">
        <v>77</v>
      </c>
      <c r="K14" s="18" t="s">
        <v>78</v>
      </c>
      <c r="L14" s="18" t="s">
        <v>116</v>
      </c>
      <c r="M14" s="18" t="s">
        <v>80</v>
      </c>
    </row>
    <row r="15" spans="1:13" hidden="1" x14ac:dyDescent="0.25">
      <c r="A15" s="18" t="s">
        <v>74</v>
      </c>
      <c r="B15" s="18">
        <f>G15</f>
        <v>10</v>
      </c>
      <c r="C15" s="18">
        <f>G16</f>
        <v>30</v>
      </c>
      <c r="E15" s="314" t="s">
        <v>117</v>
      </c>
      <c r="F15" s="314"/>
      <c r="G15" s="27">
        <f>C6</f>
        <v>10</v>
      </c>
      <c r="H15" s="27">
        <f>40/B7*C7</f>
        <v>40</v>
      </c>
      <c r="I15" s="27">
        <f>15/B8*C8</f>
        <v>15</v>
      </c>
      <c r="J15" s="27">
        <f>10/B9*C9</f>
        <v>10</v>
      </c>
      <c r="K15" s="27">
        <f>10/B10*C10</f>
        <v>10</v>
      </c>
      <c r="L15" s="27">
        <f>5/B11*C11</f>
        <v>5</v>
      </c>
      <c r="M15" s="27">
        <f>5/B12*C12</f>
        <v>5</v>
      </c>
    </row>
    <row r="16" spans="1:13" hidden="1" x14ac:dyDescent="0.25">
      <c r="A16" s="18" t="s">
        <v>75</v>
      </c>
      <c r="B16" s="18">
        <f>H15</f>
        <v>40</v>
      </c>
      <c r="C16" s="18">
        <f>H16</f>
        <v>30</v>
      </c>
      <c r="E16" s="314" t="s">
        <v>119</v>
      </c>
      <c r="F16" s="314"/>
      <c r="G16" s="18">
        <f>G15+20</f>
        <v>30</v>
      </c>
      <c r="H16" s="18">
        <f>30/B7*C7</f>
        <v>30</v>
      </c>
      <c r="I16" s="18">
        <f>15/B8*C8</f>
        <v>15</v>
      </c>
      <c r="J16" s="18">
        <f>10/B9*C9</f>
        <v>10</v>
      </c>
      <c r="K16" s="18">
        <f>5/B10*C10</f>
        <v>5</v>
      </c>
      <c r="L16" s="18">
        <f>5/B11*C11</f>
        <v>5</v>
      </c>
      <c r="M16" s="18">
        <f>5/B12*C12</f>
        <v>5</v>
      </c>
    </row>
    <row r="17" spans="1:8" hidden="1" x14ac:dyDescent="0.25">
      <c r="A17" s="18" t="s">
        <v>115</v>
      </c>
      <c r="B17" s="18">
        <f>I15</f>
        <v>15</v>
      </c>
      <c r="C17" s="18">
        <f>I16</f>
        <v>15</v>
      </c>
    </row>
    <row r="18" spans="1:8" hidden="1" x14ac:dyDescent="0.25">
      <c r="A18" s="18" t="s">
        <v>77</v>
      </c>
      <c r="B18" s="18">
        <f>J15</f>
        <v>10</v>
      </c>
      <c r="C18" s="18">
        <f>J16</f>
        <v>10</v>
      </c>
    </row>
    <row r="19" spans="1:8" hidden="1" x14ac:dyDescent="0.25">
      <c r="A19" s="18" t="s">
        <v>78</v>
      </c>
      <c r="B19" s="18">
        <f>K15</f>
        <v>10</v>
      </c>
      <c r="C19" s="18">
        <f>K16</f>
        <v>5</v>
      </c>
    </row>
    <row r="20" spans="1:8" hidden="1" x14ac:dyDescent="0.25">
      <c r="A20" s="28" t="s">
        <v>116</v>
      </c>
      <c r="B20" s="18">
        <f>L15</f>
        <v>5</v>
      </c>
      <c r="C20" s="18">
        <f>L16</f>
        <v>5</v>
      </c>
    </row>
    <row r="21" spans="1:8" hidden="1" x14ac:dyDescent="0.25">
      <c r="A21" s="18" t="s">
        <v>80</v>
      </c>
      <c r="B21" s="18">
        <f>M15</f>
        <v>5</v>
      </c>
      <c r="C21" s="18">
        <f>M16</f>
        <v>5</v>
      </c>
    </row>
    <row r="22" spans="1:8" x14ac:dyDescent="0.25">
      <c r="A22" s="18" t="s">
        <v>122</v>
      </c>
      <c r="B22" s="29">
        <f>(B15+B16+B17+B18+B19+B20+B21)/100</f>
        <v>0.95</v>
      </c>
      <c r="C22" s="29">
        <f>(C15+C16+C17+C18+C19+C20+C21)/100</f>
        <v>1</v>
      </c>
      <c r="F22" s="315" t="s">
        <v>178</v>
      </c>
      <c r="G22" s="315"/>
      <c r="H22" s="22" t="s">
        <v>169</v>
      </c>
    </row>
    <row r="23" spans="1:8" x14ac:dyDescent="0.25">
      <c r="F23" s="315" t="s">
        <v>179</v>
      </c>
      <c r="G23" s="315"/>
      <c r="H23" s="22" t="s">
        <v>180</v>
      </c>
    </row>
    <row r="24" spans="1:8" x14ac:dyDescent="0.25">
      <c r="A24" s="17" t="s">
        <v>154</v>
      </c>
      <c r="B24" s="30">
        <v>0.01</v>
      </c>
      <c r="C24" s="30">
        <v>0.02</v>
      </c>
      <c r="F24" s="315" t="s">
        <v>181</v>
      </c>
      <c r="G24" s="315"/>
      <c r="H24" s="22" t="s">
        <v>182</v>
      </c>
    </row>
    <row r="25" spans="1:8" x14ac:dyDescent="0.25">
      <c r="A25" s="17" t="s">
        <v>155</v>
      </c>
      <c r="B25" s="30">
        <v>0.01</v>
      </c>
      <c r="C25" s="30">
        <v>0.03</v>
      </c>
    </row>
    <row r="26" spans="1:8" x14ac:dyDescent="0.25">
      <c r="A26" s="17" t="s">
        <v>156</v>
      </c>
      <c r="B26" s="30">
        <v>0.03</v>
      </c>
      <c r="C26" s="30">
        <v>0.08</v>
      </c>
    </row>
    <row r="27" spans="1:8" x14ac:dyDescent="0.25">
      <c r="A27" s="17" t="s">
        <v>157</v>
      </c>
      <c r="B27" s="30">
        <v>0.05</v>
      </c>
      <c r="C27" s="30">
        <v>0.15</v>
      </c>
    </row>
    <row r="28" spans="1:8" x14ac:dyDescent="0.25">
      <c r="A28" s="17" t="s">
        <v>158</v>
      </c>
      <c r="B28" s="30">
        <v>7.0000000000000007E-2</v>
      </c>
      <c r="C28" s="30">
        <v>0.2</v>
      </c>
    </row>
    <row r="29" spans="1:8" x14ac:dyDescent="0.25">
      <c r="A29" s="17" t="s">
        <v>159</v>
      </c>
      <c r="B29" s="30">
        <v>0.1</v>
      </c>
      <c r="C29" s="30">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9"/>
  <sheetViews>
    <sheetView workbookViewId="0">
      <selection activeCell="E31" sqref="E31"/>
    </sheetView>
  </sheetViews>
  <sheetFormatPr defaultRowHeight="15" x14ac:dyDescent="0.25"/>
  <cols>
    <col min="1" max="1" width="20.5703125" style="17" customWidth="1"/>
    <col min="2" max="2" width="11.7109375" style="17" customWidth="1"/>
    <col min="3" max="4" width="9.140625" style="17"/>
    <col min="5" max="5" width="10.140625" style="17" customWidth="1"/>
    <col min="6" max="6" width="10.7109375" style="17" customWidth="1"/>
    <col min="7" max="7" width="9.140625" style="17"/>
    <col min="8" max="8" width="10.42578125" style="17" customWidth="1"/>
    <col min="9" max="9" width="15.42578125" style="17" customWidth="1"/>
    <col min="10" max="258" width="9.140625" style="17"/>
    <col min="259" max="259" width="11.7109375" style="17" customWidth="1"/>
    <col min="260" max="260" width="9.140625" style="17"/>
    <col min="261" max="261" width="14.7109375" style="17" customWidth="1"/>
    <col min="262" max="262" width="10.7109375" style="17" customWidth="1"/>
    <col min="263" max="514" width="9.140625" style="17"/>
    <col min="515" max="515" width="11.7109375" style="17" customWidth="1"/>
    <col min="516" max="516" width="9.140625" style="17"/>
    <col min="517" max="517" width="14.7109375" style="17" customWidth="1"/>
    <col min="518" max="518" width="10.7109375" style="17" customWidth="1"/>
    <col min="519" max="770" width="9.140625" style="17"/>
    <col min="771" max="771" width="11.7109375" style="17" customWidth="1"/>
    <col min="772" max="772" width="9.140625" style="17"/>
    <col min="773" max="773" width="14.7109375" style="17" customWidth="1"/>
    <col min="774" max="774" width="10.7109375" style="17" customWidth="1"/>
    <col min="775" max="1026" width="9.140625" style="17"/>
    <col min="1027" max="1027" width="11.7109375" style="17" customWidth="1"/>
    <col min="1028" max="1028" width="9.140625" style="17"/>
    <col min="1029" max="1029" width="14.7109375" style="17" customWidth="1"/>
    <col min="1030" max="1030" width="10.7109375" style="17" customWidth="1"/>
    <col min="1031" max="1282" width="9.140625" style="17"/>
    <col min="1283" max="1283" width="11.7109375" style="17" customWidth="1"/>
    <col min="1284" max="1284" width="9.140625" style="17"/>
    <col min="1285" max="1285" width="14.7109375" style="17" customWidth="1"/>
    <col min="1286" max="1286" width="10.7109375" style="17" customWidth="1"/>
    <col min="1287" max="1538" width="9.140625" style="17"/>
    <col min="1539" max="1539" width="11.7109375" style="17" customWidth="1"/>
    <col min="1540" max="1540" width="9.140625" style="17"/>
    <col min="1541" max="1541" width="14.7109375" style="17" customWidth="1"/>
    <col min="1542" max="1542" width="10.7109375" style="17" customWidth="1"/>
    <col min="1543" max="1794" width="9.140625" style="17"/>
    <col min="1795" max="1795" width="11.7109375" style="17" customWidth="1"/>
    <col min="1796" max="1796" width="9.140625" style="17"/>
    <col min="1797" max="1797" width="14.7109375" style="17" customWidth="1"/>
    <col min="1798" max="1798" width="10.7109375" style="17" customWidth="1"/>
    <col min="1799" max="2050" width="9.140625" style="17"/>
    <col min="2051" max="2051" width="11.7109375" style="17" customWidth="1"/>
    <col min="2052" max="2052" width="9.140625" style="17"/>
    <col min="2053" max="2053" width="14.7109375" style="17" customWidth="1"/>
    <col min="2054" max="2054" width="10.7109375" style="17" customWidth="1"/>
    <col min="2055" max="2306" width="9.140625" style="17"/>
    <col min="2307" max="2307" width="11.7109375" style="17" customWidth="1"/>
    <col min="2308" max="2308" width="9.140625" style="17"/>
    <col min="2309" max="2309" width="14.7109375" style="17" customWidth="1"/>
    <col min="2310" max="2310" width="10.7109375" style="17" customWidth="1"/>
    <col min="2311" max="2562" width="9.140625" style="17"/>
    <col min="2563" max="2563" width="11.7109375" style="17" customWidth="1"/>
    <col min="2564" max="2564" width="9.140625" style="17"/>
    <col min="2565" max="2565" width="14.7109375" style="17" customWidth="1"/>
    <col min="2566" max="2566" width="10.7109375" style="17" customWidth="1"/>
    <col min="2567" max="2818" width="9.140625" style="17"/>
    <col min="2819" max="2819" width="11.7109375" style="17" customWidth="1"/>
    <col min="2820" max="2820" width="9.140625" style="17"/>
    <col min="2821" max="2821" width="14.7109375" style="17" customWidth="1"/>
    <col min="2822" max="2822" width="10.7109375" style="17" customWidth="1"/>
    <col min="2823" max="3074" width="9.140625" style="17"/>
    <col min="3075" max="3075" width="11.7109375" style="17" customWidth="1"/>
    <col min="3076" max="3076" width="9.140625" style="17"/>
    <col min="3077" max="3077" width="14.7109375" style="17" customWidth="1"/>
    <col min="3078" max="3078" width="10.7109375" style="17" customWidth="1"/>
    <col min="3079" max="3330" width="9.140625" style="17"/>
    <col min="3331" max="3331" width="11.7109375" style="17" customWidth="1"/>
    <col min="3332" max="3332" width="9.140625" style="17"/>
    <col min="3333" max="3333" width="14.7109375" style="17" customWidth="1"/>
    <col min="3334" max="3334" width="10.7109375" style="17" customWidth="1"/>
    <col min="3335" max="3586" width="9.140625" style="17"/>
    <col min="3587" max="3587" width="11.7109375" style="17" customWidth="1"/>
    <col min="3588" max="3588" width="9.140625" style="17"/>
    <col min="3589" max="3589" width="14.7109375" style="17" customWidth="1"/>
    <col min="3590" max="3590" width="10.7109375" style="17" customWidth="1"/>
    <col min="3591" max="3842" width="9.140625" style="17"/>
    <col min="3843" max="3843" width="11.7109375" style="17" customWidth="1"/>
    <col min="3844" max="3844" width="9.140625" style="17"/>
    <col min="3845" max="3845" width="14.7109375" style="17" customWidth="1"/>
    <col min="3846" max="3846" width="10.7109375" style="17" customWidth="1"/>
    <col min="3847" max="4098" width="9.140625" style="17"/>
    <col min="4099" max="4099" width="11.7109375" style="17" customWidth="1"/>
    <col min="4100" max="4100" width="9.140625" style="17"/>
    <col min="4101" max="4101" width="14.7109375" style="17" customWidth="1"/>
    <col min="4102" max="4102" width="10.7109375" style="17" customWidth="1"/>
    <col min="4103" max="4354" width="9.140625" style="17"/>
    <col min="4355" max="4355" width="11.7109375" style="17" customWidth="1"/>
    <col min="4356" max="4356" width="9.140625" style="17"/>
    <col min="4357" max="4357" width="14.7109375" style="17" customWidth="1"/>
    <col min="4358" max="4358" width="10.7109375" style="17" customWidth="1"/>
    <col min="4359" max="4610" width="9.140625" style="17"/>
    <col min="4611" max="4611" width="11.7109375" style="17" customWidth="1"/>
    <col min="4612" max="4612" width="9.140625" style="17"/>
    <col min="4613" max="4613" width="14.7109375" style="17" customWidth="1"/>
    <col min="4614" max="4614" width="10.7109375" style="17" customWidth="1"/>
    <col min="4615" max="4866" width="9.140625" style="17"/>
    <col min="4867" max="4867" width="11.7109375" style="17" customWidth="1"/>
    <col min="4868" max="4868" width="9.140625" style="17"/>
    <col min="4869" max="4869" width="14.7109375" style="17" customWidth="1"/>
    <col min="4870" max="4870" width="10.7109375" style="17" customWidth="1"/>
    <col min="4871" max="5122" width="9.140625" style="17"/>
    <col min="5123" max="5123" width="11.7109375" style="17" customWidth="1"/>
    <col min="5124" max="5124" width="9.140625" style="17"/>
    <col min="5125" max="5125" width="14.7109375" style="17" customWidth="1"/>
    <col min="5126" max="5126" width="10.7109375" style="17" customWidth="1"/>
    <col min="5127" max="5378" width="9.140625" style="17"/>
    <col min="5379" max="5379" width="11.7109375" style="17" customWidth="1"/>
    <col min="5380" max="5380" width="9.140625" style="17"/>
    <col min="5381" max="5381" width="14.7109375" style="17" customWidth="1"/>
    <col min="5382" max="5382" width="10.7109375" style="17" customWidth="1"/>
    <col min="5383" max="5634" width="9.140625" style="17"/>
    <col min="5635" max="5635" width="11.7109375" style="17" customWidth="1"/>
    <col min="5636" max="5636" width="9.140625" style="17"/>
    <col min="5637" max="5637" width="14.7109375" style="17" customWidth="1"/>
    <col min="5638" max="5638" width="10.7109375" style="17" customWidth="1"/>
    <col min="5639" max="5890" width="9.140625" style="17"/>
    <col min="5891" max="5891" width="11.7109375" style="17" customWidth="1"/>
    <col min="5892" max="5892" width="9.140625" style="17"/>
    <col min="5893" max="5893" width="14.7109375" style="17" customWidth="1"/>
    <col min="5894" max="5894" width="10.7109375" style="17" customWidth="1"/>
    <col min="5895" max="6146" width="9.140625" style="17"/>
    <col min="6147" max="6147" width="11.7109375" style="17" customWidth="1"/>
    <col min="6148" max="6148" width="9.140625" style="17"/>
    <col min="6149" max="6149" width="14.7109375" style="17" customWidth="1"/>
    <col min="6150" max="6150" width="10.7109375" style="17" customWidth="1"/>
    <col min="6151" max="6402" width="9.140625" style="17"/>
    <col min="6403" max="6403" width="11.7109375" style="17" customWidth="1"/>
    <col min="6404" max="6404" width="9.140625" style="17"/>
    <col min="6405" max="6405" width="14.7109375" style="17" customWidth="1"/>
    <col min="6406" max="6406" width="10.7109375" style="17" customWidth="1"/>
    <col min="6407" max="6658" width="9.140625" style="17"/>
    <col min="6659" max="6659" width="11.7109375" style="17" customWidth="1"/>
    <col min="6660" max="6660" width="9.140625" style="17"/>
    <col min="6661" max="6661" width="14.7109375" style="17" customWidth="1"/>
    <col min="6662" max="6662" width="10.7109375" style="17" customWidth="1"/>
    <col min="6663" max="6914" width="9.140625" style="17"/>
    <col min="6915" max="6915" width="11.7109375" style="17" customWidth="1"/>
    <col min="6916" max="6916" width="9.140625" style="17"/>
    <col min="6917" max="6917" width="14.7109375" style="17" customWidth="1"/>
    <col min="6918" max="6918" width="10.7109375" style="17" customWidth="1"/>
    <col min="6919" max="7170" width="9.140625" style="17"/>
    <col min="7171" max="7171" width="11.7109375" style="17" customWidth="1"/>
    <col min="7172" max="7172" width="9.140625" style="17"/>
    <col min="7173" max="7173" width="14.7109375" style="17" customWidth="1"/>
    <col min="7174" max="7174" width="10.7109375" style="17" customWidth="1"/>
    <col min="7175" max="7426" width="9.140625" style="17"/>
    <col min="7427" max="7427" width="11.7109375" style="17" customWidth="1"/>
    <col min="7428" max="7428" width="9.140625" style="17"/>
    <col min="7429" max="7429" width="14.7109375" style="17" customWidth="1"/>
    <col min="7430" max="7430" width="10.7109375" style="17" customWidth="1"/>
    <col min="7431" max="7682" width="9.140625" style="17"/>
    <col min="7683" max="7683" width="11.7109375" style="17" customWidth="1"/>
    <col min="7684" max="7684" width="9.140625" style="17"/>
    <col min="7685" max="7685" width="14.7109375" style="17" customWidth="1"/>
    <col min="7686" max="7686" width="10.7109375" style="17" customWidth="1"/>
    <col min="7687" max="7938" width="9.140625" style="17"/>
    <col min="7939" max="7939" width="11.7109375" style="17" customWidth="1"/>
    <col min="7940" max="7940" width="9.140625" style="17"/>
    <col min="7941" max="7941" width="14.7109375" style="17" customWidth="1"/>
    <col min="7942" max="7942" width="10.7109375" style="17" customWidth="1"/>
    <col min="7943" max="8194" width="9.140625" style="17"/>
    <col min="8195" max="8195" width="11.7109375" style="17" customWidth="1"/>
    <col min="8196" max="8196" width="9.140625" style="17"/>
    <col min="8197" max="8197" width="14.7109375" style="17" customWidth="1"/>
    <col min="8198" max="8198" width="10.7109375" style="17" customWidth="1"/>
    <col min="8199" max="8450" width="9.140625" style="17"/>
    <col min="8451" max="8451" width="11.7109375" style="17" customWidth="1"/>
    <col min="8452" max="8452" width="9.140625" style="17"/>
    <col min="8453" max="8453" width="14.7109375" style="17" customWidth="1"/>
    <col min="8454" max="8454" width="10.7109375" style="17" customWidth="1"/>
    <col min="8455" max="8706" width="9.140625" style="17"/>
    <col min="8707" max="8707" width="11.7109375" style="17" customWidth="1"/>
    <col min="8708" max="8708" width="9.140625" style="17"/>
    <col min="8709" max="8709" width="14.7109375" style="17" customWidth="1"/>
    <col min="8710" max="8710" width="10.7109375" style="17" customWidth="1"/>
    <col min="8711" max="8962" width="9.140625" style="17"/>
    <col min="8963" max="8963" width="11.7109375" style="17" customWidth="1"/>
    <col min="8964" max="8964" width="9.140625" style="17"/>
    <col min="8965" max="8965" width="14.7109375" style="17" customWidth="1"/>
    <col min="8966" max="8966" width="10.7109375" style="17" customWidth="1"/>
    <col min="8967" max="9218" width="9.140625" style="17"/>
    <col min="9219" max="9219" width="11.7109375" style="17" customWidth="1"/>
    <col min="9220" max="9220" width="9.140625" style="17"/>
    <col min="9221" max="9221" width="14.7109375" style="17" customWidth="1"/>
    <col min="9222" max="9222" width="10.7109375" style="17" customWidth="1"/>
    <col min="9223" max="9474" width="9.140625" style="17"/>
    <col min="9475" max="9475" width="11.7109375" style="17" customWidth="1"/>
    <col min="9476" max="9476" width="9.140625" style="17"/>
    <col min="9477" max="9477" width="14.7109375" style="17" customWidth="1"/>
    <col min="9478" max="9478" width="10.7109375" style="17" customWidth="1"/>
    <col min="9479" max="9730" width="9.140625" style="17"/>
    <col min="9731" max="9731" width="11.7109375" style="17" customWidth="1"/>
    <col min="9732" max="9732" width="9.140625" style="17"/>
    <col min="9733" max="9733" width="14.7109375" style="17" customWidth="1"/>
    <col min="9734" max="9734" width="10.7109375" style="17" customWidth="1"/>
    <col min="9735" max="9986" width="9.140625" style="17"/>
    <col min="9987" max="9987" width="11.7109375" style="17" customWidth="1"/>
    <col min="9988" max="9988" width="9.140625" style="17"/>
    <col min="9989" max="9989" width="14.7109375" style="17" customWidth="1"/>
    <col min="9990" max="9990" width="10.7109375" style="17" customWidth="1"/>
    <col min="9991" max="10242" width="9.140625" style="17"/>
    <col min="10243" max="10243" width="11.7109375" style="17" customWidth="1"/>
    <col min="10244" max="10244" width="9.140625" style="17"/>
    <col min="10245" max="10245" width="14.7109375" style="17" customWidth="1"/>
    <col min="10246" max="10246" width="10.7109375" style="17" customWidth="1"/>
    <col min="10247" max="10498" width="9.140625" style="17"/>
    <col min="10499" max="10499" width="11.7109375" style="17" customWidth="1"/>
    <col min="10500" max="10500" width="9.140625" style="17"/>
    <col min="10501" max="10501" width="14.7109375" style="17" customWidth="1"/>
    <col min="10502" max="10502" width="10.7109375" style="17" customWidth="1"/>
    <col min="10503" max="10754" width="9.140625" style="17"/>
    <col min="10755" max="10755" width="11.7109375" style="17" customWidth="1"/>
    <col min="10756" max="10756" width="9.140625" style="17"/>
    <col min="10757" max="10757" width="14.7109375" style="17" customWidth="1"/>
    <col min="10758" max="10758" width="10.7109375" style="17" customWidth="1"/>
    <col min="10759" max="11010" width="9.140625" style="17"/>
    <col min="11011" max="11011" width="11.7109375" style="17" customWidth="1"/>
    <col min="11012" max="11012" width="9.140625" style="17"/>
    <col min="11013" max="11013" width="14.7109375" style="17" customWidth="1"/>
    <col min="11014" max="11014" width="10.7109375" style="17" customWidth="1"/>
    <col min="11015" max="11266" width="9.140625" style="17"/>
    <col min="11267" max="11267" width="11.7109375" style="17" customWidth="1"/>
    <col min="11268" max="11268" width="9.140625" style="17"/>
    <col min="11269" max="11269" width="14.7109375" style="17" customWidth="1"/>
    <col min="11270" max="11270" width="10.7109375" style="17" customWidth="1"/>
    <col min="11271" max="11522" width="9.140625" style="17"/>
    <col min="11523" max="11523" width="11.7109375" style="17" customWidth="1"/>
    <col min="11524" max="11524" width="9.140625" style="17"/>
    <col min="11525" max="11525" width="14.7109375" style="17" customWidth="1"/>
    <col min="11526" max="11526" width="10.7109375" style="17" customWidth="1"/>
    <col min="11527" max="11778" width="9.140625" style="17"/>
    <col min="11779" max="11779" width="11.7109375" style="17" customWidth="1"/>
    <col min="11780" max="11780" width="9.140625" style="17"/>
    <col min="11781" max="11781" width="14.7109375" style="17" customWidth="1"/>
    <col min="11782" max="11782" width="10.7109375" style="17" customWidth="1"/>
    <col min="11783" max="12034" width="9.140625" style="17"/>
    <col min="12035" max="12035" width="11.7109375" style="17" customWidth="1"/>
    <col min="12036" max="12036" width="9.140625" style="17"/>
    <col min="12037" max="12037" width="14.7109375" style="17" customWidth="1"/>
    <col min="12038" max="12038" width="10.7109375" style="17" customWidth="1"/>
    <col min="12039" max="12290" width="9.140625" style="17"/>
    <col min="12291" max="12291" width="11.7109375" style="17" customWidth="1"/>
    <col min="12292" max="12292" width="9.140625" style="17"/>
    <col min="12293" max="12293" width="14.7109375" style="17" customWidth="1"/>
    <col min="12294" max="12294" width="10.7109375" style="17" customWidth="1"/>
    <col min="12295" max="12546" width="9.140625" style="17"/>
    <col min="12547" max="12547" width="11.7109375" style="17" customWidth="1"/>
    <col min="12548" max="12548" width="9.140625" style="17"/>
    <col min="12549" max="12549" width="14.7109375" style="17" customWidth="1"/>
    <col min="12550" max="12550" width="10.7109375" style="17" customWidth="1"/>
    <col min="12551" max="12802" width="9.140625" style="17"/>
    <col min="12803" max="12803" width="11.7109375" style="17" customWidth="1"/>
    <col min="12804" max="12804" width="9.140625" style="17"/>
    <col min="12805" max="12805" width="14.7109375" style="17" customWidth="1"/>
    <col min="12806" max="12806" width="10.7109375" style="17" customWidth="1"/>
    <col min="12807" max="13058" width="9.140625" style="17"/>
    <col min="13059" max="13059" width="11.7109375" style="17" customWidth="1"/>
    <col min="13060" max="13060" width="9.140625" style="17"/>
    <col min="13061" max="13061" width="14.7109375" style="17" customWidth="1"/>
    <col min="13062" max="13062" width="10.7109375" style="17" customWidth="1"/>
    <col min="13063" max="13314" width="9.140625" style="17"/>
    <col min="13315" max="13315" width="11.7109375" style="17" customWidth="1"/>
    <col min="13316" max="13316" width="9.140625" style="17"/>
    <col min="13317" max="13317" width="14.7109375" style="17" customWidth="1"/>
    <col min="13318" max="13318" width="10.7109375" style="17" customWidth="1"/>
    <col min="13319" max="13570" width="9.140625" style="17"/>
    <col min="13571" max="13571" width="11.7109375" style="17" customWidth="1"/>
    <col min="13572" max="13572" width="9.140625" style="17"/>
    <col min="13573" max="13573" width="14.7109375" style="17" customWidth="1"/>
    <col min="13574" max="13574" width="10.7109375" style="17" customWidth="1"/>
    <col min="13575" max="13826" width="9.140625" style="17"/>
    <col min="13827" max="13827" width="11.7109375" style="17" customWidth="1"/>
    <col min="13828" max="13828" width="9.140625" style="17"/>
    <col min="13829" max="13829" width="14.7109375" style="17" customWidth="1"/>
    <col min="13830" max="13830" width="10.7109375" style="17" customWidth="1"/>
    <col min="13831" max="14082" width="9.140625" style="17"/>
    <col min="14083" max="14083" width="11.7109375" style="17" customWidth="1"/>
    <col min="14084" max="14084" width="9.140625" style="17"/>
    <col min="14085" max="14085" width="14.7109375" style="17" customWidth="1"/>
    <col min="14086" max="14086" width="10.7109375" style="17" customWidth="1"/>
    <col min="14087" max="14338" width="9.140625" style="17"/>
    <col min="14339" max="14339" width="11.7109375" style="17" customWidth="1"/>
    <col min="14340" max="14340" width="9.140625" style="17"/>
    <col min="14341" max="14341" width="14.7109375" style="17" customWidth="1"/>
    <col min="14342" max="14342" width="10.7109375" style="17" customWidth="1"/>
    <col min="14343" max="14594" width="9.140625" style="17"/>
    <col min="14595" max="14595" width="11.7109375" style="17" customWidth="1"/>
    <col min="14596" max="14596" width="9.140625" style="17"/>
    <col min="14597" max="14597" width="14.7109375" style="17" customWidth="1"/>
    <col min="14598" max="14598" width="10.7109375" style="17" customWidth="1"/>
    <col min="14599" max="14850" width="9.140625" style="17"/>
    <col min="14851" max="14851" width="11.7109375" style="17" customWidth="1"/>
    <col min="14852" max="14852" width="9.140625" style="17"/>
    <col min="14853" max="14853" width="14.7109375" style="17" customWidth="1"/>
    <col min="14854" max="14854" width="10.7109375" style="17" customWidth="1"/>
    <col min="14855" max="15106" width="9.140625" style="17"/>
    <col min="15107" max="15107" width="11.7109375" style="17" customWidth="1"/>
    <col min="15108" max="15108" width="9.140625" style="17"/>
    <col min="15109" max="15109" width="14.7109375" style="17" customWidth="1"/>
    <col min="15110" max="15110" width="10.7109375" style="17" customWidth="1"/>
    <col min="15111" max="15362" width="9.140625" style="17"/>
    <col min="15363" max="15363" width="11.7109375" style="17" customWidth="1"/>
    <col min="15364" max="15364" width="9.140625" style="17"/>
    <col min="15365" max="15365" width="14.7109375" style="17" customWidth="1"/>
    <col min="15366" max="15366" width="10.7109375" style="17" customWidth="1"/>
    <col min="15367" max="15618" width="9.140625" style="17"/>
    <col min="15619" max="15619" width="11.7109375" style="17" customWidth="1"/>
    <col min="15620" max="15620" width="9.140625" style="17"/>
    <col min="15621" max="15621" width="14.7109375" style="17" customWidth="1"/>
    <col min="15622" max="15622" width="10.7109375" style="17" customWidth="1"/>
    <col min="15623" max="15874" width="9.140625" style="17"/>
    <col min="15875" max="15875" width="11.7109375" style="17" customWidth="1"/>
    <col min="15876" max="15876" width="9.140625" style="17"/>
    <col min="15877" max="15877" width="14.7109375" style="17" customWidth="1"/>
    <col min="15878" max="15878" width="10.7109375" style="17" customWidth="1"/>
    <col min="15879" max="16130" width="9.140625" style="17"/>
    <col min="16131" max="16131" width="11.7109375" style="17" customWidth="1"/>
    <col min="16132" max="16132" width="9.140625" style="17"/>
    <col min="16133" max="16133" width="14.7109375" style="17" customWidth="1"/>
    <col min="16134" max="16134" width="10.7109375" style="17" customWidth="1"/>
    <col min="16135" max="16384" width="9.140625" style="17"/>
  </cols>
  <sheetData>
    <row r="2" spans="1:13" x14ac:dyDescent="0.25">
      <c r="A2" s="18" t="s">
        <v>146</v>
      </c>
      <c r="B2" s="18" t="s">
        <v>147</v>
      </c>
      <c r="C2" s="18" t="s">
        <v>148</v>
      </c>
      <c r="D2" s="314" t="s">
        <v>149</v>
      </c>
      <c r="E2" s="314"/>
    </row>
    <row r="3" spans="1:13" x14ac:dyDescent="0.25">
      <c r="A3" s="21">
        <v>0</v>
      </c>
      <c r="B3" s="21">
        <v>0</v>
      </c>
      <c r="C3" s="21">
        <v>1</v>
      </c>
      <c r="D3" s="316">
        <v>4</v>
      </c>
      <c r="E3" s="316"/>
    </row>
    <row r="5" spans="1:13" hidden="1" x14ac:dyDescent="0.25">
      <c r="A5" s="17" t="s">
        <v>111</v>
      </c>
      <c r="B5" s="19" t="s">
        <v>163</v>
      </c>
      <c r="C5" s="19">
        <f>D3</f>
        <v>4</v>
      </c>
      <c r="D5" s="20"/>
    </row>
    <row r="6" spans="1:13" x14ac:dyDescent="0.25">
      <c r="A6" s="17" t="s">
        <v>112</v>
      </c>
      <c r="B6" s="22">
        <v>10</v>
      </c>
      <c r="C6" s="23">
        <v>10</v>
      </c>
      <c r="D6" s="24">
        <f>((100/B6)*C6)/100</f>
        <v>1</v>
      </c>
    </row>
    <row r="7" spans="1:13" x14ac:dyDescent="0.25">
      <c r="A7" s="17" t="s">
        <v>113</v>
      </c>
      <c r="B7" s="22">
        <f>A3+B3+C3+D3</f>
        <v>5</v>
      </c>
      <c r="C7" s="23">
        <v>0</v>
      </c>
      <c r="D7" s="24">
        <f t="shared" ref="D7:D12" si="0">((100/B7)*C7)/100</f>
        <v>0</v>
      </c>
      <c r="F7" s="317" t="s">
        <v>164</v>
      </c>
      <c r="G7" s="317"/>
      <c r="H7" s="25" t="s">
        <v>165</v>
      </c>
      <c r="J7" s="31"/>
    </row>
    <row r="8" spans="1:13" x14ac:dyDescent="0.25">
      <c r="A8" s="17" t="s">
        <v>118</v>
      </c>
      <c r="B8" s="22">
        <f>C5</f>
        <v>4</v>
      </c>
      <c r="C8" s="23">
        <v>0</v>
      </c>
      <c r="D8" s="24">
        <f t="shared" si="0"/>
        <v>0</v>
      </c>
      <c r="F8" s="315" t="s">
        <v>166</v>
      </c>
      <c r="G8" s="315"/>
      <c r="H8" s="22" t="s">
        <v>167</v>
      </c>
    </row>
    <row r="9" spans="1:13" x14ac:dyDescent="0.25">
      <c r="A9" s="17" t="s">
        <v>120</v>
      </c>
      <c r="B9" s="22">
        <f>C5</f>
        <v>4</v>
      </c>
      <c r="C9" s="23">
        <v>0</v>
      </c>
      <c r="D9" s="24">
        <f t="shared" si="0"/>
        <v>0</v>
      </c>
      <c r="F9" s="315" t="s">
        <v>168</v>
      </c>
      <c r="G9" s="315"/>
      <c r="H9" s="22" t="s">
        <v>169</v>
      </c>
    </row>
    <row r="10" spans="1:13" x14ac:dyDescent="0.25">
      <c r="A10" s="17" t="s">
        <v>78</v>
      </c>
      <c r="B10" s="22">
        <f>C5</f>
        <v>4</v>
      </c>
      <c r="C10" s="23">
        <v>0</v>
      </c>
      <c r="D10" s="24">
        <f t="shared" si="0"/>
        <v>0</v>
      </c>
      <c r="F10" s="315" t="s">
        <v>170</v>
      </c>
      <c r="G10" s="315"/>
      <c r="H10" s="22" t="s">
        <v>171</v>
      </c>
    </row>
    <row r="11" spans="1:13" x14ac:dyDescent="0.25">
      <c r="A11" s="26" t="s">
        <v>116</v>
      </c>
      <c r="B11" s="22">
        <f>C5</f>
        <v>4</v>
      </c>
      <c r="C11" s="23">
        <v>0</v>
      </c>
      <c r="D11" s="24">
        <f t="shared" si="0"/>
        <v>0</v>
      </c>
      <c r="F11" s="315" t="s">
        <v>172</v>
      </c>
      <c r="G11" s="315"/>
      <c r="H11" s="22" t="s">
        <v>173</v>
      </c>
    </row>
    <row r="12" spans="1:13" x14ac:dyDescent="0.25">
      <c r="A12" s="17" t="s">
        <v>80</v>
      </c>
      <c r="B12" s="22">
        <f>C5</f>
        <v>4</v>
      </c>
      <c r="C12" s="23">
        <v>0</v>
      </c>
      <c r="D12" s="24">
        <f t="shared" si="0"/>
        <v>0</v>
      </c>
      <c r="F12" s="315" t="s">
        <v>174</v>
      </c>
      <c r="G12" s="315"/>
      <c r="H12" s="22" t="s">
        <v>175</v>
      </c>
    </row>
    <row r="13" spans="1:13" x14ac:dyDescent="0.25">
      <c r="F13" s="315" t="s">
        <v>176</v>
      </c>
      <c r="G13" s="315"/>
      <c r="H13" s="22" t="s">
        <v>177</v>
      </c>
    </row>
    <row r="14" spans="1:13" hidden="1" x14ac:dyDescent="0.25">
      <c r="A14" s="18"/>
      <c r="B14" s="18" t="s">
        <v>117</v>
      </c>
      <c r="C14" s="18" t="s">
        <v>121</v>
      </c>
      <c r="G14" s="18" t="s">
        <v>112</v>
      </c>
      <c r="H14" s="18" t="s">
        <v>114</v>
      </c>
      <c r="I14" s="18" t="s">
        <v>115</v>
      </c>
      <c r="J14" s="18" t="s">
        <v>77</v>
      </c>
      <c r="K14" s="18" t="s">
        <v>78</v>
      </c>
      <c r="L14" s="18" t="s">
        <v>116</v>
      </c>
      <c r="M14" s="18" t="s">
        <v>80</v>
      </c>
    </row>
    <row r="15" spans="1:13" hidden="1" x14ac:dyDescent="0.25">
      <c r="A15" s="18" t="s">
        <v>74</v>
      </c>
      <c r="B15" s="18">
        <f>G15</f>
        <v>10</v>
      </c>
      <c r="C15" s="18">
        <f>G16</f>
        <v>30</v>
      </c>
      <c r="E15" s="314" t="s">
        <v>117</v>
      </c>
      <c r="F15" s="314"/>
      <c r="G15" s="27">
        <f>C6</f>
        <v>10</v>
      </c>
      <c r="H15" s="27">
        <f>40/B7*C7</f>
        <v>0</v>
      </c>
      <c r="I15" s="27">
        <f>15/B8*C8</f>
        <v>0</v>
      </c>
      <c r="J15" s="27">
        <f>10/B9*C9</f>
        <v>0</v>
      </c>
      <c r="K15" s="27">
        <f>10/B10*C10</f>
        <v>0</v>
      </c>
      <c r="L15" s="27">
        <f>5/B11*C11</f>
        <v>0</v>
      </c>
      <c r="M15" s="27">
        <f>5/B12*C12</f>
        <v>0</v>
      </c>
    </row>
    <row r="16" spans="1:13" hidden="1" x14ac:dyDescent="0.25">
      <c r="A16" s="18" t="s">
        <v>75</v>
      </c>
      <c r="B16" s="18">
        <f>H15</f>
        <v>0</v>
      </c>
      <c r="C16" s="18">
        <f>H16</f>
        <v>0</v>
      </c>
      <c r="E16" s="314" t="s">
        <v>119</v>
      </c>
      <c r="F16" s="314"/>
      <c r="G16" s="18">
        <f>G15+20</f>
        <v>30</v>
      </c>
      <c r="H16" s="18">
        <f>30/B7*C7</f>
        <v>0</v>
      </c>
      <c r="I16" s="18">
        <f>15/B8*C8</f>
        <v>0</v>
      </c>
      <c r="J16" s="18">
        <f>10/B9*C9</f>
        <v>0</v>
      </c>
      <c r="K16" s="18">
        <f>5/B10*C10</f>
        <v>0</v>
      </c>
      <c r="L16" s="18">
        <f>5/B11*C11</f>
        <v>0</v>
      </c>
      <c r="M16" s="18">
        <f>5/B12*C12</f>
        <v>0</v>
      </c>
    </row>
    <row r="17" spans="1:8" hidden="1" x14ac:dyDescent="0.25">
      <c r="A17" s="18" t="s">
        <v>115</v>
      </c>
      <c r="B17" s="18">
        <f>I15</f>
        <v>0</v>
      </c>
      <c r="C17" s="18">
        <f>I16</f>
        <v>0</v>
      </c>
    </row>
    <row r="18" spans="1:8" hidden="1" x14ac:dyDescent="0.25">
      <c r="A18" s="18" t="s">
        <v>77</v>
      </c>
      <c r="B18" s="18">
        <f>J15</f>
        <v>0</v>
      </c>
      <c r="C18" s="18">
        <f>J16</f>
        <v>0</v>
      </c>
    </row>
    <row r="19" spans="1:8" hidden="1" x14ac:dyDescent="0.25">
      <c r="A19" s="18" t="s">
        <v>78</v>
      </c>
      <c r="B19" s="18">
        <f>K15</f>
        <v>0</v>
      </c>
      <c r="C19" s="18">
        <f>K16</f>
        <v>0</v>
      </c>
    </row>
    <row r="20" spans="1:8" hidden="1" x14ac:dyDescent="0.25">
      <c r="A20" s="28" t="s">
        <v>116</v>
      </c>
      <c r="B20" s="18">
        <f>L15</f>
        <v>0</v>
      </c>
      <c r="C20" s="18">
        <f>L16</f>
        <v>0</v>
      </c>
    </row>
    <row r="21" spans="1:8" hidden="1" x14ac:dyDescent="0.25">
      <c r="A21" s="18" t="s">
        <v>80</v>
      </c>
      <c r="B21" s="18">
        <f>M15</f>
        <v>0</v>
      </c>
      <c r="C21" s="18">
        <f>M16</f>
        <v>0</v>
      </c>
    </row>
    <row r="22" spans="1:8" x14ac:dyDescent="0.25">
      <c r="A22" s="18" t="s">
        <v>122</v>
      </c>
      <c r="B22" s="29">
        <f>(B15+B16+B17+B18+B19+B20+B21)/100</f>
        <v>0.1</v>
      </c>
      <c r="C22" s="29">
        <f>(C15+C16+C17+C18+C19+C20+C21)/100</f>
        <v>0.3</v>
      </c>
      <c r="F22" s="315" t="s">
        <v>178</v>
      </c>
      <c r="G22" s="315"/>
      <c r="H22" s="22" t="s">
        <v>169</v>
      </c>
    </row>
    <row r="23" spans="1:8" x14ac:dyDescent="0.25">
      <c r="F23" s="315" t="s">
        <v>179</v>
      </c>
      <c r="G23" s="315"/>
      <c r="H23" s="22" t="s">
        <v>180</v>
      </c>
    </row>
    <row r="24" spans="1:8" x14ac:dyDescent="0.25">
      <c r="A24" s="17" t="s">
        <v>154</v>
      </c>
      <c r="B24" s="30">
        <v>0.01</v>
      </c>
      <c r="C24" s="30">
        <v>0.02</v>
      </c>
      <c r="F24" s="315" t="s">
        <v>181</v>
      </c>
      <c r="G24" s="315"/>
      <c r="H24" s="22" t="s">
        <v>182</v>
      </c>
    </row>
    <row r="25" spans="1:8" x14ac:dyDescent="0.25">
      <c r="A25" s="17" t="s">
        <v>155</v>
      </c>
      <c r="B25" s="30">
        <v>0.01</v>
      </c>
      <c r="C25" s="30">
        <v>0.03</v>
      </c>
    </row>
    <row r="26" spans="1:8" x14ac:dyDescent="0.25">
      <c r="A26" s="17" t="s">
        <v>156</v>
      </c>
      <c r="B26" s="30">
        <v>0.03</v>
      </c>
      <c r="C26" s="30">
        <v>0.08</v>
      </c>
    </row>
    <row r="27" spans="1:8" x14ac:dyDescent="0.25">
      <c r="A27" s="17" t="s">
        <v>157</v>
      </c>
      <c r="B27" s="30">
        <v>0.05</v>
      </c>
      <c r="C27" s="30">
        <v>0.15</v>
      </c>
    </row>
    <row r="28" spans="1:8" x14ac:dyDescent="0.25">
      <c r="A28" s="17" t="s">
        <v>158</v>
      </c>
      <c r="B28" s="30">
        <v>7.0000000000000007E-2</v>
      </c>
      <c r="C28" s="30">
        <v>0.2</v>
      </c>
    </row>
    <row r="29" spans="1:8" x14ac:dyDescent="0.25">
      <c r="A29" s="17" t="s">
        <v>159</v>
      </c>
      <c r="B29" s="30">
        <v>0.1</v>
      </c>
      <c r="C29" s="30">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29"/>
  <sheetViews>
    <sheetView workbookViewId="0">
      <selection activeCell="C8" sqref="C8"/>
    </sheetView>
  </sheetViews>
  <sheetFormatPr defaultRowHeight="15" x14ac:dyDescent="0.25"/>
  <cols>
    <col min="1" max="1" width="20.5703125" style="17" customWidth="1"/>
    <col min="2" max="2" width="11.7109375" style="17" customWidth="1"/>
    <col min="3" max="4" width="9.140625" style="17"/>
    <col min="5" max="5" width="10.140625" style="17" customWidth="1"/>
    <col min="6" max="6" width="10.7109375" style="17" customWidth="1"/>
    <col min="7" max="7" width="9.140625" style="17"/>
    <col min="8" max="8" width="10.42578125" style="17" customWidth="1"/>
    <col min="9" max="9" width="15.42578125" style="17" customWidth="1"/>
    <col min="10" max="258" width="9.140625" style="17"/>
    <col min="259" max="259" width="11.7109375" style="17" customWidth="1"/>
    <col min="260" max="260" width="9.140625" style="17"/>
    <col min="261" max="261" width="14.7109375" style="17" customWidth="1"/>
    <col min="262" max="262" width="10.7109375" style="17" customWidth="1"/>
    <col min="263" max="514" width="9.140625" style="17"/>
    <col min="515" max="515" width="11.7109375" style="17" customWidth="1"/>
    <col min="516" max="516" width="9.140625" style="17"/>
    <col min="517" max="517" width="14.7109375" style="17" customWidth="1"/>
    <col min="518" max="518" width="10.7109375" style="17" customWidth="1"/>
    <col min="519" max="770" width="9.140625" style="17"/>
    <col min="771" max="771" width="11.7109375" style="17" customWidth="1"/>
    <col min="772" max="772" width="9.140625" style="17"/>
    <col min="773" max="773" width="14.7109375" style="17" customWidth="1"/>
    <col min="774" max="774" width="10.7109375" style="17" customWidth="1"/>
    <col min="775" max="1026" width="9.140625" style="17"/>
    <col min="1027" max="1027" width="11.7109375" style="17" customWidth="1"/>
    <col min="1028" max="1028" width="9.140625" style="17"/>
    <col min="1029" max="1029" width="14.7109375" style="17" customWidth="1"/>
    <col min="1030" max="1030" width="10.7109375" style="17" customWidth="1"/>
    <col min="1031" max="1282" width="9.140625" style="17"/>
    <col min="1283" max="1283" width="11.7109375" style="17" customWidth="1"/>
    <col min="1284" max="1284" width="9.140625" style="17"/>
    <col min="1285" max="1285" width="14.7109375" style="17" customWidth="1"/>
    <col min="1286" max="1286" width="10.7109375" style="17" customWidth="1"/>
    <col min="1287" max="1538" width="9.140625" style="17"/>
    <col min="1539" max="1539" width="11.7109375" style="17" customWidth="1"/>
    <col min="1540" max="1540" width="9.140625" style="17"/>
    <col min="1541" max="1541" width="14.7109375" style="17" customWidth="1"/>
    <col min="1542" max="1542" width="10.7109375" style="17" customWidth="1"/>
    <col min="1543" max="1794" width="9.140625" style="17"/>
    <col min="1795" max="1795" width="11.7109375" style="17" customWidth="1"/>
    <col min="1796" max="1796" width="9.140625" style="17"/>
    <col min="1797" max="1797" width="14.7109375" style="17" customWidth="1"/>
    <col min="1798" max="1798" width="10.7109375" style="17" customWidth="1"/>
    <col min="1799" max="2050" width="9.140625" style="17"/>
    <col min="2051" max="2051" width="11.7109375" style="17" customWidth="1"/>
    <col min="2052" max="2052" width="9.140625" style="17"/>
    <col min="2053" max="2053" width="14.7109375" style="17" customWidth="1"/>
    <col min="2054" max="2054" width="10.7109375" style="17" customWidth="1"/>
    <col min="2055" max="2306" width="9.140625" style="17"/>
    <col min="2307" max="2307" width="11.7109375" style="17" customWidth="1"/>
    <col min="2308" max="2308" width="9.140625" style="17"/>
    <col min="2309" max="2309" width="14.7109375" style="17" customWidth="1"/>
    <col min="2310" max="2310" width="10.7109375" style="17" customWidth="1"/>
    <col min="2311" max="2562" width="9.140625" style="17"/>
    <col min="2563" max="2563" width="11.7109375" style="17" customWidth="1"/>
    <col min="2564" max="2564" width="9.140625" style="17"/>
    <col min="2565" max="2565" width="14.7109375" style="17" customWidth="1"/>
    <col min="2566" max="2566" width="10.7109375" style="17" customWidth="1"/>
    <col min="2567" max="2818" width="9.140625" style="17"/>
    <col min="2819" max="2819" width="11.7109375" style="17" customWidth="1"/>
    <col min="2820" max="2820" width="9.140625" style="17"/>
    <col min="2821" max="2821" width="14.7109375" style="17" customWidth="1"/>
    <col min="2822" max="2822" width="10.7109375" style="17" customWidth="1"/>
    <col min="2823" max="3074" width="9.140625" style="17"/>
    <col min="3075" max="3075" width="11.7109375" style="17" customWidth="1"/>
    <col min="3076" max="3076" width="9.140625" style="17"/>
    <col min="3077" max="3077" width="14.7109375" style="17" customWidth="1"/>
    <col min="3078" max="3078" width="10.7109375" style="17" customWidth="1"/>
    <col min="3079" max="3330" width="9.140625" style="17"/>
    <col min="3331" max="3331" width="11.7109375" style="17" customWidth="1"/>
    <col min="3332" max="3332" width="9.140625" style="17"/>
    <col min="3333" max="3333" width="14.7109375" style="17" customWidth="1"/>
    <col min="3334" max="3334" width="10.7109375" style="17" customWidth="1"/>
    <col min="3335" max="3586" width="9.140625" style="17"/>
    <col min="3587" max="3587" width="11.7109375" style="17" customWidth="1"/>
    <col min="3588" max="3588" width="9.140625" style="17"/>
    <col min="3589" max="3589" width="14.7109375" style="17" customWidth="1"/>
    <col min="3590" max="3590" width="10.7109375" style="17" customWidth="1"/>
    <col min="3591" max="3842" width="9.140625" style="17"/>
    <col min="3843" max="3843" width="11.7109375" style="17" customWidth="1"/>
    <col min="3844" max="3844" width="9.140625" style="17"/>
    <col min="3845" max="3845" width="14.7109375" style="17" customWidth="1"/>
    <col min="3846" max="3846" width="10.7109375" style="17" customWidth="1"/>
    <col min="3847" max="4098" width="9.140625" style="17"/>
    <col min="4099" max="4099" width="11.7109375" style="17" customWidth="1"/>
    <col min="4100" max="4100" width="9.140625" style="17"/>
    <col min="4101" max="4101" width="14.7109375" style="17" customWidth="1"/>
    <col min="4102" max="4102" width="10.7109375" style="17" customWidth="1"/>
    <col min="4103" max="4354" width="9.140625" style="17"/>
    <col min="4355" max="4355" width="11.7109375" style="17" customWidth="1"/>
    <col min="4356" max="4356" width="9.140625" style="17"/>
    <col min="4357" max="4357" width="14.7109375" style="17" customWidth="1"/>
    <col min="4358" max="4358" width="10.7109375" style="17" customWidth="1"/>
    <col min="4359" max="4610" width="9.140625" style="17"/>
    <col min="4611" max="4611" width="11.7109375" style="17" customWidth="1"/>
    <col min="4612" max="4612" width="9.140625" style="17"/>
    <col min="4613" max="4613" width="14.7109375" style="17" customWidth="1"/>
    <col min="4614" max="4614" width="10.7109375" style="17" customWidth="1"/>
    <col min="4615" max="4866" width="9.140625" style="17"/>
    <col min="4867" max="4867" width="11.7109375" style="17" customWidth="1"/>
    <col min="4868" max="4868" width="9.140625" style="17"/>
    <col min="4869" max="4869" width="14.7109375" style="17" customWidth="1"/>
    <col min="4870" max="4870" width="10.7109375" style="17" customWidth="1"/>
    <col min="4871" max="5122" width="9.140625" style="17"/>
    <col min="5123" max="5123" width="11.7109375" style="17" customWidth="1"/>
    <col min="5124" max="5124" width="9.140625" style="17"/>
    <col min="5125" max="5125" width="14.7109375" style="17" customWidth="1"/>
    <col min="5126" max="5126" width="10.7109375" style="17" customWidth="1"/>
    <col min="5127" max="5378" width="9.140625" style="17"/>
    <col min="5379" max="5379" width="11.7109375" style="17" customWidth="1"/>
    <col min="5380" max="5380" width="9.140625" style="17"/>
    <col min="5381" max="5381" width="14.7109375" style="17" customWidth="1"/>
    <col min="5382" max="5382" width="10.7109375" style="17" customWidth="1"/>
    <col min="5383" max="5634" width="9.140625" style="17"/>
    <col min="5635" max="5635" width="11.7109375" style="17" customWidth="1"/>
    <col min="5636" max="5636" width="9.140625" style="17"/>
    <col min="5637" max="5637" width="14.7109375" style="17" customWidth="1"/>
    <col min="5638" max="5638" width="10.7109375" style="17" customWidth="1"/>
    <col min="5639" max="5890" width="9.140625" style="17"/>
    <col min="5891" max="5891" width="11.7109375" style="17" customWidth="1"/>
    <col min="5892" max="5892" width="9.140625" style="17"/>
    <col min="5893" max="5893" width="14.7109375" style="17" customWidth="1"/>
    <col min="5894" max="5894" width="10.7109375" style="17" customWidth="1"/>
    <col min="5895" max="6146" width="9.140625" style="17"/>
    <col min="6147" max="6147" width="11.7109375" style="17" customWidth="1"/>
    <col min="6148" max="6148" width="9.140625" style="17"/>
    <col min="6149" max="6149" width="14.7109375" style="17" customWidth="1"/>
    <col min="6150" max="6150" width="10.7109375" style="17" customWidth="1"/>
    <col min="6151" max="6402" width="9.140625" style="17"/>
    <col min="6403" max="6403" width="11.7109375" style="17" customWidth="1"/>
    <col min="6404" max="6404" width="9.140625" style="17"/>
    <col min="6405" max="6405" width="14.7109375" style="17" customWidth="1"/>
    <col min="6406" max="6406" width="10.7109375" style="17" customWidth="1"/>
    <col min="6407" max="6658" width="9.140625" style="17"/>
    <col min="6659" max="6659" width="11.7109375" style="17" customWidth="1"/>
    <col min="6660" max="6660" width="9.140625" style="17"/>
    <col min="6661" max="6661" width="14.7109375" style="17" customWidth="1"/>
    <col min="6662" max="6662" width="10.7109375" style="17" customWidth="1"/>
    <col min="6663" max="6914" width="9.140625" style="17"/>
    <col min="6915" max="6915" width="11.7109375" style="17" customWidth="1"/>
    <col min="6916" max="6916" width="9.140625" style="17"/>
    <col min="6917" max="6917" width="14.7109375" style="17" customWidth="1"/>
    <col min="6918" max="6918" width="10.7109375" style="17" customWidth="1"/>
    <col min="6919" max="7170" width="9.140625" style="17"/>
    <col min="7171" max="7171" width="11.7109375" style="17" customWidth="1"/>
    <col min="7172" max="7172" width="9.140625" style="17"/>
    <col min="7173" max="7173" width="14.7109375" style="17" customWidth="1"/>
    <col min="7174" max="7174" width="10.7109375" style="17" customWidth="1"/>
    <col min="7175" max="7426" width="9.140625" style="17"/>
    <col min="7427" max="7427" width="11.7109375" style="17" customWidth="1"/>
    <col min="7428" max="7428" width="9.140625" style="17"/>
    <col min="7429" max="7429" width="14.7109375" style="17" customWidth="1"/>
    <col min="7430" max="7430" width="10.7109375" style="17" customWidth="1"/>
    <col min="7431" max="7682" width="9.140625" style="17"/>
    <col min="7683" max="7683" width="11.7109375" style="17" customWidth="1"/>
    <col min="7684" max="7684" width="9.140625" style="17"/>
    <col min="7685" max="7685" width="14.7109375" style="17" customWidth="1"/>
    <col min="7686" max="7686" width="10.7109375" style="17" customWidth="1"/>
    <col min="7687" max="7938" width="9.140625" style="17"/>
    <col min="7939" max="7939" width="11.7109375" style="17" customWidth="1"/>
    <col min="7940" max="7940" width="9.140625" style="17"/>
    <col min="7941" max="7941" width="14.7109375" style="17" customWidth="1"/>
    <col min="7942" max="7942" width="10.7109375" style="17" customWidth="1"/>
    <col min="7943" max="8194" width="9.140625" style="17"/>
    <col min="8195" max="8195" width="11.7109375" style="17" customWidth="1"/>
    <col min="8196" max="8196" width="9.140625" style="17"/>
    <col min="8197" max="8197" width="14.7109375" style="17" customWidth="1"/>
    <col min="8198" max="8198" width="10.7109375" style="17" customWidth="1"/>
    <col min="8199" max="8450" width="9.140625" style="17"/>
    <col min="8451" max="8451" width="11.7109375" style="17" customWidth="1"/>
    <col min="8452" max="8452" width="9.140625" style="17"/>
    <col min="8453" max="8453" width="14.7109375" style="17" customWidth="1"/>
    <col min="8454" max="8454" width="10.7109375" style="17" customWidth="1"/>
    <col min="8455" max="8706" width="9.140625" style="17"/>
    <col min="8707" max="8707" width="11.7109375" style="17" customWidth="1"/>
    <col min="8708" max="8708" width="9.140625" style="17"/>
    <col min="8709" max="8709" width="14.7109375" style="17" customWidth="1"/>
    <col min="8710" max="8710" width="10.7109375" style="17" customWidth="1"/>
    <col min="8711" max="8962" width="9.140625" style="17"/>
    <col min="8963" max="8963" width="11.7109375" style="17" customWidth="1"/>
    <col min="8964" max="8964" width="9.140625" style="17"/>
    <col min="8965" max="8965" width="14.7109375" style="17" customWidth="1"/>
    <col min="8966" max="8966" width="10.7109375" style="17" customWidth="1"/>
    <col min="8967" max="9218" width="9.140625" style="17"/>
    <col min="9219" max="9219" width="11.7109375" style="17" customWidth="1"/>
    <col min="9220" max="9220" width="9.140625" style="17"/>
    <col min="9221" max="9221" width="14.7109375" style="17" customWidth="1"/>
    <col min="9222" max="9222" width="10.7109375" style="17" customWidth="1"/>
    <col min="9223" max="9474" width="9.140625" style="17"/>
    <col min="9475" max="9475" width="11.7109375" style="17" customWidth="1"/>
    <col min="9476" max="9476" width="9.140625" style="17"/>
    <col min="9477" max="9477" width="14.7109375" style="17" customWidth="1"/>
    <col min="9478" max="9478" width="10.7109375" style="17" customWidth="1"/>
    <col min="9479" max="9730" width="9.140625" style="17"/>
    <col min="9731" max="9731" width="11.7109375" style="17" customWidth="1"/>
    <col min="9732" max="9732" width="9.140625" style="17"/>
    <col min="9733" max="9733" width="14.7109375" style="17" customWidth="1"/>
    <col min="9734" max="9734" width="10.7109375" style="17" customWidth="1"/>
    <col min="9735" max="9986" width="9.140625" style="17"/>
    <col min="9987" max="9987" width="11.7109375" style="17" customWidth="1"/>
    <col min="9988" max="9988" width="9.140625" style="17"/>
    <col min="9989" max="9989" width="14.7109375" style="17" customWidth="1"/>
    <col min="9990" max="9990" width="10.7109375" style="17" customWidth="1"/>
    <col min="9991" max="10242" width="9.140625" style="17"/>
    <col min="10243" max="10243" width="11.7109375" style="17" customWidth="1"/>
    <col min="10244" max="10244" width="9.140625" style="17"/>
    <col min="10245" max="10245" width="14.7109375" style="17" customWidth="1"/>
    <col min="10246" max="10246" width="10.7109375" style="17" customWidth="1"/>
    <col min="10247" max="10498" width="9.140625" style="17"/>
    <col min="10499" max="10499" width="11.7109375" style="17" customWidth="1"/>
    <col min="10500" max="10500" width="9.140625" style="17"/>
    <col min="10501" max="10501" width="14.7109375" style="17" customWidth="1"/>
    <col min="10502" max="10502" width="10.7109375" style="17" customWidth="1"/>
    <col min="10503" max="10754" width="9.140625" style="17"/>
    <col min="10755" max="10755" width="11.7109375" style="17" customWidth="1"/>
    <col min="10756" max="10756" width="9.140625" style="17"/>
    <col min="10757" max="10757" width="14.7109375" style="17" customWidth="1"/>
    <col min="10758" max="10758" width="10.7109375" style="17" customWidth="1"/>
    <col min="10759" max="11010" width="9.140625" style="17"/>
    <col min="11011" max="11011" width="11.7109375" style="17" customWidth="1"/>
    <col min="11012" max="11012" width="9.140625" style="17"/>
    <col min="11013" max="11013" width="14.7109375" style="17" customWidth="1"/>
    <col min="11014" max="11014" width="10.7109375" style="17" customWidth="1"/>
    <col min="11015" max="11266" width="9.140625" style="17"/>
    <col min="11267" max="11267" width="11.7109375" style="17" customWidth="1"/>
    <col min="11268" max="11268" width="9.140625" style="17"/>
    <col min="11269" max="11269" width="14.7109375" style="17" customWidth="1"/>
    <col min="11270" max="11270" width="10.7109375" style="17" customWidth="1"/>
    <col min="11271" max="11522" width="9.140625" style="17"/>
    <col min="11523" max="11523" width="11.7109375" style="17" customWidth="1"/>
    <col min="11524" max="11524" width="9.140625" style="17"/>
    <col min="11525" max="11525" width="14.7109375" style="17" customWidth="1"/>
    <col min="11526" max="11526" width="10.7109375" style="17" customWidth="1"/>
    <col min="11527" max="11778" width="9.140625" style="17"/>
    <col min="11779" max="11779" width="11.7109375" style="17" customWidth="1"/>
    <col min="11780" max="11780" width="9.140625" style="17"/>
    <col min="11781" max="11781" width="14.7109375" style="17" customWidth="1"/>
    <col min="11782" max="11782" width="10.7109375" style="17" customWidth="1"/>
    <col min="11783" max="12034" width="9.140625" style="17"/>
    <col min="12035" max="12035" width="11.7109375" style="17" customWidth="1"/>
    <col min="12036" max="12036" width="9.140625" style="17"/>
    <col min="12037" max="12037" width="14.7109375" style="17" customWidth="1"/>
    <col min="12038" max="12038" width="10.7109375" style="17" customWidth="1"/>
    <col min="12039" max="12290" width="9.140625" style="17"/>
    <col min="12291" max="12291" width="11.7109375" style="17" customWidth="1"/>
    <col min="12292" max="12292" width="9.140625" style="17"/>
    <col min="12293" max="12293" width="14.7109375" style="17" customWidth="1"/>
    <col min="12294" max="12294" width="10.7109375" style="17" customWidth="1"/>
    <col min="12295" max="12546" width="9.140625" style="17"/>
    <col min="12547" max="12547" width="11.7109375" style="17" customWidth="1"/>
    <col min="12548" max="12548" width="9.140625" style="17"/>
    <col min="12549" max="12549" width="14.7109375" style="17" customWidth="1"/>
    <col min="12550" max="12550" width="10.7109375" style="17" customWidth="1"/>
    <col min="12551" max="12802" width="9.140625" style="17"/>
    <col min="12803" max="12803" width="11.7109375" style="17" customWidth="1"/>
    <col min="12804" max="12804" width="9.140625" style="17"/>
    <col min="12805" max="12805" width="14.7109375" style="17" customWidth="1"/>
    <col min="12806" max="12806" width="10.7109375" style="17" customWidth="1"/>
    <col min="12807" max="13058" width="9.140625" style="17"/>
    <col min="13059" max="13059" width="11.7109375" style="17" customWidth="1"/>
    <col min="13060" max="13060" width="9.140625" style="17"/>
    <col min="13061" max="13061" width="14.7109375" style="17" customWidth="1"/>
    <col min="13062" max="13062" width="10.7109375" style="17" customWidth="1"/>
    <col min="13063" max="13314" width="9.140625" style="17"/>
    <col min="13315" max="13315" width="11.7109375" style="17" customWidth="1"/>
    <col min="13316" max="13316" width="9.140625" style="17"/>
    <col min="13317" max="13317" width="14.7109375" style="17" customWidth="1"/>
    <col min="13318" max="13318" width="10.7109375" style="17" customWidth="1"/>
    <col min="13319" max="13570" width="9.140625" style="17"/>
    <col min="13571" max="13571" width="11.7109375" style="17" customWidth="1"/>
    <col min="13572" max="13572" width="9.140625" style="17"/>
    <col min="13573" max="13573" width="14.7109375" style="17" customWidth="1"/>
    <col min="13574" max="13574" width="10.7109375" style="17" customWidth="1"/>
    <col min="13575" max="13826" width="9.140625" style="17"/>
    <col min="13827" max="13827" width="11.7109375" style="17" customWidth="1"/>
    <col min="13828" max="13828" width="9.140625" style="17"/>
    <col min="13829" max="13829" width="14.7109375" style="17" customWidth="1"/>
    <col min="13830" max="13830" width="10.7109375" style="17" customWidth="1"/>
    <col min="13831" max="14082" width="9.140625" style="17"/>
    <col min="14083" max="14083" width="11.7109375" style="17" customWidth="1"/>
    <col min="14084" max="14084" width="9.140625" style="17"/>
    <col min="14085" max="14085" width="14.7109375" style="17" customWidth="1"/>
    <col min="14086" max="14086" width="10.7109375" style="17" customWidth="1"/>
    <col min="14087" max="14338" width="9.140625" style="17"/>
    <col min="14339" max="14339" width="11.7109375" style="17" customWidth="1"/>
    <col min="14340" max="14340" width="9.140625" style="17"/>
    <col min="14341" max="14341" width="14.7109375" style="17" customWidth="1"/>
    <col min="14342" max="14342" width="10.7109375" style="17" customWidth="1"/>
    <col min="14343" max="14594" width="9.140625" style="17"/>
    <col min="14595" max="14595" width="11.7109375" style="17" customWidth="1"/>
    <col min="14596" max="14596" width="9.140625" style="17"/>
    <col min="14597" max="14597" width="14.7109375" style="17" customWidth="1"/>
    <col min="14598" max="14598" width="10.7109375" style="17" customWidth="1"/>
    <col min="14599" max="14850" width="9.140625" style="17"/>
    <col min="14851" max="14851" width="11.7109375" style="17" customWidth="1"/>
    <col min="14852" max="14852" width="9.140625" style="17"/>
    <col min="14853" max="14853" width="14.7109375" style="17" customWidth="1"/>
    <col min="14854" max="14854" width="10.7109375" style="17" customWidth="1"/>
    <col min="14855" max="15106" width="9.140625" style="17"/>
    <col min="15107" max="15107" width="11.7109375" style="17" customWidth="1"/>
    <col min="15108" max="15108" width="9.140625" style="17"/>
    <col min="15109" max="15109" width="14.7109375" style="17" customWidth="1"/>
    <col min="15110" max="15110" width="10.7109375" style="17" customWidth="1"/>
    <col min="15111" max="15362" width="9.140625" style="17"/>
    <col min="15363" max="15363" width="11.7109375" style="17" customWidth="1"/>
    <col min="15364" max="15364" width="9.140625" style="17"/>
    <col min="15365" max="15365" width="14.7109375" style="17" customWidth="1"/>
    <col min="15366" max="15366" width="10.7109375" style="17" customWidth="1"/>
    <col min="15367" max="15618" width="9.140625" style="17"/>
    <col min="15619" max="15619" width="11.7109375" style="17" customWidth="1"/>
    <col min="15620" max="15620" width="9.140625" style="17"/>
    <col min="15621" max="15621" width="14.7109375" style="17" customWidth="1"/>
    <col min="15622" max="15622" width="10.7109375" style="17" customWidth="1"/>
    <col min="15623" max="15874" width="9.140625" style="17"/>
    <col min="15875" max="15875" width="11.7109375" style="17" customWidth="1"/>
    <col min="15876" max="15876" width="9.140625" style="17"/>
    <col min="15877" max="15877" width="14.7109375" style="17" customWidth="1"/>
    <col min="15878" max="15878" width="10.7109375" style="17" customWidth="1"/>
    <col min="15879" max="16130" width="9.140625" style="17"/>
    <col min="16131" max="16131" width="11.7109375" style="17" customWidth="1"/>
    <col min="16132" max="16132" width="9.140625" style="17"/>
    <col min="16133" max="16133" width="14.7109375" style="17" customWidth="1"/>
    <col min="16134" max="16134" width="10.7109375" style="17" customWidth="1"/>
    <col min="16135" max="16384" width="9.140625" style="17"/>
  </cols>
  <sheetData>
    <row r="2" spans="1:13" x14ac:dyDescent="0.25">
      <c r="A2" s="18" t="s">
        <v>146</v>
      </c>
      <c r="B2" s="18" t="s">
        <v>147</v>
      </c>
      <c r="C2" s="18" t="s">
        <v>148</v>
      </c>
      <c r="D2" s="314" t="s">
        <v>149</v>
      </c>
      <c r="E2" s="314"/>
    </row>
    <row r="3" spans="1:13" x14ac:dyDescent="0.25">
      <c r="A3" s="21">
        <v>0</v>
      </c>
      <c r="B3" s="21">
        <v>0</v>
      </c>
      <c r="C3" s="21">
        <v>1</v>
      </c>
      <c r="D3" s="316">
        <v>4</v>
      </c>
      <c r="E3" s="316"/>
    </row>
    <row r="5" spans="1:13" hidden="1" x14ac:dyDescent="0.25">
      <c r="A5" s="17" t="s">
        <v>111</v>
      </c>
      <c r="B5" s="19" t="s">
        <v>163</v>
      </c>
      <c r="C5" s="19">
        <f>D3</f>
        <v>4</v>
      </c>
      <c r="D5" s="20"/>
    </row>
    <row r="6" spans="1:13" x14ac:dyDescent="0.25">
      <c r="A6" s="17" t="s">
        <v>112</v>
      </c>
      <c r="B6" s="22">
        <v>10</v>
      </c>
      <c r="C6" s="23">
        <v>10</v>
      </c>
      <c r="D6" s="24">
        <f>((100/B6)*C6)/100</f>
        <v>1</v>
      </c>
    </row>
    <row r="7" spans="1:13" x14ac:dyDescent="0.25">
      <c r="A7" s="17" t="s">
        <v>113</v>
      </c>
      <c r="B7" s="22">
        <f>A3+B3+C3+D3</f>
        <v>5</v>
      </c>
      <c r="C7" s="23">
        <v>5</v>
      </c>
      <c r="D7" s="24">
        <f t="shared" ref="D7:D12" si="0">((100/B7)*C7)/100</f>
        <v>1</v>
      </c>
      <c r="F7" s="317" t="s">
        <v>164</v>
      </c>
      <c r="G7" s="317"/>
      <c r="H7" s="25" t="s">
        <v>165</v>
      </c>
      <c r="J7" s="31"/>
    </row>
    <row r="8" spans="1:13" x14ac:dyDescent="0.25">
      <c r="A8" s="17" t="s">
        <v>118</v>
      </c>
      <c r="B8" s="22">
        <f>C5</f>
        <v>4</v>
      </c>
      <c r="C8" s="23">
        <v>0</v>
      </c>
      <c r="D8" s="24">
        <f t="shared" si="0"/>
        <v>0</v>
      </c>
      <c r="F8" s="315" t="s">
        <v>166</v>
      </c>
      <c r="G8" s="315"/>
      <c r="H8" s="22" t="s">
        <v>167</v>
      </c>
    </row>
    <row r="9" spans="1:13" x14ac:dyDescent="0.25">
      <c r="A9" s="17" t="s">
        <v>120</v>
      </c>
      <c r="B9" s="22">
        <f>C5</f>
        <v>4</v>
      </c>
      <c r="C9" s="23">
        <v>0</v>
      </c>
      <c r="D9" s="24">
        <f t="shared" si="0"/>
        <v>0</v>
      </c>
      <c r="F9" s="315" t="s">
        <v>168</v>
      </c>
      <c r="G9" s="315"/>
      <c r="H9" s="22" t="s">
        <v>169</v>
      </c>
    </row>
    <row r="10" spans="1:13" x14ac:dyDescent="0.25">
      <c r="A10" s="17" t="s">
        <v>78</v>
      </c>
      <c r="B10" s="22">
        <f>C5</f>
        <v>4</v>
      </c>
      <c r="C10" s="23">
        <v>0</v>
      </c>
      <c r="D10" s="24">
        <f t="shared" si="0"/>
        <v>0</v>
      </c>
      <c r="F10" s="315" t="s">
        <v>170</v>
      </c>
      <c r="G10" s="315"/>
      <c r="H10" s="22" t="s">
        <v>171</v>
      </c>
    </row>
    <row r="11" spans="1:13" x14ac:dyDescent="0.25">
      <c r="A11" s="26" t="s">
        <v>116</v>
      </c>
      <c r="B11" s="22">
        <f>C5</f>
        <v>4</v>
      </c>
      <c r="C11" s="23">
        <v>0</v>
      </c>
      <c r="D11" s="24">
        <f t="shared" si="0"/>
        <v>0</v>
      </c>
      <c r="F11" s="315" t="s">
        <v>172</v>
      </c>
      <c r="G11" s="315"/>
      <c r="H11" s="22" t="s">
        <v>173</v>
      </c>
    </row>
    <row r="12" spans="1:13" x14ac:dyDescent="0.25">
      <c r="A12" s="17" t="s">
        <v>80</v>
      </c>
      <c r="B12" s="22">
        <f>C5</f>
        <v>4</v>
      </c>
      <c r="C12" s="23">
        <v>0</v>
      </c>
      <c r="D12" s="24">
        <f t="shared" si="0"/>
        <v>0</v>
      </c>
      <c r="F12" s="315" t="s">
        <v>174</v>
      </c>
      <c r="G12" s="315"/>
      <c r="H12" s="22" t="s">
        <v>175</v>
      </c>
    </row>
    <row r="13" spans="1:13" x14ac:dyDescent="0.25">
      <c r="F13" s="315" t="s">
        <v>176</v>
      </c>
      <c r="G13" s="315"/>
      <c r="H13" s="22" t="s">
        <v>177</v>
      </c>
    </row>
    <row r="14" spans="1:13" hidden="1" x14ac:dyDescent="0.25">
      <c r="A14" s="18"/>
      <c r="B14" s="18" t="s">
        <v>117</v>
      </c>
      <c r="C14" s="18" t="s">
        <v>121</v>
      </c>
      <c r="G14" s="18" t="s">
        <v>112</v>
      </c>
      <c r="H14" s="18" t="s">
        <v>114</v>
      </c>
      <c r="I14" s="18" t="s">
        <v>115</v>
      </c>
      <c r="J14" s="18" t="s">
        <v>77</v>
      </c>
      <c r="K14" s="18" t="s">
        <v>78</v>
      </c>
      <c r="L14" s="18" t="s">
        <v>116</v>
      </c>
      <c r="M14" s="18" t="s">
        <v>80</v>
      </c>
    </row>
    <row r="15" spans="1:13" hidden="1" x14ac:dyDescent="0.25">
      <c r="A15" s="18" t="s">
        <v>74</v>
      </c>
      <c r="B15" s="18">
        <f>G15</f>
        <v>10</v>
      </c>
      <c r="C15" s="18">
        <f>G16</f>
        <v>30</v>
      </c>
      <c r="E15" s="314" t="s">
        <v>117</v>
      </c>
      <c r="F15" s="314"/>
      <c r="G15" s="27">
        <f>C6</f>
        <v>10</v>
      </c>
      <c r="H15" s="27">
        <f>40/B7*C7</f>
        <v>40</v>
      </c>
      <c r="I15" s="27">
        <f>15/B8*C8</f>
        <v>0</v>
      </c>
      <c r="J15" s="27">
        <f>10/B9*C9</f>
        <v>0</v>
      </c>
      <c r="K15" s="27">
        <f>10/B10*C10</f>
        <v>0</v>
      </c>
      <c r="L15" s="27">
        <f>5/B11*C11</f>
        <v>0</v>
      </c>
      <c r="M15" s="27">
        <f>5/B12*C12</f>
        <v>0</v>
      </c>
    </row>
    <row r="16" spans="1:13" hidden="1" x14ac:dyDescent="0.25">
      <c r="A16" s="18" t="s">
        <v>75</v>
      </c>
      <c r="B16" s="18">
        <f>H15</f>
        <v>40</v>
      </c>
      <c r="C16" s="18">
        <f>H16</f>
        <v>30</v>
      </c>
      <c r="E16" s="314" t="s">
        <v>119</v>
      </c>
      <c r="F16" s="314"/>
      <c r="G16" s="18">
        <f>G15+20</f>
        <v>30</v>
      </c>
      <c r="H16" s="18">
        <f>30/B7*C7</f>
        <v>30</v>
      </c>
      <c r="I16" s="18">
        <f>15/B8*C8</f>
        <v>0</v>
      </c>
      <c r="J16" s="18">
        <f>10/B9*C9</f>
        <v>0</v>
      </c>
      <c r="K16" s="18">
        <f>5/B10*C10</f>
        <v>0</v>
      </c>
      <c r="L16" s="18">
        <f>5/B11*C11</f>
        <v>0</v>
      </c>
      <c r="M16" s="18">
        <f>5/B12*C12</f>
        <v>0</v>
      </c>
    </row>
    <row r="17" spans="1:8" hidden="1" x14ac:dyDescent="0.25">
      <c r="A17" s="18" t="s">
        <v>115</v>
      </c>
      <c r="B17" s="18">
        <f>I15</f>
        <v>0</v>
      </c>
      <c r="C17" s="18">
        <f>I16</f>
        <v>0</v>
      </c>
    </row>
    <row r="18" spans="1:8" hidden="1" x14ac:dyDescent="0.25">
      <c r="A18" s="18" t="s">
        <v>77</v>
      </c>
      <c r="B18" s="18">
        <f>J15</f>
        <v>0</v>
      </c>
      <c r="C18" s="18">
        <f>J16</f>
        <v>0</v>
      </c>
    </row>
    <row r="19" spans="1:8" hidden="1" x14ac:dyDescent="0.25">
      <c r="A19" s="18" t="s">
        <v>78</v>
      </c>
      <c r="B19" s="18">
        <f>K15</f>
        <v>0</v>
      </c>
      <c r="C19" s="18">
        <f>K16</f>
        <v>0</v>
      </c>
    </row>
    <row r="20" spans="1:8" hidden="1" x14ac:dyDescent="0.25">
      <c r="A20" s="28" t="s">
        <v>116</v>
      </c>
      <c r="B20" s="18">
        <f>L15</f>
        <v>0</v>
      </c>
      <c r="C20" s="18">
        <f>L16</f>
        <v>0</v>
      </c>
    </row>
    <row r="21" spans="1:8" hidden="1" x14ac:dyDescent="0.25">
      <c r="A21" s="18" t="s">
        <v>80</v>
      </c>
      <c r="B21" s="18">
        <f>M15</f>
        <v>0</v>
      </c>
      <c r="C21" s="18">
        <f>M16</f>
        <v>0</v>
      </c>
    </row>
    <row r="22" spans="1:8" x14ac:dyDescent="0.25">
      <c r="A22" s="18" t="s">
        <v>122</v>
      </c>
      <c r="B22" s="29">
        <f>(B15+B16+B17+B18+B19+B20+B21)/100</f>
        <v>0.5</v>
      </c>
      <c r="C22" s="29">
        <f>(C15+C16+C17+C18+C19+C20+C21)/100</f>
        <v>0.6</v>
      </c>
      <c r="F22" s="315" t="s">
        <v>178</v>
      </c>
      <c r="G22" s="315"/>
      <c r="H22" s="22" t="s">
        <v>169</v>
      </c>
    </row>
    <row r="23" spans="1:8" x14ac:dyDescent="0.25">
      <c r="F23" s="315" t="s">
        <v>179</v>
      </c>
      <c r="G23" s="315"/>
      <c r="H23" s="22" t="s">
        <v>180</v>
      </c>
    </row>
    <row r="24" spans="1:8" x14ac:dyDescent="0.25">
      <c r="A24" s="17" t="s">
        <v>154</v>
      </c>
      <c r="B24" s="30">
        <v>0.01</v>
      </c>
      <c r="C24" s="30">
        <v>0.02</v>
      </c>
      <c r="F24" s="315" t="s">
        <v>181</v>
      </c>
      <c r="G24" s="315"/>
      <c r="H24" s="22" t="s">
        <v>182</v>
      </c>
    </row>
    <row r="25" spans="1:8" x14ac:dyDescent="0.25">
      <c r="A25" s="17" t="s">
        <v>155</v>
      </c>
      <c r="B25" s="30">
        <v>0.01</v>
      </c>
      <c r="C25" s="30">
        <v>0.03</v>
      </c>
    </row>
    <row r="26" spans="1:8" x14ac:dyDescent="0.25">
      <c r="A26" s="17" t="s">
        <v>156</v>
      </c>
      <c r="B26" s="30">
        <v>0.03</v>
      </c>
      <c r="C26" s="30">
        <v>0.08</v>
      </c>
    </row>
    <row r="27" spans="1:8" x14ac:dyDescent="0.25">
      <c r="A27" s="17" t="s">
        <v>157</v>
      </c>
      <c r="B27" s="30">
        <v>0.05</v>
      </c>
      <c r="C27" s="30">
        <v>0.15</v>
      </c>
    </row>
    <row r="28" spans="1:8" x14ac:dyDescent="0.25">
      <c r="A28" s="17" t="s">
        <v>158</v>
      </c>
      <c r="B28" s="30">
        <v>7.0000000000000007E-2</v>
      </c>
      <c r="C28" s="30">
        <v>0.2</v>
      </c>
    </row>
    <row r="29" spans="1:8" x14ac:dyDescent="0.25">
      <c r="A29" s="17" t="s">
        <v>159</v>
      </c>
      <c r="B29" s="30">
        <v>0.1</v>
      </c>
      <c r="C29" s="30">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29"/>
  <sheetViews>
    <sheetView workbookViewId="0">
      <selection activeCell="C10" sqref="C10"/>
    </sheetView>
  </sheetViews>
  <sheetFormatPr defaultRowHeight="15" x14ac:dyDescent="0.25"/>
  <cols>
    <col min="1" max="1" width="20.5703125" style="17" customWidth="1"/>
    <col min="2" max="2" width="11.7109375" style="17" customWidth="1"/>
    <col min="3" max="4" width="9.140625" style="17"/>
    <col min="5" max="5" width="10.140625" style="17" customWidth="1"/>
    <col min="6" max="6" width="10.7109375" style="17" customWidth="1"/>
    <col min="7" max="7" width="9.140625" style="17"/>
    <col min="8" max="8" width="10.42578125" style="17" customWidth="1"/>
    <col min="9" max="9" width="15.42578125" style="17" customWidth="1"/>
    <col min="10" max="258" width="9.140625" style="17"/>
    <col min="259" max="259" width="11.7109375" style="17" customWidth="1"/>
    <col min="260" max="260" width="9.140625" style="17"/>
    <col min="261" max="261" width="14.7109375" style="17" customWidth="1"/>
    <col min="262" max="262" width="10.7109375" style="17" customWidth="1"/>
    <col min="263" max="514" width="9.140625" style="17"/>
    <col min="515" max="515" width="11.7109375" style="17" customWidth="1"/>
    <col min="516" max="516" width="9.140625" style="17"/>
    <col min="517" max="517" width="14.7109375" style="17" customWidth="1"/>
    <col min="518" max="518" width="10.7109375" style="17" customWidth="1"/>
    <col min="519" max="770" width="9.140625" style="17"/>
    <col min="771" max="771" width="11.7109375" style="17" customWidth="1"/>
    <col min="772" max="772" width="9.140625" style="17"/>
    <col min="773" max="773" width="14.7109375" style="17" customWidth="1"/>
    <col min="774" max="774" width="10.7109375" style="17" customWidth="1"/>
    <col min="775" max="1026" width="9.140625" style="17"/>
    <col min="1027" max="1027" width="11.7109375" style="17" customWidth="1"/>
    <col min="1028" max="1028" width="9.140625" style="17"/>
    <col min="1029" max="1029" width="14.7109375" style="17" customWidth="1"/>
    <col min="1030" max="1030" width="10.7109375" style="17" customWidth="1"/>
    <col min="1031" max="1282" width="9.140625" style="17"/>
    <col min="1283" max="1283" width="11.7109375" style="17" customWidth="1"/>
    <col min="1284" max="1284" width="9.140625" style="17"/>
    <col min="1285" max="1285" width="14.7109375" style="17" customWidth="1"/>
    <col min="1286" max="1286" width="10.7109375" style="17" customWidth="1"/>
    <col min="1287" max="1538" width="9.140625" style="17"/>
    <col min="1539" max="1539" width="11.7109375" style="17" customWidth="1"/>
    <col min="1540" max="1540" width="9.140625" style="17"/>
    <col min="1541" max="1541" width="14.7109375" style="17" customWidth="1"/>
    <col min="1542" max="1542" width="10.7109375" style="17" customWidth="1"/>
    <col min="1543" max="1794" width="9.140625" style="17"/>
    <col min="1795" max="1795" width="11.7109375" style="17" customWidth="1"/>
    <col min="1796" max="1796" width="9.140625" style="17"/>
    <col min="1797" max="1797" width="14.7109375" style="17" customWidth="1"/>
    <col min="1798" max="1798" width="10.7109375" style="17" customWidth="1"/>
    <col min="1799" max="2050" width="9.140625" style="17"/>
    <col min="2051" max="2051" width="11.7109375" style="17" customWidth="1"/>
    <col min="2052" max="2052" width="9.140625" style="17"/>
    <col min="2053" max="2053" width="14.7109375" style="17" customWidth="1"/>
    <col min="2054" max="2054" width="10.7109375" style="17" customWidth="1"/>
    <col min="2055" max="2306" width="9.140625" style="17"/>
    <col min="2307" max="2307" width="11.7109375" style="17" customWidth="1"/>
    <col min="2308" max="2308" width="9.140625" style="17"/>
    <col min="2309" max="2309" width="14.7109375" style="17" customWidth="1"/>
    <col min="2310" max="2310" width="10.7109375" style="17" customWidth="1"/>
    <col min="2311" max="2562" width="9.140625" style="17"/>
    <col min="2563" max="2563" width="11.7109375" style="17" customWidth="1"/>
    <col min="2564" max="2564" width="9.140625" style="17"/>
    <col min="2565" max="2565" width="14.7109375" style="17" customWidth="1"/>
    <col min="2566" max="2566" width="10.7109375" style="17" customWidth="1"/>
    <col min="2567" max="2818" width="9.140625" style="17"/>
    <col min="2819" max="2819" width="11.7109375" style="17" customWidth="1"/>
    <col min="2820" max="2820" width="9.140625" style="17"/>
    <col min="2821" max="2821" width="14.7109375" style="17" customWidth="1"/>
    <col min="2822" max="2822" width="10.7109375" style="17" customWidth="1"/>
    <col min="2823" max="3074" width="9.140625" style="17"/>
    <col min="3075" max="3075" width="11.7109375" style="17" customWidth="1"/>
    <col min="3076" max="3076" width="9.140625" style="17"/>
    <col min="3077" max="3077" width="14.7109375" style="17" customWidth="1"/>
    <col min="3078" max="3078" width="10.7109375" style="17" customWidth="1"/>
    <col min="3079" max="3330" width="9.140625" style="17"/>
    <col min="3331" max="3331" width="11.7109375" style="17" customWidth="1"/>
    <col min="3332" max="3332" width="9.140625" style="17"/>
    <col min="3333" max="3333" width="14.7109375" style="17" customWidth="1"/>
    <col min="3334" max="3334" width="10.7109375" style="17" customWidth="1"/>
    <col min="3335" max="3586" width="9.140625" style="17"/>
    <col min="3587" max="3587" width="11.7109375" style="17" customWidth="1"/>
    <col min="3588" max="3588" width="9.140625" style="17"/>
    <col min="3589" max="3589" width="14.7109375" style="17" customWidth="1"/>
    <col min="3590" max="3590" width="10.7109375" style="17" customWidth="1"/>
    <col min="3591" max="3842" width="9.140625" style="17"/>
    <col min="3843" max="3843" width="11.7109375" style="17" customWidth="1"/>
    <col min="3844" max="3844" width="9.140625" style="17"/>
    <col min="3845" max="3845" width="14.7109375" style="17" customWidth="1"/>
    <col min="3846" max="3846" width="10.7109375" style="17" customWidth="1"/>
    <col min="3847" max="4098" width="9.140625" style="17"/>
    <col min="4099" max="4099" width="11.7109375" style="17" customWidth="1"/>
    <col min="4100" max="4100" width="9.140625" style="17"/>
    <col min="4101" max="4101" width="14.7109375" style="17" customWidth="1"/>
    <col min="4102" max="4102" width="10.7109375" style="17" customWidth="1"/>
    <col min="4103" max="4354" width="9.140625" style="17"/>
    <col min="4355" max="4355" width="11.7109375" style="17" customWidth="1"/>
    <col min="4356" max="4356" width="9.140625" style="17"/>
    <col min="4357" max="4357" width="14.7109375" style="17" customWidth="1"/>
    <col min="4358" max="4358" width="10.7109375" style="17" customWidth="1"/>
    <col min="4359" max="4610" width="9.140625" style="17"/>
    <col min="4611" max="4611" width="11.7109375" style="17" customWidth="1"/>
    <col min="4612" max="4612" width="9.140625" style="17"/>
    <col min="4613" max="4613" width="14.7109375" style="17" customWidth="1"/>
    <col min="4614" max="4614" width="10.7109375" style="17" customWidth="1"/>
    <col min="4615" max="4866" width="9.140625" style="17"/>
    <col min="4867" max="4867" width="11.7109375" style="17" customWidth="1"/>
    <col min="4868" max="4868" width="9.140625" style="17"/>
    <col min="4869" max="4869" width="14.7109375" style="17" customWidth="1"/>
    <col min="4870" max="4870" width="10.7109375" style="17" customWidth="1"/>
    <col min="4871" max="5122" width="9.140625" style="17"/>
    <col min="5123" max="5123" width="11.7109375" style="17" customWidth="1"/>
    <col min="5124" max="5124" width="9.140625" style="17"/>
    <col min="5125" max="5125" width="14.7109375" style="17" customWidth="1"/>
    <col min="5126" max="5126" width="10.7109375" style="17" customWidth="1"/>
    <col min="5127" max="5378" width="9.140625" style="17"/>
    <col min="5379" max="5379" width="11.7109375" style="17" customWidth="1"/>
    <col min="5380" max="5380" width="9.140625" style="17"/>
    <col min="5381" max="5381" width="14.7109375" style="17" customWidth="1"/>
    <col min="5382" max="5382" width="10.7109375" style="17" customWidth="1"/>
    <col min="5383" max="5634" width="9.140625" style="17"/>
    <col min="5635" max="5635" width="11.7109375" style="17" customWidth="1"/>
    <col min="5636" max="5636" width="9.140625" style="17"/>
    <col min="5637" max="5637" width="14.7109375" style="17" customWidth="1"/>
    <col min="5638" max="5638" width="10.7109375" style="17" customWidth="1"/>
    <col min="5639" max="5890" width="9.140625" style="17"/>
    <col min="5891" max="5891" width="11.7109375" style="17" customWidth="1"/>
    <col min="5892" max="5892" width="9.140625" style="17"/>
    <col min="5893" max="5893" width="14.7109375" style="17" customWidth="1"/>
    <col min="5894" max="5894" width="10.7109375" style="17" customWidth="1"/>
    <col min="5895" max="6146" width="9.140625" style="17"/>
    <col min="6147" max="6147" width="11.7109375" style="17" customWidth="1"/>
    <col min="6148" max="6148" width="9.140625" style="17"/>
    <col min="6149" max="6149" width="14.7109375" style="17" customWidth="1"/>
    <col min="6150" max="6150" width="10.7109375" style="17" customWidth="1"/>
    <col min="6151" max="6402" width="9.140625" style="17"/>
    <col min="6403" max="6403" width="11.7109375" style="17" customWidth="1"/>
    <col min="6404" max="6404" width="9.140625" style="17"/>
    <col min="6405" max="6405" width="14.7109375" style="17" customWidth="1"/>
    <col min="6406" max="6406" width="10.7109375" style="17" customWidth="1"/>
    <col min="6407" max="6658" width="9.140625" style="17"/>
    <col min="6659" max="6659" width="11.7109375" style="17" customWidth="1"/>
    <col min="6660" max="6660" width="9.140625" style="17"/>
    <col min="6661" max="6661" width="14.7109375" style="17" customWidth="1"/>
    <col min="6662" max="6662" width="10.7109375" style="17" customWidth="1"/>
    <col min="6663" max="6914" width="9.140625" style="17"/>
    <col min="6915" max="6915" width="11.7109375" style="17" customWidth="1"/>
    <col min="6916" max="6916" width="9.140625" style="17"/>
    <col min="6917" max="6917" width="14.7109375" style="17" customWidth="1"/>
    <col min="6918" max="6918" width="10.7109375" style="17" customWidth="1"/>
    <col min="6919" max="7170" width="9.140625" style="17"/>
    <col min="7171" max="7171" width="11.7109375" style="17" customWidth="1"/>
    <col min="7172" max="7172" width="9.140625" style="17"/>
    <col min="7173" max="7173" width="14.7109375" style="17" customWidth="1"/>
    <col min="7174" max="7174" width="10.7109375" style="17" customWidth="1"/>
    <col min="7175" max="7426" width="9.140625" style="17"/>
    <col min="7427" max="7427" width="11.7109375" style="17" customWidth="1"/>
    <col min="7428" max="7428" width="9.140625" style="17"/>
    <col min="7429" max="7429" width="14.7109375" style="17" customWidth="1"/>
    <col min="7430" max="7430" width="10.7109375" style="17" customWidth="1"/>
    <col min="7431" max="7682" width="9.140625" style="17"/>
    <col min="7683" max="7683" width="11.7109375" style="17" customWidth="1"/>
    <col min="7684" max="7684" width="9.140625" style="17"/>
    <col min="7685" max="7685" width="14.7109375" style="17" customWidth="1"/>
    <col min="7686" max="7686" width="10.7109375" style="17" customWidth="1"/>
    <col min="7687" max="7938" width="9.140625" style="17"/>
    <col min="7939" max="7939" width="11.7109375" style="17" customWidth="1"/>
    <col min="7940" max="7940" width="9.140625" style="17"/>
    <col min="7941" max="7941" width="14.7109375" style="17" customWidth="1"/>
    <col min="7942" max="7942" width="10.7109375" style="17" customWidth="1"/>
    <col min="7943" max="8194" width="9.140625" style="17"/>
    <col min="8195" max="8195" width="11.7109375" style="17" customWidth="1"/>
    <col min="8196" max="8196" width="9.140625" style="17"/>
    <col min="8197" max="8197" width="14.7109375" style="17" customWidth="1"/>
    <col min="8198" max="8198" width="10.7109375" style="17" customWidth="1"/>
    <col min="8199" max="8450" width="9.140625" style="17"/>
    <col min="8451" max="8451" width="11.7109375" style="17" customWidth="1"/>
    <col min="8452" max="8452" width="9.140625" style="17"/>
    <col min="8453" max="8453" width="14.7109375" style="17" customWidth="1"/>
    <col min="8454" max="8454" width="10.7109375" style="17" customWidth="1"/>
    <col min="8455" max="8706" width="9.140625" style="17"/>
    <col min="8707" max="8707" width="11.7109375" style="17" customWidth="1"/>
    <col min="8708" max="8708" width="9.140625" style="17"/>
    <col min="8709" max="8709" width="14.7109375" style="17" customWidth="1"/>
    <col min="8710" max="8710" width="10.7109375" style="17" customWidth="1"/>
    <col min="8711" max="8962" width="9.140625" style="17"/>
    <col min="8963" max="8963" width="11.7109375" style="17" customWidth="1"/>
    <col min="8964" max="8964" width="9.140625" style="17"/>
    <col min="8965" max="8965" width="14.7109375" style="17" customWidth="1"/>
    <col min="8966" max="8966" width="10.7109375" style="17" customWidth="1"/>
    <col min="8967" max="9218" width="9.140625" style="17"/>
    <col min="9219" max="9219" width="11.7109375" style="17" customWidth="1"/>
    <col min="9220" max="9220" width="9.140625" style="17"/>
    <col min="9221" max="9221" width="14.7109375" style="17" customWidth="1"/>
    <col min="9222" max="9222" width="10.7109375" style="17" customWidth="1"/>
    <col min="9223" max="9474" width="9.140625" style="17"/>
    <col min="9475" max="9475" width="11.7109375" style="17" customWidth="1"/>
    <col min="9476" max="9476" width="9.140625" style="17"/>
    <col min="9477" max="9477" width="14.7109375" style="17" customWidth="1"/>
    <col min="9478" max="9478" width="10.7109375" style="17" customWidth="1"/>
    <col min="9479" max="9730" width="9.140625" style="17"/>
    <col min="9731" max="9731" width="11.7109375" style="17" customWidth="1"/>
    <col min="9732" max="9732" width="9.140625" style="17"/>
    <col min="9733" max="9733" width="14.7109375" style="17" customWidth="1"/>
    <col min="9734" max="9734" width="10.7109375" style="17" customWidth="1"/>
    <col min="9735" max="9986" width="9.140625" style="17"/>
    <col min="9987" max="9987" width="11.7109375" style="17" customWidth="1"/>
    <col min="9988" max="9988" width="9.140625" style="17"/>
    <col min="9989" max="9989" width="14.7109375" style="17" customWidth="1"/>
    <col min="9990" max="9990" width="10.7109375" style="17" customWidth="1"/>
    <col min="9991" max="10242" width="9.140625" style="17"/>
    <col min="10243" max="10243" width="11.7109375" style="17" customWidth="1"/>
    <col min="10244" max="10244" width="9.140625" style="17"/>
    <col min="10245" max="10245" width="14.7109375" style="17" customWidth="1"/>
    <col min="10246" max="10246" width="10.7109375" style="17" customWidth="1"/>
    <col min="10247" max="10498" width="9.140625" style="17"/>
    <col min="10499" max="10499" width="11.7109375" style="17" customWidth="1"/>
    <col min="10500" max="10500" width="9.140625" style="17"/>
    <col min="10501" max="10501" width="14.7109375" style="17" customWidth="1"/>
    <col min="10502" max="10502" width="10.7109375" style="17" customWidth="1"/>
    <col min="10503" max="10754" width="9.140625" style="17"/>
    <col min="10755" max="10755" width="11.7109375" style="17" customWidth="1"/>
    <col min="10756" max="10756" width="9.140625" style="17"/>
    <col min="10757" max="10757" width="14.7109375" style="17" customWidth="1"/>
    <col min="10758" max="10758" width="10.7109375" style="17" customWidth="1"/>
    <col min="10759" max="11010" width="9.140625" style="17"/>
    <col min="11011" max="11011" width="11.7109375" style="17" customWidth="1"/>
    <col min="11012" max="11012" width="9.140625" style="17"/>
    <col min="11013" max="11013" width="14.7109375" style="17" customWidth="1"/>
    <col min="11014" max="11014" width="10.7109375" style="17" customWidth="1"/>
    <col min="11015" max="11266" width="9.140625" style="17"/>
    <col min="11267" max="11267" width="11.7109375" style="17" customWidth="1"/>
    <col min="11268" max="11268" width="9.140625" style="17"/>
    <col min="11269" max="11269" width="14.7109375" style="17" customWidth="1"/>
    <col min="11270" max="11270" width="10.7109375" style="17" customWidth="1"/>
    <col min="11271" max="11522" width="9.140625" style="17"/>
    <col min="11523" max="11523" width="11.7109375" style="17" customWidth="1"/>
    <col min="11524" max="11524" width="9.140625" style="17"/>
    <col min="11525" max="11525" width="14.7109375" style="17" customWidth="1"/>
    <col min="11526" max="11526" width="10.7109375" style="17" customWidth="1"/>
    <col min="11527" max="11778" width="9.140625" style="17"/>
    <col min="11779" max="11779" width="11.7109375" style="17" customWidth="1"/>
    <col min="11780" max="11780" width="9.140625" style="17"/>
    <col min="11781" max="11781" width="14.7109375" style="17" customWidth="1"/>
    <col min="11782" max="11782" width="10.7109375" style="17" customWidth="1"/>
    <col min="11783" max="12034" width="9.140625" style="17"/>
    <col min="12035" max="12035" width="11.7109375" style="17" customWidth="1"/>
    <col min="12036" max="12036" width="9.140625" style="17"/>
    <col min="12037" max="12037" width="14.7109375" style="17" customWidth="1"/>
    <col min="12038" max="12038" width="10.7109375" style="17" customWidth="1"/>
    <col min="12039" max="12290" width="9.140625" style="17"/>
    <col min="12291" max="12291" width="11.7109375" style="17" customWidth="1"/>
    <col min="12292" max="12292" width="9.140625" style="17"/>
    <col min="12293" max="12293" width="14.7109375" style="17" customWidth="1"/>
    <col min="12294" max="12294" width="10.7109375" style="17" customWidth="1"/>
    <col min="12295" max="12546" width="9.140625" style="17"/>
    <col min="12547" max="12547" width="11.7109375" style="17" customWidth="1"/>
    <col min="12548" max="12548" width="9.140625" style="17"/>
    <col min="12549" max="12549" width="14.7109375" style="17" customWidth="1"/>
    <col min="12550" max="12550" width="10.7109375" style="17" customWidth="1"/>
    <col min="12551" max="12802" width="9.140625" style="17"/>
    <col min="12803" max="12803" width="11.7109375" style="17" customWidth="1"/>
    <col min="12804" max="12804" width="9.140625" style="17"/>
    <col min="12805" max="12805" width="14.7109375" style="17" customWidth="1"/>
    <col min="12806" max="12806" width="10.7109375" style="17" customWidth="1"/>
    <col min="12807" max="13058" width="9.140625" style="17"/>
    <col min="13059" max="13059" width="11.7109375" style="17" customWidth="1"/>
    <col min="13060" max="13060" width="9.140625" style="17"/>
    <col min="13061" max="13061" width="14.7109375" style="17" customWidth="1"/>
    <col min="13062" max="13062" width="10.7109375" style="17" customWidth="1"/>
    <col min="13063" max="13314" width="9.140625" style="17"/>
    <col min="13315" max="13315" width="11.7109375" style="17" customWidth="1"/>
    <col min="13316" max="13316" width="9.140625" style="17"/>
    <col min="13317" max="13317" width="14.7109375" style="17" customWidth="1"/>
    <col min="13318" max="13318" width="10.7109375" style="17" customWidth="1"/>
    <col min="13319" max="13570" width="9.140625" style="17"/>
    <col min="13571" max="13571" width="11.7109375" style="17" customWidth="1"/>
    <col min="13572" max="13572" width="9.140625" style="17"/>
    <col min="13573" max="13573" width="14.7109375" style="17" customWidth="1"/>
    <col min="13574" max="13574" width="10.7109375" style="17" customWidth="1"/>
    <col min="13575" max="13826" width="9.140625" style="17"/>
    <col min="13827" max="13827" width="11.7109375" style="17" customWidth="1"/>
    <col min="13828" max="13828" width="9.140625" style="17"/>
    <col min="13829" max="13829" width="14.7109375" style="17" customWidth="1"/>
    <col min="13830" max="13830" width="10.7109375" style="17" customWidth="1"/>
    <col min="13831" max="14082" width="9.140625" style="17"/>
    <col min="14083" max="14083" width="11.7109375" style="17" customWidth="1"/>
    <col min="14084" max="14084" width="9.140625" style="17"/>
    <col min="14085" max="14085" width="14.7109375" style="17" customWidth="1"/>
    <col min="14086" max="14086" width="10.7109375" style="17" customWidth="1"/>
    <col min="14087" max="14338" width="9.140625" style="17"/>
    <col min="14339" max="14339" width="11.7109375" style="17" customWidth="1"/>
    <col min="14340" max="14340" width="9.140625" style="17"/>
    <col min="14341" max="14341" width="14.7109375" style="17" customWidth="1"/>
    <col min="14342" max="14342" width="10.7109375" style="17" customWidth="1"/>
    <col min="14343" max="14594" width="9.140625" style="17"/>
    <col min="14595" max="14595" width="11.7109375" style="17" customWidth="1"/>
    <col min="14596" max="14596" width="9.140625" style="17"/>
    <col min="14597" max="14597" width="14.7109375" style="17" customWidth="1"/>
    <col min="14598" max="14598" width="10.7109375" style="17" customWidth="1"/>
    <col min="14599" max="14850" width="9.140625" style="17"/>
    <col min="14851" max="14851" width="11.7109375" style="17" customWidth="1"/>
    <col min="14852" max="14852" width="9.140625" style="17"/>
    <col min="14853" max="14853" width="14.7109375" style="17" customWidth="1"/>
    <col min="14854" max="14854" width="10.7109375" style="17" customWidth="1"/>
    <col min="14855" max="15106" width="9.140625" style="17"/>
    <col min="15107" max="15107" width="11.7109375" style="17" customWidth="1"/>
    <col min="15108" max="15108" width="9.140625" style="17"/>
    <col min="15109" max="15109" width="14.7109375" style="17" customWidth="1"/>
    <col min="15110" max="15110" width="10.7109375" style="17" customWidth="1"/>
    <col min="15111" max="15362" width="9.140625" style="17"/>
    <col min="15363" max="15363" width="11.7109375" style="17" customWidth="1"/>
    <col min="15364" max="15364" width="9.140625" style="17"/>
    <col min="15365" max="15365" width="14.7109375" style="17" customWidth="1"/>
    <col min="15366" max="15366" width="10.7109375" style="17" customWidth="1"/>
    <col min="15367" max="15618" width="9.140625" style="17"/>
    <col min="15619" max="15619" width="11.7109375" style="17" customWidth="1"/>
    <col min="15620" max="15620" width="9.140625" style="17"/>
    <col min="15621" max="15621" width="14.7109375" style="17" customWidth="1"/>
    <col min="15622" max="15622" width="10.7109375" style="17" customWidth="1"/>
    <col min="15623" max="15874" width="9.140625" style="17"/>
    <col min="15875" max="15875" width="11.7109375" style="17" customWidth="1"/>
    <col min="15876" max="15876" width="9.140625" style="17"/>
    <col min="15877" max="15877" width="14.7109375" style="17" customWidth="1"/>
    <col min="15878" max="15878" width="10.7109375" style="17" customWidth="1"/>
    <col min="15879" max="16130" width="9.140625" style="17"/>
    <col min="16131" max="16131" width="11.7109375" style="17" customWidth="1"/>
    <col min="16132" max="16132" width="9.140625" style="17"/>
    <col min="16133" max="16133" width="14.7109375" style="17" customWidth="1"/>
    <col min="16134" max="16134" width="10.7109375" style="17" customWidth="1"/>
    <col min="16135" max="16384" width="9.140625" style="17"/>
  </cols>
  <sheetData>
    <row r="2" spans="1:13" x14ac:dyDescent="0.25">
      <c r="A2" s="18" t="s">
        <v>146</v>
      </c>
      <c r="B2" s="18" t="s">
        <v>147</v>
      </c>
      <c r="C2" s="18" t="s">
        <v>148</v>
      </c>
      <c r="D2" s="314" t="s">
        <v>149</v>
      </c>
      <c r="E2" s="314"/>
    </row>
    <row r="3" spans="1:13" x14ac:dyDescent="0.25">
      <c r="A3" s="21">
        <v>0</v>
      </c>
      <c r="B3" s="21">
        <v>0</v>
      </c>
      <c r="C3" s="21">
        <v>1</v>
      </c>
      <c r="D3" s="316">
        <v>4</v>
      </c>
      <c r="E3" s="316"/>
    </row>
    <row r="5" spans="1:13" hidden="1" x14ac:dyDescent="0.25">
      <c r="A5" s="17" t="s">
        <v>111</v>
      </c>
      <c r="B5" s="19" t="s">
        <v>163</v>
      </c>
      <c r="C5" s="19">
        <f>D3</f>
        <v>4</v>
      </c>
      <c r="D5" s="20"/>
    </row>
    <row r="6" spans="1:13" x14ac:dyDescent="0.25">
      <c r="A6" s="17" t="s">
        <v>112</v>
      </c>
      <c r="B6" s="22">
        <v>10</v>
      </c>
      <c r="C6" s="23">
        <v>10</v>
      </c>
      <c r="D6" s="24">
        <f>((100/B6)*C6)/100</f>
        <v>1</v>
      </c>
    </row>
    <row r="7" spans="1:13" x14ac:dyDescent="0.25">
      <c r="A7" s="17" t="s">
        <v>113</v>
      </c>
      <c r="B7" s="22">
        <f>A3+B3+C3+D3</f>
        <v>5</v>
      </c>
      <c r="C7" s="23">
        <v>5</v>
      </c>
      <c r="D7" s="24">
        <f t="shared" ref="D7:D12" si="0">((100/B7)*C7)/100</f>
        <v>1</v>
      </c>
      <c r="F7" s="317" t="s">
        <v>164</v>
      </c>
      <c r="G7" s="317"/>
      <c r="H7" s="25" t="s">
        <v>165</v>
      </c>
      <c r="J7" s="31"/>
    </row>
    <row r="8" spans="1:13" x14ac:dyDescent="0.25">
      <c r="A8" s="17" t="s">
        <v>118</v>
      </c>
      <c r="B8" s="22">
        <f>C5</f>
        <v>4</v>
      </c>
      <c r="C8" s="23">
        <v>4</v>
      </c>
      <c r="D8" s="24">
        <f t="shared" si="0"/>
        <v>1</v>
      </c>
      <c r="F8" s="315" t="s">
        <v>166</v>
      </c>
      <c r="G8" s="315"/>
      <c r="H8" s="22" t="s">
        <v>167</v>
      </c>
    </row>
    <row r="9" spans="1:13" x14ac:dyDescent="0.25">
      <c r="A9" s="17" t="s">
        <v>120</v>
      </c>
      <c r="B9" s="22">
        <f>C5</f>
        <v>4</v>
      </c>
      <c r="C9" s="23">
        <v>4</v>
      </c>
      <c r="D9" s="24">
        <f t="shared" si="0"/>
        <v>1</v>
      </c>
      <c r="F9" s="315" t="s">
        <v>168</v>
      </c>
      <c r="G9" s="315"/>
      <c r="H9" s="22" t="s">
        <v>169</v>
      </c>
    </row>
    <row r="10" spans="1:13" x14ac:dyDescent="0.25">
      <c r="A10" s="17" t="s">
        <v>78</v>
      </c>
      <c r="B10" s="22">
        <f>C5</f>
        <v>4</v>
      </c>
      <c r="C10" s="23">
        <v>0</v>
      </c>
      <c r="D10" s="24">
        <f t="shared" si="0"/>
        <v>0</v>
      </c>
      <c r="F10" s="315" t="s">
        <v>170</v>
      </c>
      <c r="G10" s="315"/>
      <c r="H10" s="22" t="s">
        <v>171</v>
      </c>
    </row>
    <row r="11" spans="1:13" x14ac:dyDescent="0.25">
      <c r="A11" s="26" t="s">
        <v>116</v>
      </c>
      <c r="B11" s="22">
        <f>C5</f>
        <v>4</v>
      </c>
      <c r="C11" s="23">
        <v>0</v>
      </c>
      <c r="D11" s="24">
        <f t="shared" si="0"/>
        <v>0</v>
      </c>
      <c r="F11" s="315" t="s">
        <v>172</v>
      </c>
      <c r="G11" s="315"/>
      <c r="H11" s="22" t="s">
        <v>173</v>
      </c>
    </row>
    <row r="12" spans="1:13" x14ac:dyDescent="0.25">
      <c r="A12" s="17" t="s">
        <v>80</v>
      </c>
      <c r="B12" s="22">
        <f>C5</f>
        <v>4</v>
      </c>
      <c r="C12" s="23">
        <v>0</v>
      </c>
      <c r="D12" s="24">
        <f t="shared" si="0"/>
        <v>0</v>
      </c>
      <c r="F12" s="315" t="s">
        <v>174</v>
      </c>
      <c r="G12" s="315"/>
      <c r="H12" s="22" t="s">
        <v>175</v>
      </c>
    </row>
    <row r="13" spans="1:13" x14ac:dyDescent="0.25">
      <c r="F13" s="315" t="s">
        <v>176</v>
      </c>
      <c r="G13" s="315"/>
      <c r="H13" s="22" t="s">
        <v>177</v>
      </c>
    </row>
    <row r="14" spans="1:13" hidden="1" x14ac:dyDescent="0.25">
      <c r="A14" s="18"/>
      <c r="B14" s="18" t="s">
        <v>117</v>
      </c>
      <c r="C14" s="18" t="s">
        <v>121</v>
      </c>
      <c r="G14" s="18" t="s">
        <v>112</v>
      </c>
      <c r="H14" s="18" t="s">
        <v>114</v>
      </c>
      <c r="I14" s="18" t="s">
        <v>115</v>
      </c>
      <c r="J14" s="18" t="s">
        <v>77</v>
      </c>
      <c r="K14" s="18" t="s">
        <v>78</v>
      </c>
      <c r="L14" s="18" t="s">
        <v>116</v>
      </c>
      <c r="M14" s="18" t="s">
        <v>80</v>
      </c>
    </row>
    <row r="15" spans="1:13" hidden="1" x14ac:dyDescent="0.25">
      <c r="A15" s="18" t="s">
        <v>74</v>
      </c>
      <c r="B15" s="18">
        <f>G15</f>
        <v>10</v>
      </c>
      <c r="C15" s="18">
        <f>G16</f>
        <v>30</v>
      </c>
      <c r="E15" s="314" t="s">
        <v>117</v>
      </c>
      <c r="F15" s="314"/>
      <c r="G15" s="27">
        <f>C6</f>
        <v>10</v>
      </c>
      <c r="H15" s="27">
        <f>40/B7*C7</f>
        <v>40</v>
      </c>
      <c r="I15" s="27">
        <f>15/B8*C8</f>
        <v>15</v>
      </c>
      <c r="J15" s="27">
        <f>10/B9*C9</f>
        <v>10</v>
      </c>
      <c r="K15" s="27">
        <f>10/B10*C10</f>
        <v>0</v>
      </c>
      <c r="L15" s="27">
        <f>5/B11*C11</f>
        <v>0</v>
      </c>
      <c r="M15" s="27">
        <f>5/B12*C12</f>
        <v>0</v>
      </c>
    </row>
    <row r="16" spans="1:13" hidden="1" x14ac:dyDescent="0.25">
      <c r="A16" s="18" t="s">
        <v>75</v>
      </c>
      <c r="B16" s="18">
        <f>H15</f>
        <v>40</v>
      </c>
      <c r="C16" s="18">
        <f>H16</f>
        <v>30</v>
      </c>
      <c r="E16" s="314" t="s">
        <v>119</v>
      </c>
      <c r="F16" s="314"/>
      <c r="G16" s="18">
        <f>G15+20</f>
        <v>30</v>
      </c>
      <c r="H16" s="18">
        <f>30/B7*C7</f>
        <v>30</v>
      </c>
      <c r="I16" s="18">
        <f>15/B8*C8</f>
        <v>15</v>
      </c>
      <c r="J16" s="18">
        <f>10/B9*C9</f>
        <v>10</v>
      </c>
      <c r="K16" s="18">
        <f>5/B10*C10</f>
        <v>0</v>
      </c>
      <c r="L16" s="18">
        <f>5/B11*C11</f>
        <v>0</v>
      </c>
      <c r="M16" s="18">
        <f>5/B12*C12</f>
        <v>0</v>
      </c>
    </row>
    <row r="17" spans="1:8" hidden="1" x14ac:dyDescent="0.25">
      <c r="A17" s="18" t="s">
        <v>115</v>
      </c>
      <c r="B17" s="18">
        <f>I15</f>
        <v>15</v>
      </c>
      <c r="C17" s="18">
        <f>I16</f>
        <v>15</v>
      </c>
    </row>
    <row r="18" spans="1:8" hidden="1" x14ac:dyDescent="0.25">
      <c r="A18" s="18" t="s">
        <v>77</v>
      </c>
      <c r="B18" s="18">
        <f>J15</f>
        <v>10</v>
      </c>
      <c r="C18" s="18">
        <f>J16</f>
        <v>10</v>
      </c>
    </row>
    <row r="19" spans="1:8" hidden="1" x14ac:dyDescent="0.25">
      <c r="A19" s="18" t="s">
        <v>78</v>
      </c>
      <c r="B19" s="18">
        <f>K15</f>
        <v>0</v>
      </c>
      <c r="C19" s="18">
        <f>K16</f>
        <v>0</v>
      </c>
    </row>
    <row r="20" spans="1:8" hidden="1" x14ac:dyDescent="0.25">
      <c r="A20" s="28" t="s">
        <v>116</v>
      </c>
      <c r="B20" s="18">
        <f>L15</f>
        <v>0</v>
      </c>
      <c r="C20" s="18">
        <f>L16</f>
        <v>0</v>
      </c>
    </row>
    <row r="21" spans="1:8" hidden="1" x14ac:dyDescent="0.25">
      <c r="A21" s="18" t="s">
        <v>80</v>
      </c>
      <c r="B21" s="18">
        <f>M15</f>
        <v>0</v>
      </c>
      <c r="C21" s="18">
        <f>M16</f>
        <v>0</v>
      </c>
    </row>
    <row r="22" spans="1:8" x14ac:dyDescent="0.25">
      <c r="A22" s="18" t="s">
        <v>122</v>
      </c>
      <c r="B22" s="29">
        <f>(B15+B16+B17+B18+B19+B20+B21)/100</f>
        <v>0.75</v>
      </c>
      <c r="C22" s="29">
        <f>(C15+C16+C17+C18+C19+C20+C21)/100</f>
        <v>0.85</v>
      </c>
      <c r="F22" s="315" t="s">
        <v>178</v>
      </c>
      <c r="G22" s="315"/>
      <c r="H22" s="22" t="s">
        <v>169</v>
      </c>
    </row>
    <row r="23" spans="1:8" x14ac:dyDescent="0.25">
      <c r="F23" s="315" t="s">
        <v>179</v>
      </c>
      <c r="G23" s="315"/>
      <c r="H23" s="22" t="s">
        <v>180</v>
      </c>
    </row>
    <row r="24" spans="1:8" x14ac:dyDescent="0.25">
      <c r="A24" s="17" t="s">
        <v>154</v>
      </c>
      <c r="B24" s="30">
        <v>0.01</v>
      </c>
      <c r="C24" s="30">
        <v>0.02</v>
      </c>
      <c r="F24" s="315" t="s">
        <v>181</v>
      </c>
      <c r="G24" s="315"/>
      <c r="H24" s="22" t="s">
        <v>182</v>
      </c>
    </row>
    <row r="25" spans="1:8" x14ac:dyDescent="0.25">
      <c r="A25" s="17" t="s">
        <v>155</v>
      </c>
      <c r="B25" s="30">
        <v>0.01</v>
      </c>
      <c r="C25" s="30">
        <v>0.03</v>
      </c>
    </row>
    <row r="26" spans="1:8" x14ac:dyDescent="0.25">
      <c r="A26" s="17" t="s">
        <v>156</v>
      </c>
      <c r="B26" s="30">
        <v>0.03</v>
      </c>
      <c r="C26" s="30">
        <v>0.08</v>
      </c>
    </row>
    <row r="27" spans="1:8" x14ac:dyDescent="0.25">
      <c r="A27" s="17" t="s">
        <v>157</v>
      </c>
      <c r="B27" s="30">
        <v>0.05</v>
      </c>
      <c r="C27" s="30">
        <v>0.15</v>
      </c>
    </row>
    <row r="28" spans="1:8" x14ac:dyDescent="0.25">
      <c r="A28" s="17" t="s">
        <v>158</v>
      </c>
      <c r="B28" s="30">
        <v>7.0000000000000007E-2</v>
      </c>
      <c r="C28" s="30">
        <v>0.2</v>
      </c>
    </row>
    <row r="29" spans="1:8" x14ac:dyDescent="0.25">
      <c r="A29" s="17" t="s">
        <v>159</v>
      </c>
      <c r="B29" s="30">
        <v>0.1</v>
      </c>
      <c r="C29" s="30">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B2"/>
  <sheetViews>
    <sheetView topLeftCell="A22" workbookViewId="0">
      <selection activeCell="F24" sqref="F24"/>
    </sheetView>
  </sheetViews>
  <sheetFormatPr defaultRowHeight="15" x14ac:dyDescent="0.25"/>
  <cols>
    <col min="1" max="1" width="10.28515625" bestFit="1" customWidth="1"/>
  </cols>
  <sheetData>
    <row r="2" spans="1:2" x14ac:dyDescent="0.25">
      <c r="A2" s="43">
        <v>44187</v>
      </c>
      <c r="B2" t="s">
        <v>265</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36"/>
  <sheetViews>
    <sheetView topLeftCell="A22" workbookViewId="0">
      <selection activeCell="D35" sqref="D35"/>
    </sheetView>
  </sheetViews>
  <sheetFormatPr defaultRowHeight="15" x14ac:dyDescent="0.25"/>
  <cols>
    <col min="2" max="2" width="12.28515625" customWidth="1"/>
  </cols>
  <sheetData>
    <row r="2" spans="1:12" x14ac:dyDescent="0.25">
      <c r="B2" s="4" t="s">
        <v>123</v>
      </c>
      <c r="C2" s="318"/>
      <c r="D2" s="318"/>
    </row>
    <row r="3" spans="1:12" x14ac:dyDescent="0.25">
      <c r="D3" s="5"/>
      <c r="E3" s="5"/>
      <c r="F3" s="5"/>
      <c r="G3" s="5"/>
      <c r="H3" s="5"/>
      <c r="I3" s="5"/>
    </row>
    <row r="4" spans="1:12" x14ac:dyDescent="0.25">
      <c r="A4" s="4" t="s">
        <v>124</v>
      </c>
      <c r="B4" s="6" t="s">
        <v>125</v>
      </c>
      <c r="C4" s="319" t="s">
        <v>126</v>
      </c>
      <c r="D4" s="319"/>
      <c r="E4" s="319"/>
      <c r="F4" s="7"/>
      <c r="G4" s="319" t="s">
        <v>127</v>
      </c>
      <c r="H4" s="319"/>
      <c r="I4" s="319"/>
      <c r="J4" s="319" t="s">
        <v>128</v>
      </c>
      <c r="K4" s="319"/>
      <c r="L4" s="319"/>
    </row>
    <row r="5" spans="1:12" x14ac:dyDescent="0.25">
      <c r="A5" s="4">
        <v>1</v>
      </c>
      <c r="B5" s="6"/>
      <c r="C5" s="6" t="s">
        <v>129</v>
      </c>
      <c r="D5" s="6" t="s">
        <v>130</v>
      </c>
      <c r="E5" s="6" t="s">
        <v>91</v>
      </c>
      <c r="F5" s="6"/>
      <c r="G5" s="6" t="s">
        <v>129</v>
      </c>
      <c r="H5" s="6" t="s">
        <v>130</v>
      </c>
      <c r="I5" s="6" t="s">
        <v>91</v>
      </c>
      <c r="J5" s="6" t="s">
        <v>129</v>
      </c>
      <c r="K5" s="6" t="s">
        <v>130</v>
      </c>
      <c r="L5" s="6" t="s">
        <v>91</v>
      </c>
    </row>
    <row r="6" spans="1:12" x14ac:dyDescent="0.25">
      <c r="B6" s="8" t="s">
        <v>131</v>
      </c>
      <c r="C6" s="8">
        <v>2.65</v>
      </c>
      <c r="D6" s="8">
        <v>3.6</v>
      </c>
      <c r="E6" s="8">
        <f>C6*D6</f>
        <v>9.5399999999999991</v>
      </c>
      <c r="F6" s="8" t="s">
        <v>132</v>
      </c>
      <c r="G6" s="8">
        <v>2.65</v>
      </c>
      <c r="H6" s="8">
        <v>1</v>
      </c>
      <c r="I6" s="8">
        <f>G6*H6</f>
        <v>2.65</v>
      </c>
      <c r="J6" s="8"/>
      <c r="K6" s="8"/>
      <c r="L6" s="8">
        <f>J6*K6</f>
        <v>0</v>
      </c>
    </row>
    <row r="7" spans="1:12" x14ac:dyDescent="0.25">
      <c r="B7" s="8"/>
      <c r="C7" s="8"/>
      <c r="D7" s="8"/>
      <c r="E7" s="8">
        <f t="shared" ref="E7:E33" si="0">C7*D7</f>
        <v>0</v>
      </c>
      <c r="F7" s="8" t="s">
        <v>133</v>
      </c>
      <c r="G7" s="8"/>
      <c r="H7" s="8"/>
      <c r="I7" s="8">
        <f t="shared" ref="I7:I29" si="1">G7*H7</f>
        <v>0</v>
      </c>
      <c r="J7" s="8"/>
      <c r="K7" s="8"/>
      <c r="L7" s="8">
        <f t="shared" ref="L7:L29" si="2">J7*K7</f>
        <v>0</v>
      </c>
    </row>
    <row r="8" spans="1:12" x14ac:dyDescent="0.25">
      <c r="B8" s="8"/>
      <c r="C8" s="8"/>
      <c r="D8" s="8"/>
      <c r="E8" s="8">
        <f t="shared" si="0"/>
        <v>0</v>
      </c>
      <c r="F8" s="8"/>
      <c r="G8" s="8"/>
      <c r="H8" s="8"/>
      <c r="I8" s="8">
        <f t="shared" si="1"/>
        <v>0</v>
      </c>
      <c r="J8" s="8"/>
      <c r="K8" s="8"/>
      <c r="L8" s="8">
        <f t="shared" si="2"/>
        <v>0</v>
      </c>
    </row>
    <row r="9" spans="1:12" x14ac:dyDescent="0.25">
      <c r="B9" s="8" t="s">
        <v>134</v>
      </c>
      <c r="C9" s="8">
        <v>2.25</v>
      </c>
      <c r="D9" s="8">
        <v>2.25</v>
      </c>
      <c r="E9" s="8">
        <f t="shared" si="0"/>
        <v>5.0625</v>
      </c>
      <c r="F9" s="8" t="s">
        <v>132</v>
      </c>
      <c r="G9" s="8"/>
      <c r="H9" s="8"/>
      <c r="I9" s="8">
        <f t="shared" si="1"/>
        <v>0</v>
      </c>
      <c r="J9" s="8"/>
      <c r="K9" s="8"/>
      <c r="L9" s="8">
        <f t="shared" si="2"/>
        <v>0</v>
      </c>
    </row>
    <row r="10" spans="1:12" x14ac:dyDescent="0.25">
      <c r="B10" s="8"/>
      <c r="C10" s="8"/>
      <c r="D10" s="8"/>
      <c r="E10" s="8">
        <f t="shared" si="0"/>
        <v>0</v>
      </c>
      <c r="F10" s="8" t="s">
        <v>133</v>
      </c>
      <c r="G10" s="8"/>
      <c r="H10" s="8"/>
      <c r="I10" s="8">
        <f t="shared" si="1"/>
        <v>0</v>
      </c>
      <c r="J10" s="8"/>
      <c r="K10" s="8"/>
      <c r="L10" s="8">
        <f t="shared" si="2"/>
        <v>0</v>
      </c>
    </row>
    <row r="11" spans="1:12" x14ac:dyDescent="0.25">
      <c r="B11" s="8"/>
      <c r="C11" s="8"/>
      <c r="D11" s="8"/>
      <c r="E11" s="8">
        <f t="shared" si="0"/>
        <v>0</v>
      </c>
      <c r="F11" s="8"/>
      <c r="G11" s="8"/>
      <c r="H11" s="8"/>
      <c r="I11" s="8">
        <f t="shared" si="1"/>
        <v>0</v>
      </c>
      <c r="J11" s="8"/>
      <c r="K11" s="8"/>
      <c r="L11" s="8">
        <f t="shared" si="2"/>
        <v>0</v>
      </c>
    </row>
    <row r="12" spans="1:12" x14ac:dyDescent="0.25">
      <c r="B12" s="8"/>
      <c r="C12" s="8"/>
      <c r="D12" s="8"/>
      <c r="E12" s="8">
        <f t="shared" si="0"/>
        <v>0</v>
      </c>
      <c r="F12" s="8"/>
      <c r="G12" s="8"/>
      <c r="H12" s="8"/>
      <c r="I12" s="8">
        <f t="shared" si="1"/>
        <v>0</v>
      </c>
      <c r="J12" s="8"/>
      <c r="K12" s="8"/>
      <c r="L12" s="8">
        <f t="shared" si="2"/>
        <v>0</v>
      </c>
    </row>
    <row r="13" spans="1:12" x14ac:dyDescent="0.25">
      <c r="B13" s="8" t="s">
        <v>135</v>
      </c>
      <c r="C13" s="8">
        <v>2.7</v>
      </c>
      <c r="D13" s="8">
        <v>2.4500000000000002</v>
      </c>
      <c r="E13" s="8">
        <f t="shared" si="0"/>
        <v>6.6150000000000011</v>
      </c>
      <c r="F13" s="8" t="s">
        <v>132</v>
      </c>
      <c r="G13" s="8">
        <v>2.5</v>
      </c>
      <c r="H13" s="8">
        <v>0.45</v>
      </c>
      <c r="I13" s="8">
        <f t="shared" si="1"/>
        <v>1.125</v>
      </c>
      <c r="J13" s="8"/>
      <c r="K13" s="8"/>
      <c r="L13" s="8">
        <f t="shared" si="2"/>
        <v>0</v>
      </c>
    </row>
    <row r="14" spans="1:12" x14ac:dyDescent="0.25">
      <c r="B14" s="8"/>
      <c r="C14" s="8"/>
      <c r="D14" s="8"/>
      <c r="E14" s="8">
        <f t="shared" si="0"/>
        <v>0</v>
      </c>
      <c r="F14" s="8" t="s">
        <v>133</v>
      </c>
      <c r="G14" s="8">
        <v>2.7</v>
      </c>
      <c r="H14" s="8">
        <v>1</v>
      </c>
      <c r="I14" s="8">
        <f t="shared" si="1"/>
        <v>2.7</v>
      </c>
      <c r="J14" s="8"/>
      <c r="K14" s="8"/>
      <c r="L14" s="8">
        <f t="shared" si="2"/>
        <v>0</v>
      </c>
    </row>
    <row r="15" spans="1:12" x14ac:dyDescent="0.25">
      <c r="B15" s="8"/>
      <c r="C15" s="8"/>
      <c r="D15" s="8"/>
      <c r="E15" s="8">
        <f t="shared" si="0"/>
        <v>0</v>
      </c>
      <c r="F15" s="8"/>
      <c r="G15" s="8"/>
      <c r="H15" s="8"/>
      <c r="I15" s="8">
        <f t="shared" si="1"/>
        <v>0</v>
      </c>
      <c r="J15" s="8"/>
      <c r="K15" s="8"/>
      <c r="L15" s="8">
        <f t="shared" si="2"/>
        <v>0</v>
      </c>
    </row>
    <row r="16" spans="1:12" x14ac:dyDescent="0.25">
      <c r="B16" s="8"/>
      <c r="C16" s="8"/>
      <c r="D16" s="8"/>
      <c r="E16" s="8">
        <f t="shared" si="0"/>
        <v>0</v>
      </c>
      <c r="F16" s="8"/>
      <c r="G16" s="8"/>
      <c r="H16" s="8"/>
      <c r="I16" s="8">
        <f t="shared" si="1"/>
        <v>0</v>
      </c>
      <c r="J16" s="8"/>
      <c r="K16" s="8"/>
      <c r="L16" s="8">
        <f t="shared" si="2"/>
        <v>0</v>
      </c>
    </row>
    <row r="17" spans="2:14" x14ac:dyDescent="0.25">
      <c r="B17" s="8" t="s">
        <v>136</v>
      </c>
      <c r="C17" s="8"/>
      <c r="D17" s="8"/>
      <c r="E17" s="8">
        <f t="shared" si="0"/>
        <v>0</v>
      </c>
      <c r="F17" s="8" t="s">
        <v>132</v>
      </c>
      <c r="G17" s="8"/>
      <c r="H17" s="8"/>
      <c r="I17" s="8">
        <f t="shared" si="1"/>
        <v>0</v>
      </c>
      <c r="J17" s="8"/>
      <c r="K17" s="8"/>
      <c r="L17" s="8">
        <f t="shared" si="2"/>
        <v>0</v>
      </c>
    </row>
    <row r="18" spans="2:14" x14ac:dyDescent="0.25">
      <c r="B18" s="8"/>
      <c r="C18" s="8"/>
      <c r="D18" s="8"/>
      <c r="E18" s="8">
        <f t="shared" si="0"/>
        <v>0</v>
      </c>
      <c r="F18" s="8" t="s">
        <v>133</v>
      </c>
      <c r="G18" s="8"/>
      <c r="H18" s="8"/>
      <c r="I18" s="8">
        <f t="shared" si="1"/>
        <v>0</v>
      </c>
      <c r="J18" s="8"/>
      <c r="K18" s="8"/>
      <c r="L18" s="8">
        <f t="shared" si="2"/>
        <v>0</v>
      </c>
    </row>
    <row r="19" spans="2:14" x14ac:dyDescent="0.25">
      <c r="B19" s="8"/>
      <c r="C19" s="8"/>
      <c r="D19" s="8"/>
      <c r="E19" s="8">
        <f t="shared" si="0"/>
        <v>0</v>
      </c>
      <c r="F19" s="8"/>
      <c r="G19" s="8"/>
      <c r="H19" s="8"/>
      <c r="I19" s="8">
        <f t="shared" si="1"/>
        <v>0</v>
      </c>
      <c r="J19" s="8"/>
      <c r="K19" s="8"/>
      <c r="L19" s="8">
        <f t="shared" si="2"/>
        <v>0</v>
      </c>
    </row>
    <row r="20" spans="2:14" x14ac:dyDescent="0.25">
      <c r="B20" s="8" t="s">
        <v>136</v>
      </c>
      <c r="C20" s="8"/>
      <c r="D20" s="8"/>
      <c r="E20" s="8">
        <f t="shared" si="0"/>
        <v>0</v>
      </c>
      <c r="F20" s="8" t="s">
        <v>132</v>
      </c>
      <c r="G20" s="8"/>
      <c r="H20" s="8"/>
      <c r="I20" s="8">
        <f t="shared" si="1"/>
        <v>0</v>
      </c>
      <c r="J20" s="8"/>
      <c r="K20" s="8"/>
      <c r="L20" s="8">
        <f t="shared" si="2"/>
        <v>0</v>
      </c>
    </row>
    <row r="21" spans="2:14" x14ac:dyDescent="0.25">
      <c r="B21" s="8"/>
      <c r="C21" s="8"/>
      <c r="D21" s="8"/>
      <c r="E21" s="8">
        <f t="shared" si="0"/>
        <v>0</v>
      </c>
      <c r="F21" s="8" t="s">
        <v>133</v>
      </c>
      <c r="G21" s="8"/>
      <c r="H21" s="8"/>
      <c r="I21" s="8">
        <f t="shared" si="1"/>
        <v>0</v>
      </c>
      <c r="J21" s="8"/>
      <c r="K21" s="8"/>
      <c r="L21" s="8">
        <f t="shared" si="2"/>
        <v>0</v>
      </c>
    </row>
    <row r="22" spans="2:14" x14ac:dyDescent="0.25">
      <c r="B22" s="8"/>
      <c r="C22" s="8"/>
      <c r="D22" s="8"/>
      <c r="E22" s="8">
        <f t="shared" si="0"/>
        <v>0</v>
      </c>
      <c r="F22" s="8"/>
      <c r="G22" s="8"/>
      <c r="H22" s="8"/>
      <c r="I22" s="8">
        <f t="shared" si="1"/>
        <v>0</v>
      </c>
      <c r="J22" s="8"/>
      <c r="K22" s="8"/>
      <c r="L22" s="8">
        <f t="shared" si="2"/>
        <v>0</v>
      </c>
      <c r="N22">
        <f>2.75*3.6+2.25*2.25+2.7*2.45+1.2*0.9+1.2*1.6+1*2.25+0.5*1.2</f>
        <v>27.427500000000002</v>
      </c>
    </row>
    <row r="23" spans="2:14" x14ac:dyDescent="0.25">
      <c r="B23" s="8" t="s">
        <v>137</v>
      </c>
      <c r="C23" s="8">
        <v>1.2</v>
      </c>
      <c r="D23" s="8">
        <v>0.9</v>
      </c>
      <c r="E23" s="8">
        <f t="shared" si="0"/>
        <v>1.08</v>
      </c>
      <c r="F23" s="8" t="s">
        <v>138</v>
      </c>
      <c r="G23" s="8"/>
      <c r="H23" s="8"/>
      <c r="I23" s="8">
        <f t="shared" si="1"/>
        <v>0</v>
      </c>
      <c r="J23" s="8"/>
      <c r="K23" s="8"/>
      <c r="L23" s="8">
        <f t="shared" si="2"/>
        <v>0</v>
      </c>
    </row>
    <row r="24" spans="2:14" x14ac:dyDescent="0.25">
      <c r="B24" s="8" t="s">
        <v>139</v>
      </c>
      <c r="C24" s="8">
        <v>1.2</v>
      </c>
      <c r="D24" s="8">
        <v>1.6</v>
      </c>
      <c r="E24" s="8">
        <f t="shared" si="0"/>
        <v>1.92</v>
      </c>
      <c r="F24" s="8" t="s">
        <v>138</v>
      </c>
      <c r="G24" s="8"/>
      <c r="H24" s="8"/>
      <c r="I24" s="8">
        <f t="shared" si="1"/>
        <v>0</v>
      </c>
      <c r="J24" s="8"/>
      <c r="K24" s="8"/>
      <c r="L24" s="8">
        <f t="shared" si="2"/>
        <v>0</v>
      </c>
    </row>
    <row r="25" spans="2:14" x14ac:dyDescent="0.25">
      <c r="B25" s="8" t="s">
        <v>140</v>
      </c>
      <c r="C25" s="8"/>
      <c r="D25" s="8"/>
      <c r="E25" s="8">
        <f t="shared" si="0"/>
        <v>0</v>
      </c>
      <c r="F25" s="8" t="s">
        <v>138</v>
      </c>
      <c r="G25" s="8"/>
      <c r="H25" s="8"/>
      <c r="I25" s="8">
        <f t="shared" si="1"/>
        <v>0</v>
      </c>
      <c r="J25" s="8"/>
      <c r="K25" s="8"/>
      <c r="L25" s="8">
        <f t="shared" si="2"/>
        <v>0</v>
      </c>
    </row>
    <row r="26" spans="2:14" x14ac:dyDescent="0.25">
      <c r="B26" s="8"/>
      <c r="C26" s="8"/>
      <c r="D26" s="8"/>
      <c r="E26" s="8">
        <f t="shared" si="0"/>
        <v>0</v>
      </c>
      <c r="F26" s="8"/>
      <c r="G26" s="8"/>
      <c r="H26" s="8"/>
      <c r="I26" s="8">
        <f t="shared" si="1"/>
        <v>0</v>
      </c>
      <c r="J26" s="8"/>
      <c r="K26" s="8"/>
      <c r="L26" s="8">
        <f t="shared" si="2"/>
        <v>0</v>
      </c>
    </row>
    <row r="27" spans="2:14" x14ac:dyDescent="0.25">
      <c r="B27" s="8" t="s">
        <v>141</v>
      </c>
      <c r="C27" s="8">
        <v>1</v>
      </c>
      <c r="D27" s="8">
        <v>2.25</v>
      </c>
      <c r="E27" s="8">
        <f t="shared" si="0"/>
        <v>2.25</v>
      </c>
      <c r="F27" s="8"/>
      <c r="G27" s="8"/>
      <c r="H27" s="8"/>
      <c r="I27" s="8">
        <f t="shared" si="1"/>
        <v>0</v>
      </c>
      <c r="J27" s="8"/>
      <c r="K27" s="8"/>
      <c r="L27" s="8">
        <f t="shared" si="2"/>
        <v>0</v>
      </c>
    </row>
    <row r="28" spans="2:14" x14ac:dyDescent="0.25">
      <c r="B28" s="8" t="s">
        <v>142</v>
      </c>
      <c r="C28" s="8">
        <v>0.5</v>
      </c>
      <c r="D28" s="8">
        <v>1.2</v>
      </c>
      <c r="E28" s="8">
        <f t="shared" si="0"/>
        <v>0.6</v>
      </c>
      <c r="F28" s="8"/>
      <c r="G28" s="8"/>
      <c r="H28" s="8"/>
      <c r="I28" s="8">
        <f t="shared" si="1"/>
        <v>0</v>
      </c>
      <c r="J28" s="8"/>
      <c r="K28" s="8"/>
      <c r="L28" s="8">
        <f t="shared" si="2"/>
        <v>0</v>
      </c>
    </row>
    <row r="29" spans="2:14" x14ac:dyDescent="0.25">
      <c r="B29" s="8" t="s">
        <v>143</v>
      </c>
      <c r="C29" s="8"/>
      <c r="D29" s="8"/>
      <c r="E29" s="8">
        <f t="shared" si="0"/>
        <v>0</v>
      </c>
      <c r="F29" s="8"/>
      <c r="G29" s="8"/>
      <c r="H29" s="8"/>
      <c r="I29" s="8">
        <f t="shared" si="1"/>
        <v>0</v>
      </c>
      <c r="J29" s="8"/>
      <c r="K29" s="8"/>
      <c r="L29" s="8">
        <f t="shared" si="2"/>
        <v>0</v>
      </c>
    </row>
    <row r="30" spans="2:14" x14ac:dyDescent="0.25">
      <c r="B30" s="8" t="s">
        <v>144</v>
      </c>
      <c r="C30" s="8"/>
      <c r="D30" s="8"/>
      <c r="E30" s="8">
        <f t="shared" si="0"/>
        <v>0</v>
      </c>
      <c r="F30" s="8"/>
      <c r="G30" s="8"/>
      <c r="H30" s="8"/>
      <c r="I30" s="8">
        <f>G30*H30</f>
        <v>0</v>
      </c>
      <c r="J30" s="8"/>
      <c r="K30" s="8"/>
      <c r="L30" s="8">
        <f>J30*K30</f>
        <v>0</v>
      </c>
    </row>
    <row r="31" spans="2:14" x14ac:dyDescent="0.25">
      <c r="B31" s="8"/>
      <c r="C31" s="8"/>
      <c r="D31" s="8"/>
      <c r="E31" s="8">
        <f t="shared" si="0"/>
        <v>0</v>
      </c>
      <c r="F31" s="8"/>
      <c r="G31" s="8"/>
      <c r="H31" s="8"/>
      <c r="I31" s="8">
        <f>G31*H31</f>
        <v>0</v>
      </c>
      <c r="J31" s="8"/>
      <c r="K31" s="8"/>
      <c r="L31" s="8">
        <f>J31*K31</f>
        <v>0</v>
      </c>
    </row>
    <row r="32" spans="2:14" x14ac:dyDescent="0.25">
      <c r="B32" s="8"/>
      <c r="C32" s="8"/>
      <c r="D32" s="8"/>
      <c r="E32" s="8">
        <f t="shared" si="0"/>
        <v>0</v>
      </c>
      <c r="F32" s="8"/>
      <c r="G32" s="8"/>
      <c r="H32" s="8"/>
      <c r="I32" s="8">
        <f>G32*H32</f>
        <v>0</v>
      </c>
      <c r="J32" s="8"/>
      <c r="K32" s="8"/>
      <c r="L32" s="8">
        <f>J32*K32</f>
        <v>0</v>
      </c>
    </row>
    <row r="33" spans="2:12" x14ac:dyDescent="0.25">
      <c r="B33" s="8"/>
      <c r="C33" s="8"/>
      <c r="D33" s="8"/>
      <c r="E33" s="8">
        <f t="shared" si="0"/>
        <v>0</v>
      </c>
      <c r="F33" s="8"/>
      <c r="G33" s="8"/>
      <c r="H33" s="8"/>
      <c r="I33" s="8">
        <f>G33*H33</f>
        <v>0</v>
      </c>
      <c r="J33" s="8"/>
      <c r="K33" s="8"/>
      <c r="L33" s="8">
        <f>J33*K33</f>
        <v>0</v>
      </c>
    </row>
    <row r="34" spans="2:12" x14ac:dyDescent="0.25">
      <c r="B34" s="8" t="s">
        <v>92</v>
      </c>
      <c r="C34" s="8"/>
      <c r="D34" s="8">
        <f>E34*10.764</f>
        <v>291.35457000000002</v>
      </c>
      <c r="E34" s="8">
        <f>SUM(E6:E33)</f>
        <v>27.067500000000003</v>
      </c>
      <c r="F34" s="8"/>
      <c r="G34" s="8"/>
      <c r="H34" s="8">
        <f>I34*10.764</f>
        <v>69.696899999999985</v>
      </c>
      <c r="I34" s="8">
        <f>SUM(I6:I33)</f>
        <v>6.4749999999999996</v>
      </c>
      <c r="J34" s="8"/>
      <c r="K34" s="8">
        <f>L34*10.764</f>
        <v>0</v>
      </c>
      <c r="L34" s="8">
        <f>SUM(L6:L33)</f>
        <v>0</v>
      </c>
    </row>
    <row r="36" spans="2:12" x14ac:dyDescent="0.25">
      <c r="D36">
        <f>D34+H34</f>
        <v>361.05146999999999</v>
      </c>
      <c r="E36">
        <f>E34+I34</f>
        <v>33.542500000000004</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Report (2)</vt:lpstr>
      <vt:lpstr>VALUATION</vt:lpstr>
      <vt:lpstr>A1 </vt:lpstr>
      <vt:lpstr> A2</vt:lpstr>
      <vt:lpstr>C1</vt:lpstr>
      <vt:lpstr>C2</vt:lpstr>
      <vt:lpstr>C3</vt:lpstr>
      <vt:lpstr>Note</vt:lpstr>
      <vt:lpstr>Flat detail</vt:lpstr>
      <vt:lpstr>Report (1)</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madhurapanchal77@gmail.com</cp:lastModifiedBy>
  <cp:lastPrinted>2025-07-15T08:40:43Z</cp:lastPrinted>
  <dcterms:created xsi:type="dcterms:W3CDTF">2019-07-16T09:29:46Z</dcterms:created>
  <dcterms:modified xsi:type="dcterms:W3CDTF">2025-07-15T08:43:52Z</dcterms:modified>
</cp:coreProperties>
</file>