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D:\Gaurav\July 25\Dump\"/>
    </mc:Choice>
  </mc:AlternateContent>
  <xr:revisionPtr revIDLastSave="0" documentId="13_ncr:1_{C538B2D0-6AA0-4129-8D08-530FC7A46C06}" xr6:coauthVersionLast="36" xr6:coauthVersionMax="47" xr10:uidLastSave="{00000000-0000-0000-0000-000000000000}"/>
  <bookViews>
    <workbookView xWindow="0" yWindow="0" windowWidth="20490" windowHeight="7125"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Report!$A$1:$H$330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4" i="1" l="1"/>
  <c r="K151" i="1"/>
  <c r="D176" i="1"/>
  <c r="F176" i="1" s="1"/>
  <c r="H176" i="1" s="1"/>
  <c r="A175" i="1"/>
  <c r="A176" i="1" s="1"/>
  <c r="D174" i="1"/>
  <c r="F174" i="1" s="1"/>
  <c r="H174" i="1" s="1"/>
  <c r="D172" i="1"/>
  <c r="F172" i="1" s="1"/>
  <c r="A171" i="1"/>
  <c r="A172" i="1" s="1"/>
  <c r="D170" i="1"/>
  <c r="F170" i="1" s="1"/>
  <c r="H170" i="1" s="1"/>
  <c r="D168" i="1"/>
  <c r="D167" i="1"/>
  <c r="D166" i="1"/>
  <c r="D163" i="1"/>
  <c r="D162" i="1"/>
  <c r="D161" i="1"/>
  <c r="D158" i="1"/>
  <c r="D157" i="1"/>
  <c r="D156" i="1"/>
  <c r="D153" i="1"/>
  <c r="D152" i="1"/>
  <c r="D151" i="1"/>
  <c r="D150" i="1"/>
  <c r="H172" i="1" l="1"/>
  <c r="C125" i="1"/>
  <c r="D142" i="1"/>
  <c r="F142" i="1" s="1"/>
  <c r="H142" i="1" s="1"/>
  <c r="D141" i="1"/>
  <c r="F141" i="1" s="1"/>
  <c r="H141" i="1" s="1"/>
  <c r="F168" i="1"/>
  <c r="H168" i="1" s="1"/>
  <c r="F167" i="1"/>
  <c r="H167" i="1" s="1"/>
  <c r="A167" i="1"/>
  <c r="A168" i="1" s="1"/>
  <c r="F163" i="1"/>
  <c r="H163" i="1" s="1"/>
  <c r="F162" i="1"/>
  <c r="H162" i="1" s="1"/>
  <c r="F161" i="1"/>
  <c r="H161" i="1" s="1"/>
  <c r="F158" i="1"/>
  <c r="H158" i="1" s="1"/>
  <c r="F157" i="1"/>
  <c r="H157" i="1" s="1"/>
  <c r="K156" i="1" s="1"/>
  <c r="F156" i="1"/>
  <c r="H156" i="1" s="1"/>
  <c r="A161" i="1"/>
  <c r="A162" i="1" s="1"/>
  <c r="A163" i="1" s="1"/>
  <c r="A156" i="1"/>
  <c r="A157" i="1" s="1"/>
  <c r="A158" i="1" s="1"/>
  <c r="D144" i="1"/>
  <c r="F144" i="1" s="1"/>
  <c r="H144" i="1" s="1"/>
  <c r="D143" i="1"/>
  <c r="F143" i="1" s="1"/>
  <c r="H143" i="1" s="1"/>
  <c r="D140" i="1"/>
  <c r="F140" i="1" s="1"/>
  <c r="H140" i="1" s="1"/>
  <c r="D139" i="1"/>
  <c r="F139" i="1" s="1"/>
  <c r="H139" i="1" s="1"/>
  <c r="D138" i="1"/>
  <c r="F138" i="1" s="1"/>
  <c r="H138" i="1" s="1"/>
  <c r="D137" i="1"/>
  <c r="D136" i="1"/>
  <c r="D135" i="1"/>
  <c r="D134" i="1"/>
  <c r="I46" i="1"/>
  <c r="C119" i="1" l="1"/>
  <c r="C124" i="1"/>
  <c r="C126" i="1" s="1"/>
  <c r="C127" i="1" s="1"/>
  <c r="F166" i="1"/>
  <c r="E125" i="1" s="1"/>
  <c r="B179" i="1"/>
  <c r="H166" i="1" l="1"/>
  <c r="G125" i="1" s="1"/>
  <c r="F135" i="1"/>
  <c r="H135" i="1" s="1"/>
  <c r="F136" i="1"/>
  <c r="H136" i="1" s="1"/>
  <c r="F137" i="1"/>
  <c r="H137" i="1" s="1"/>
  <c r="F134" i="1"/>
  <c r="H134" i="1" l="1"/>
  <c r="G119" i="1" s="1"/>
  <c r="E119" i="1"/>
  <c r="G59" i="1"/>
  <c r="C59" i="1"/>
  <c r="G57" i="1"/>
  <c r="C57" i="1"/>
  <c r="C55" i="1"/>
  <c r="S34" i="1" l="1"/>
  <c r="F11" i="5" l="1"/>
  <c r="G11" i="5" s="1"/>
  <c r="F10" i="5"/>
  <c r="G10" i="5" s="1"/>
  <c r="F9" i="5"/>
  <c r="G9" i="5" s="1"/>
  <c r="F8" i="5"/>
  <c r="G8" i="5" s="1"/>
  <c r="F7" i="5"/>
  <c r="G7" i="5" s="1"/>
  <c r="F6" i="5"/>
  <c r="G6" i="5" s="1"/>
  <c r="F5" i="5"/>
  <c r="G5" i="5" s="1"/>
  <c r="G12" i="5" s="1"/>
  <c r="D205" i="1"/>
  <c r="B180" i="1"/>
  <c r="F153" i="1"/>
  <c r="H153" i="1" s="1"/>
  <c r="F152" i="1"/>
  <c r="H152" i="1" s="1"/>
  <c r="F151" i="1"/>
  <c r="H151" i="1" s="1"/>
  <c r="A151" i="1"/>
  <c r="A152" i="1" s="1"/>
  <c r="A153" i="1" s="1"/>
  <c r="F150" i="1"/>
  <c r="A135" i="1"/>
  <c r="A136" i="1" s="1"/>
  <c r="A137" i="1" s="1"/>
  <c r="A138" i="1" s="1"/>
  <c r="A139" i="1" s="1"/>
  <c r="A140" i="1" s="1"/>
  <c r="A141" i="1" s="1"/>
  <c r="A142" i="1" s="1"/>
  <c r="A143" i="1" s="1"/>
  <c r="A144" i="1" s="1"/>
  <c r="F116" i="1"/>
  <c r="C90" i="1"/>
  <c r="C76" i="1"/>
  <c r="D70" i="1"/>
  <c r="D63" i="1"/>
  <c r="G52" i="1"/>
  <c r="C52" i="1"/>
  <c r="E45" i="1"/>
  <c r="E46" i="1" s="1"/>
  <c r="E32" i="1"/>
  <c r="E29" i="1"/>
  <c r="E27" i="1"/>
  <c r="C17" i="1"/>
  <c r="I16" i="1"/>
  <c r="Z14" i="1"/>
  <c r="E8" i="1"/>
  <c r="E3" i="1"/>
  <c r="H77" i="1"/>
  <c r="H91" i="1"/>
  <c r="H150" i="1" l="1"/>
  <c r="G124" i="1" s="1"/>
  <c r="G126" i="1" s="1"/>
  <c r="G127" i="1" s="1"/>
  <c r="E124" i="1"/>
  <c r="E126" i="1" s="1"/>
  <c r="E127" i="1" s="1"/>
  <c r="J76" i="1"/>
  <c r="J78" i="1" s="1"/>
  <c r="J79" i="1"/>
  <c r="J80" i="1"/>
  <c r="J81" i="1"/>
  <c r="C80" i="1" s="1"/>
  <c r="J95" i="1"/>
  <c r="E94" i="1"/>
  <c r="D99" i="1"/>
  <c r="D101" i="1"/>
  <c r="D95" i="1"/>
  <c r="J94" i="1"/>
  <c r="D100" i="1"/>
  <c r="J90" i="1"/>
  <c r="J92" i="1" s="1"/>
  <c r="D98" i="1"/>
  <c r="J93" i="1"/>
  <c r="D97" i="1"/>
  <c r="D103" i="1"/>
  <c r="D102" i="1"/>
  <c r="D96" i="1"/>
  <c r="D84" i="1"/>
  <c r="D86" i="1"/>
  <c r="D85" i="1"/>
  <c r="D89" i="1"/>
  <c r="D83" i="1"/>
  <c r="D88" i="1"/>
  <c r="D82" i="1"/>
  <c r="D87" i="1"/>
  <c r="B91" i="1"/>
  <c r="B77" i="1"/>
  <c r="J82" i="1" s="1"/>
  <c r="C94" i="1" l="1"/>
  <c r="D94" i="1" s="1"/>
  <c r="I91" i="1" s="1"/>
  <c r="I92" i="1" s="1"/>
  <c r="D80" i="1"/>
  <c r="J101" i="1"/>
  <c r="J98" i="1"/>
  <c r="J100" i="1"/>
  <c r="J99" i="1"/>
  <c r="J96" i="1"/>
  <c r="J97" i="1" s="1"/>
  <c r="J86" i="1"/>
  <c r="J85" i="1"/>
  <c r="J83" i="1"/>
  <c r="J88" i="1" s="1"/>
  <c r="J87" i="1"/>
  <c r="J84" i="1" l="1"/>
  <c r="J89" i="1"/>
  <c r="C81" i="1" s="1"/>
  <c r="E80" i="1" s="1"/>
  <c r="G94" i="1"/>
  <c r="J102" i="1"/>
  <c r="J103" i="1" s="1"/>
  <c r="J91" i="1" s="1"/>
  <c r="I90" i="1" s="1"/>
  <c r="C92" i="1" s="1"/>
  <c r="G80" i="1" l="1"/>
  <c r="D74" i="1" s="1"/>
  <c r="F75" i="1" s="1"/>
  <c r="J77" i="1"/>
  <c r="D81" i="1"/>
  <c r="I77" i="1" s="1"/>
  <c r="I78" i="1" s="1"/>
  <c r="I76" i="1" l="1"/>
  <c r="C78" i="1" s="1"/>
  <c r="D7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Building No. 
Tower No.
Wing 
Bunglow No., etc</t>
        </r>
      </text>
    </comment>
    <comment ref="E14" authorId="0" shapeId="0" xr:uid="{00000000-0006-0000-0000-000003000000}">
      <text>
        <r>
          <rPr>
            <b/>
            <sz val="9"/>
            <color indexed="81"/>
            <rFont val="Tahoma"/>
            <family val="2"/>
          </rPr>
          <t>Sachin:</t>
        </r>
        <r>
          <rPr>
            <sz val="9"/>
            <color indexed="81"/>
            <rFont val="Tahoma"/>
            <family val="2"/>
          </rPr>
          <t xml:space="preserve">
If exisiting Building is provided write it or else
NA</t>
        </r>
      </text>
    </comment>
    <comment ref="C56" authorId="1" shapeId="0" xr:uid="{00000000-0006-0000-0000-000004000000}">
      <text>
        <r>
          <rPr>
            <b/>
            <sz val="9"/>
            <color indexed="81"/>
            <rFont val="Tahoma"/>
            <family val="2"/>
          </rPr>
          <t>SACHIN:</t>
        </r>
        <r>
          <rPr>
            <sz val="9"/>
            <color indexed="81"/>
            <rFont val="Tahoma"/>
            <family val="2"/>
          </rPr>
          <t xml:space="preserve">
Floor with height</t>
        </r>
      </text>
    </comment>
    <comment ref="C58" authorId="1" shapeId="0" xr:uid="{00000000-0006-0000-0000-000005000000}">
      <text>
        <r>
          <rPr>
            <b/>
            <sz val="9"/>
            <color indexed="81"/>
            <rFont val="Tahoma"/>
            <family val="2"/>
          </rPr>
          <t>SACHIN:</t>
        </r>
        <r>
          <rPr>
            <sz val="9"/>
            <color indexed="81"/>
            <rFont val="Tahoma"/>
            <family val="2"/>
          </rPr>
          <t xml:space="preserve">
Survey Nos.</t>
        </r>
      </text>
    </comment>
    <comment ref="C60" authorId="1" shapeId="0" xr:uid="{00000000-0006-0000-0000-000006000000}">
      <text>
        <r>
          <rPr>
            <b/>
            <sz val="9"/>
            <color indexed="81"/>
            <rFont val="Tahoma"/>
            <family val="2"/>
          </rPr>
          <t>SACHIN:</t>
        </r>
        <r>
          <rPr>
            <sz val="9"/>
            <color indexed="81"/>
            <rFont val="Tahoma"/>
            <family val="2"/>
          </rPr>
          <t xml:space="preserve">
Height from AMSL</t>
        </r>
      </text>
    </comment>
    <comment ref="D63" authorId="0" shapeId="0" xr:uid="{00000000-0006-0000-0000-000007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09" authorId="1" shapeId="0" xr:uid="{00000000-0006-0000-0000-000008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47" authorId="1" shapeId="0" xr:uid="{00000000-0006-0000-0000-000009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<sst xmlns="http://schemas.openxmlformats.org/spreadsheetml/2006/main" count="611" uniqueCount="363">
  <si>
    <t xml:space="preserve">Valuation Report </t>
  </si>
  <si>
    <t>Date:</t>
  </si>
  <si>
    <t>CPC Name:</t>
  </si>
  <si>
    <t>Date Of Property Visit</t>
  </si>
  <si>
    <t>Name of the builder group</t>
  </si>
  <si>
    <t>Name of the builder company</t>
  </si>
  <si>
    <t>Name of the Project</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</si>
  <si>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</si>
  <si>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</si>
  <si>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</si>
  <si>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</si>
  <si>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</si>
  <si>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</si>
  <si>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</si>
  <si>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</si>
  <si>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</si>
  <si>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</si>
  <si>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</si>
  <si>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</si>
  <si>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</si>
  <si>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</si>
  <si>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</si>
  <si>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</si>
  <si>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</si>
  <si>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</si>
  <si>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</si>
  <si>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</si>
  <si>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</si>
  <si>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</si>
  <si>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</si>
  <si>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</si>
  <si>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</si>
  <si>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</si>
  <si>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</si>
  <si>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</si>
  <si>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</si>
  <si>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</si>
  <si>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</si>
  <si>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</si>
  <si>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</si>
  <si>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</si>
  <si>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</si>
  <si>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</si>
  <si>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</si>
  <si>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</si>
  <si>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</si>
  <si>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</si>
  <si>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</si>
  <si>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</si>
  <si>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</si>
  <si>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</si>
  <si>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</si>
  <si>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</si>
  <si>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</si>
  <si>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</si>
  <si>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</si>
  <si>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</si>
  <si>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</si>
  <si>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</si>
  <si>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</si>
  <si>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</si>
  <si>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</si>
  <si>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</si>
  <si>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</si>
  <si>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</si>
  <si>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</si>
  <si>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</si>
  <si>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</si>
  <si>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</si>
  <si>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</si>
  <si>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</si>
  <si>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</si>
  <si>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</si>
  <si>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</si>
  <si>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</si>
  <si>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</si>
  <si>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</si>
  <si>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</si>
  <si>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</si>
  <si>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</si>
  <si>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</si>
  <si>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</si>
  <si>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</si>
  <si>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</si>
  <si>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</si>
  <si>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</si>
  <si>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</si>
  <si>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</si>
  <si>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</si>
  <si>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</si>
  <si>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</si>
  <si>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</si>
  <si>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</si>
  <si>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</si>
  <si>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</si>
  <si>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</si>
  <si>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</si>
  <si>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</si>
  <si>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</si>
  <si>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</si>
  <si>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</si>
  <si>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</si>
  <si>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</si>
  <si>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</si>
  <si>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</si>
  <si>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</si>
  <si>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</si>
  <si>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</si>
  <si>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</si>
  <si>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</si>
  <si>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</si>
  <si>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</si>
  <si>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</si>
  <si>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</si>
  <si>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</si>
  <si>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</si>
  <si>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</si>
  <si>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</si>
  <si>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</si>
  <si>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</si>
  <si>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</si>
  <si>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</si>
  <si>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</si>
  <si>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</si>
  <si>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</si>
  <si>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</si>
  <si>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</si>
  <si>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</si>
  <si>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</si>
  <si>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</si>
  <si>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</si>
  <si>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</si>
  <si>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</si>
  <si>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</si>
  <si>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</si>
  <si>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</si>
  <si>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</si>
  <si>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</si>
  <si>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</si>
  <si>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</si>
  <si>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</si>
  <si>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</si>
  <si>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</si>
  <si>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</si>
  <si>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</si>
  <si>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</si>
  <si>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</si>
  <si>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</si>
  <si>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</si>
  <si>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</si>
  <si>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</si>
  <si>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</si>
  <si>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</si>
  <si>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</si>
  <si>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</si>
  <si>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</si>
  <si>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</si>
  <si>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</si>
  <si>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</si>
  <si>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</si>
  <si>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</si>
  <si>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</si>
  <si>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</si>
  <si>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</si>
  <si>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</si>
  <si>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</si>
  <si>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</si>
  <si>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</si>
  <si>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</si>
  <si>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</si>
  <si>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</si>
  <si>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</si>
  <si>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</si>
  <si>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</si>
  <si>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</si>
  <si>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</si>
  <si>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</si>
  <si>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</si>
  <si>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</si>
  <si>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</si>
  <si>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</si>
  <si>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</si>
  <si>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</si>
  <si>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</si>
  <si>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</si>
  <si>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</si>
  <si>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</si>
  <si>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</si>
  <si>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</si>
  <si>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</si>
  <si>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</si>
  <si>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</si>
  <si>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</si>
  <si>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</si>
  <si>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</si>
  <si>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</si>
  <si>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</si>
  <si>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</si>
  <si>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</si>
  <si>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</si>
  <si>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</si>
  <si>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</si>
  <si>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</si>
  <si>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</si>
  <si>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</si>
  <si>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</si>
  <si>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</si>
  <si>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</si>
  <si>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</si>
  <si>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</si>
  <si>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</si>
  <si>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</si>
  <si>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</si>
  <si>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</si>
  <si>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</si>
  <si>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</si>
  <si>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</si>
  <si>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</si>
  <si>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</si>
  <si>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</si>
  <si>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</si>
  <si>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</si>
  <si>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</si>
  <si>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</si>
  <si>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</si>
  <si>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</si>
  <si>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</si>
  <si>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</si>
  <si>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</si>
  <si>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</si>
  <si>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</si>
  <si>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</si>
  <si>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</si>
  <si>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</si>
  <si>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</si>
  <si>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</si>
  <si>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</si>
  <si>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</si>
  <si>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</si>
  <si>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</si>
  <si>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</si>
  <si>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</si>
  <si>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</si>
  <si>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</si>
  <si>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</si>
  <si>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</si>
  <si>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</si>
  <si>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</si>
  <si>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</si>
  <si>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</si>
  <si>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</si>
  <si>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</si>
  <si>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</si>
  <si>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</si>
  <si>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</si>
  <si>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</si>
  <si>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</si>
  <si>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</si>
  <si>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</si>
  <si>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</si>
  <si>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</si>
  <si>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</si>
  <si>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</si>
  <si>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</si>
  <si>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</si>
  <si>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</si>
  <si>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</si>
  <si>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</si>
  <si>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</si>
  <si>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</si>
  <si>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</si>
  <si>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</si>
  <si>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</si>
  <si>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</si>
  <si>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</si>
  <si>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</si>
  <si>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</si>
  <si>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</si>
  <si>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</si>
  <si>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</si>
  <si>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</si>
  <si>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</si>
  <si>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</si>
  <si>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</si>
  <si>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</si>
  <si>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</si>
  <si>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</si>
  <si>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</si>
  <si>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</si>
  <si>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</si>
  <si>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</si>
  <si>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</si>
  <si>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</si>
  <si>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</si>
  <si>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</si>
  <si>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</si>
  <si>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</si>
  <si>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</si>
  <si>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</si>
  <si>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</si>
  <si>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</si>
  <si>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</si>
  <si>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</si>
  <si>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</si>
  <si>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</si>
  <si>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Shraddha CHS Adityaraj Anchor</t>
  </si>
  <si>
    <t>Adityaraj Builders</t>
  </si>
  <si>
    <t>Mr. Chandradatta 9619888991</t>
  </si>
  <si>
    <t>Building No. 52 Known as Shradha CHS LTD.</t>
  </si>
  <si>
    <t>356(pt), Redevelopement of "Building No. 52 Known as Shradha CHS LTD."</t>
  </si>
  <si>
    <t>Hariyali</t>
  </si>
  <si>
    <t>Kannamwar Nagar</t>
  </si>
  <si>
    <t>19.1140915,72.937437</t>
  </si>
  <si>
    <t>https://maps.app.goo.gl/pt8iT7ZE66A1GaKy9</t>
  </si>
  <si>
    <t>Road Number 2</t>
  </si>
  <si>
    <t>Vikhroli East</t>
  </si>
  <si>
    <t>Vikas High School &amp; Jr. College</t>
  </si>
  <si>
    <t>1.30KM from Vikhroli Railway Station</t>
  </si>
  <si>
    <t>17.10 M. Wide Road</t>
  </si>
  <si>
    <t>Building No. 51</t>
  </si>
  <si>
    <t>Building No. 50</t>
  </si>
  <si>
    <t>12.20 M. Wide Road</t>
  </si>
  <si>
    <t>Internal Road</t>
  </si>
  <si>
    <t>Haware Altura</t>
  </si>
  <si>
    <t>Shushant CHS</t>
  </si>
  <si>
    <t>Kannamwar nagar shraddha CHS LTD</t>
  </si>
  <si>
    <t>P51800051334</t>
  </si>
  <si>
    <t>02 Wings</t>
  </si>
  <si>
    <t>Wing A &amp; B</t>
  </si>
  <si>
    <t>A &amp; B Wing = G + 1st to 17th Floor</t>
  </si>
  <si>
    <t>A &amp; B Wing = G + 1st to 22nd Floor</t>
  </si>
  <si>
    <t>As per RERA - 31/03/2027</t>
  </si>
  <si>
    <t>Fitness Centre, Yoga, Landscape Garden, Kids Play Area, Senior Citizen Sitout, Jogging Track etc.</t>
  </si>
  <si>
    <r>
      <t xml:space="preserve">Proposed Amenities :                                                                                                                                                                                                                         </t>
    </r>
    <r>
      <rPr>
        <b/>
        <sz val="12"/>
        <rFont val="Times New Roman"/>
        <family val="1"/>
      </rPr>
      <t xml:space="preserve">                                               </t>
    </r>
  </si>
  <si>
    <t>Wing A + B</t>
  </si>
  <si>
    <t>Ground Floor For Commercial, Entrance Lobby, Meter Room &amp; Parking Tower</t>
  </si>
  <si>
    <t>Shop</t>
  </si>
  <si>
    <t>Wing A</t>
  </si>
  <si>
    <t>2BHK</t>
  </si>
  <si>
    <t>1BHK</t>
  </si>
  <si>
    <t>8th Floor (Part Refuge Area)</t>
  </si>
  <si>
    <t>Refuge Area</t>
  </si>
  <si>
    <t>15th Floor (Part Refuge Area &amp; Society Office)</t>
  </si>
  <si>
    <t>Refuge Area &amp; Society Office</t>
  </si>
  <si>
    <t>Wing B</t>
  </si>
  <si>
    <t>We considered Gross carpet area = Net carpet.</t>
  </si>
  <si>
    <t>Flats - 115, Shops - 11</t>
  </si>
  <si>
    <t xml:space="preserve">Validity of CC is expired on 19/04/2024. Please provide revised CC.
</t>
  </si>
  <si>
    <t>Approved Plans, CC, Sale Plans.</t>
  </si>
  <si>
    <t>Name / No of the Building as per RERA</t>
  </si>
  <si>
    <t>Name / No of the Building As per approved plan</t>
  </si>
  <si>
    <t>Sale plan</t>
  </si>
  <si>
    <t>Mhada-9/1243/2024</t>
  </si>
  <si>
    <t>1st to 7th, 9th to 14th, 16th &amp; 17th Floor For Residential</t>
  </si>
  <si>
    <t>Construction work is in process at the time of Visit.</t>
  </si>
  <si>
    <t>18/01/2024.</t>
  </si>
  <si>
    <t>MH/EE/(BP)/GM/MHADA-9/
1243/2024/FCC/2/Amend</t>
  </si>
  <si>
    <t xml:space="preserve">We have updated revised approved CC from MHADA site (on 14/04/2025).
</t>
  </si>
  <si>
    <t xml:space="preserve">Construction work goes beyond approved no of floors, Please provide revised approved plans.
</t>
  </si>
  <si>
    <t>This C.C. is Further Extended upto top of 22nd floor of 'Wing A' &amp; 'Wing B' along with parking tower (including L.M.R. &amp; O.H.T.) as per approved amended plan dtd. 07.11.2024.</t>
  </si>
  <si>
    <t>Gaurav Panchal</t>
  </si>
  <si>
    <t>Akash Kadam</t>
  </si>
  <si>
    <t>As checked on RERA portal on date 14/07/2025, we have observed that above project "  Shraddha CHS Adityaraj Anchor " is kept under abeyance. Please check from your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</si>
</sst>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17">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15" fillId="0" borderId="1" xfId="1" applyNumberFormat="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164" fontId="7" fillId="0" borderId="0" xfId="1" applyNumberFormat="1" applyFont="1"/>
    <xf numFmtId="0" fontId="12" fillId="0" borderId="1" xfId="1" applyFont="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0" fontId="12" fillId="0" borderId="1" xfId="1" applyFont="1" applyBorder="1" applyAlignment="1" applyProtection="1">
      <alignment vertical="top" wrapText="1"/>
      <protection locked="0"/>
    </xf>
    <xf numFmtId="1" fontId="6" fillId="0" borderId="1" xfId="0"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21" xfId="1" applyNumberFormat="1" applyFont="1" applyBorder="1" applyAlignment="1" applyProtection="1">
      <alignment horizontal="center" vertical="center"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2" fillId="0" borderId="1" xfId="1" applyFont="1" applyBorder="1" applyAlignment="1" applyProtection="1">
      <alignment horizontal="left" vertical="top"/>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2" fillId="0" borderId="1" xfId="1" applyFont="1" applyBorder="1" applyAlignment="1" applyProtection="1">
      <alignment horizontal="left" vertical="top" wrapText="1"/>
      <protection locked="0"/>
    </xf>
    <xf numFmtId="0" fontId="7" fillId="0" borderId="1" xfId="0"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1" fontId="10" fillId="0" borderId="33" xfId="0"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center"/>
      <protection locked="0"/>
    </xf>
    <xf numFmtId="1" fontId="6" fillId="0" borderId="1" xfId="0" applyNumberFormat="1" applyFont="1" applyBorder="1" applyAlignment="1" applyProtection="1">
      <alignment horizontal="center" vertical="top" wrapText="1"/>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vertical="top"/>
      <protection locked="0"/>
    </xf>
    <xf numFmtId="0" fontId="10" fillId="0" borderId="3" xfId="0" applyFont="1" applyBorder="1" applyAlignment="1" applyProtection="1">
      <alignment horizontal="center" vertical="center"/>
      <protection locked="0"/>
    </xf>
    <xf numFmtId="1" fontId="8" fillId="0" borderId="1" xfId="0" applyNumberFormat="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0" fontId="6" fillId="0" borderId="3"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14" fontId="12" fillId="0" borderId="8" xfId="1" applyNumberFormat="1" applyFont="1" applyBorder="1" applyAlignment="1" applyProtection="1">
      <alignment horizontal="left" vertical="top" wrapText="1"/>
      <protection locked="0"/>
    </xf>
    <xf numFmtId="0" fontId="12" fillId="0" borderId="8" xfId="1" applyFont="1" applyBorder="1" applyAlignment="1" applyProtection="1">
      <alignment horizontal="center" vertical="top" wrapText="1"/>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8</xdr:col>
      <xdr:colOff>397566</xdr:colOff>
      <xdr:row>14</xdr:row>
      <xdr:rowOff>271669</xdr:rowOff>
    </xdr:from>
    <xdr:to>
      <xdr:col>12</xdr:col>
      <xdr:colOff>339966</xdr:colOff>
      <xdr:row>19</xdr:row>
      <xdr:rowOff>176792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877879" y="3240156"/>
          <a:ext cx="3600000" cy="1578210"/>
        </a:xfrm>
        <a:prstGeom prst="rect">
          <a:avLst/>
        </a:prstGeom>
        <a:ln>
          <a:solidFill>
            <a:sysClr val="windowText" lastClr="000000"/>
          </a:solidFill>
        </a:ln>
      </xdr:spPr>
    </xdr:pic>
    <xdr:clientData/>
  </xdr:twoCellAnchor>
  <xdr:twoCellAnchor editAs="oneCell">
    <xdr:from>
      <xdr:col>8</xdr:col>
      <xdr:colOff>212035</xdr:colOff>
      <xdr:row>47</xdr:row>
      <xdr:rowOff>185531</xdr:rowOff>
    </xdr:from>
    <xdr:to>
      <xdr:col>12</xdr:col>
      <xdr:colOff>154435</xdr:colOff>
      <xdr:row>53</xdr:row>
      <xdr:rowOff>198347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692348" y="10555357"/>
          <a:ext cx="3600000" cy="1642834"/>
        </a:xfrm>
        <a:prstGeom prst="rect">
          <a:avLst/>
        </a:prstGeom>
        <a:ln>
          <a:solidFill>
            <a:schemeClr val="tx1"/>
          </a:solidFill>
        </a:ln>
      </xdr:spPr>
    </xdr:pic>
    <xdr:clientData/>
  </xdr:twoCellAnchor>
  <xdr:twoCellAnchor>
    <xdr:from>
      <xdr:col>0</xdr:col>
      <xdr:colOff>351183</xdr:colOff>
      <xdr:row>248</xdr:row>
      <xdr:rowOff>13252</xdr:rowOff>
    </xdr:from>
    <xdr:to>
      <xdr:col>7</xdr:col>
      <xdr:colOff>386244</xdr:colOff>
      <xdr:row>284</xdr:row>
      <xdr:rowOff>32852</xdr:rowOff>
    </xdr:to>
    <xdr:grpSp>
      <xdr:nvGrpSpPr>
        <xdr:cNvPr id="15" name="Group 14">
          <a:extLst>
            <a:ext uri="{FF2B5EF4-FFF2-40B4-BE49-F238E27FC236}">
              <a16:creationId xmlns:a16="http://schemas.microsoft.com/office/drawing/2014/main" id="{00000000-0008-0000-0000-00000F000000}"/>
            </a:ext>
          </a:extLst>
        </xdr:cNvPr>
        <xdr:cNvGrpSpPr/>
      </xdr:nvGrpSpPr>
      <xdr:grpSpPr>
        <a:xfrm>
          <a:off x="351183" y="47847802"/>
          <a:ext cx="5616711" cy="7220500"/>
          <a:chOff x="549000" y="137144"/>
          <a:chExt cx="5760000" cy="7175774"/>
        </a:xfrm>
      </xdr:grpSpPr>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629000" y="3920610"/>
            <a:ext cx="3600000" cy="3392308"/>
          </a:xfrm>
          <a:prstGeom prst="rect">
            <a:avLst/>
          </a:prstGeom>
          <a:ln>
            <a:solidFill>
              <a:schemeClr val="tx1"/>
            </a:solidFill>
          </a:ln>
        </xdr:spPr>
      </xdr:pic>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549000" y="137144"/>
            <a:ext cx="5760000" cy="3576236"/>
          </a:xfrm>
          <a:prstGeom prst="rect">
            <a:avLst/>
          </a:prstGeom>
          <a:ln>
            <a:solidFill>
              <a:schemeClr val="tx1"/>
            </a:solidFill>
          </a:ln>
        </xdr:spPr>
      </xdr:pic>
      <xdr:sp macro="" textlink="">
        <xdr:nvSpPr>
          <xdr:cNvPr id="18" name="Rectangle 17">
            <a:extLst>
              <a:ext uri="{FF2B5EF4-FFF2-40B4-BE49-F238E27FC236}">
                <a16:creationId xmlns:a16="http://schemas.microsoft.com/office/drawing/2014/main" id="{00000000-0008-0000-0000-000012000000}"/>
              </a:ext>
            </a:extLst>
          </xdr:cNvPr>
          <xdr:cNvSpPr/>
        </xdr:nvSpPr>
        <xdr:spPr>
          <a:xfrm>
            <a:off x="1086678" y="742122"/>
            <a:ext cx="2342322" cy="201433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9" name="Rectangle 18">
            <a:extLst>
              <a:ext uri="{FF2B5EF4-FFF2-40B4-BE49-F238E27FC236}">
                <a16:creationId xmlns:a16="http://schemas.microsoft.com/office/drawing/2014/main" id="{00000000-0008-0000-0000-000013000000}"/>
              </a:ext>
            </a:extLst>
          </xdr:cNvPr>
          <xdr:cNvSpPr/>
        </xdr:nvSpPr>
        <xdr:spPr>
          <a:xfrm>
            <a:off x="3528392" y="742122"/>
            <a:ext cx="2342322" cy="201433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0" name="TextBox 7">
            <a:extLst>
              <a:ext uri="{FF2B5EF4-FFF2-40B4-BE49-F238E27FC236}">
                <a16:creationId xmlns:a16="http://schemas.microsoft.com/office/drawing/2014/main" id="{00000000-0008-0000-0000-000014000000}"/>
              </a:ext>
            </a:extLst>
          </xdr:cNvPr>
          <xdr:cNvSpPr txBox="1"/>
        </xdr:nvSpPr>
        <xdr:spPr>
          <a:xfrm>
            <a:off x="1820058" y="254967"/>
            <a:ext cx="1054999"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Wing A</a:t>
            </a:r>
          </a:p>
        </xdr:txBody>
      </xdr:sp>
      <xdr:sp macro="" textlink="">
        <xdr:nvSpPr>
          <xdr:cNvPr id="21" name="TextBox 8">
            <a:extLst>
              <a:ext uri="{FF2B5EF4-FFF2-40B4-BE49-F238E27FC236}">
                <a16:creationId xmlns:a16="http://schemas.microsoft.com/office/drawing/2014/main" id="{00000000-0008-0000-0000-000015000000}"/>
              </a:ext>
            </a:extLst>
          </xdr:cNvPr>
          <xdr:cNvSpPr txBox="1"/>
        </xdr:nvSpPr>
        <xdr:spPr>
          <a:xfrm>
            <a:off x="4353439" y="269175"/>
            <a:ext cx="111990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Wing B</a:t>
            </a:r>
          </a:p>
        </xdr:txBody>
      </xdr:sp>
    </xdr:grpSp>
    <xdr:clientData/>
  </xdr:twoCellAnchor>
  <xdr:twoCellAnchor>
    <xdr:from>
      <xdr:col>0</xdr:col>
      <xdr:colOff>556591</xdr:colOff>
      <xdr:row>290</xdr:row>
      <xdr:rowOff>46382</xdr:rowOff>
    </xdr:from>
    <xdr:to>
      <xdr:col>7</xdr:col>
      <xdr:colOff>245165</xdr:colOff>
      <xdr:row>327</xdr:row>
      <xdr:rowOff>152400</xdr:rowOff>
    </xdr:to>
    <xdr:grpSp>
      <xdr:nvGrpSpPr>
        <xdr:cNvPr id="22" name="Group 21">
          <a:extLst>
            <a:ext uri="{FF2B5EF4-FFF2-40B4-BE49-F238E27FC236}">
              <a16:creationId xmlns:a16="http://schemas.microsoft.com/office/drawing/2014/main" id="{00000000-0008-0000-0000-000016000000}"/>
            </a:ext>
          </a:extLst>
        </xdr:cNvPr>
        <xdr:cNvGrpSpPr/>
      </xdr:nvGrpSpPr>
      <xdr:grpSpPr>
        <a:xfrm>
          <a:off x="556591" y="56281982"/>
          <a:ext cx="5270224" cy="7506943"/>
          <a:chOff x="549000" y="187334"/>
          <a:chExt cx="5760000" cy="8413755"/>
        </a:xfrm>
      </xdr:grpSpPr>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5"/>
          <a:stretch>
            <a:fillRect/>
          </a:stretch>
        </xdr:blipFill>
        <xdr:spPr>
          <a:xfrm>
            <a:off x="549000" y="187334"/>
            <a:ext cx="5760000" cy="3924706"/>
          </a:xfrm>
          <a:prstGeom prst="rect">
            <a:avLst/>
          </a:prstGeom>
          <a:ln>
            <a:solidFill>
              <a:schemeClr val="tx1"/>
            </a:solidFill>
          </a:ln>
        </xdr:spPr>
      </xdr:pic>
      <xdr:grpSp>
        <xdr:nvGrpSpPr>
          <xdr:cNvPr id="24" name="Group 23">
            <a:extLst>
              <a:ext uri="{FF2B5EF4-FFF2-40B4-BE49-F238E27FC236}">
                <a16:creationId xmlns:a16="http://schemas.microsoft.com/office/drawing/2014/main" id="{00000000-0008-0000-0000-000018000000}"/>
              </a:ext>
            </a:extLst>
          </xdr:cNvPr>
          <xdr:cNvGrpSpPr/>
        </xdr:nvGrpSpPr>
        <xdr:grpSpPr>
          <a:xfrm>
            <a:off x="549000" y="4283240"/>
            <a:ext cx="5760000" cy="4317849"/>
            <a:chOff x="549000" y="4283240"/>
            <a:chExt cx="5760000" cy="4317849"/>
          </a:xfrm>
        </xdr:grpSpPr>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r="13821" b="12994"/>
            <a:stretch/>
          </xdr:blipFill>
          <xdr:spPr>
            <a:xfrm>
              <a:off x="549000" y="4283240"/>
              <a:ext cx="5760000" cy="4317849"/>
            </a:xfrm>
            <a:prstGeom prst="rect">
              <a:avLst/>
            </a:prstGeom>
            <a:ln>
              <a:solidFill>
                <a:schemeClr val="tx1"/>
              </a:solidFill>
            </a:ln>
          </xdr:spPr>
        </xdr:pic>
        <xdr:sp macro="" textlink="">
          <xdr:nvSpPr>
            <xdr:cNvPr id="26" name="Rectangle 25">
              <a:extLst>
                <a:ext uri="{FF2B5EF4-FFF2-40B4-BE49-F238E27FC236}">
                  <a16:creationId xmlns:a16="http://schemas.microsoft.com/office/drawing/2014/main" id="{00000000-0008-0000-0000-00001A000000}"/>
                </a:ext>
              </a:extLst>
            </xdr:cNvPr>
            <xdr:cNvSpPr/>
          </xdr:nvSpPr>
          <xdr:spPr>
            <a:xfrm rot="20881813">
              <a:off x="2136912" y="5936974"/>
              <a:ext cx="2584174" cy="1311965"/>
            </a:xfrm>
            <a:prstGeom prst="rect">
              <a:avLst/>
            </a:prstGeom>
            <a:noFill/>
            <a:ln w="5715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editAs="oneCell">
    <xdr:from>
      <xdr:col>8</xdr:col>
      <xdr:colOff>291548</xdr:colOff>
      <xdr:row>53</xdr:row>
      <xdr:rowOff>304806</xdr:rowOff>
    </xdr:from>
    <xdr:to>
      <xdr:col>12</xdr:col>
      <xdr:colOff>233948</xdr:colOff>
      <xdr:row>61</xdr:row>
      <xdr:rowOff>171052</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6771861" y="12483554"/>
          <a:ext cx="3600000" cy="1111950"/>
        </a:xfrm>
        <a:prstGeom prst="rect">
          <a:avLst/>
        </a:prstGeom>
        <a:ln>
          <a:solidFill>
            <a:schemeClr val="tx1"/>
          </a:solidFill>
        </a:ln>
      </xdr:spPr>
    </xdr:pic>
    <xdr:clientData/>
  </xdr:twoCellAnchor>
  <xdr:twoCellAnchor editAs="oneCell">
    <xdr:from>
      <xdr:col>10</xdr:col>
      <xdr:colOff>569595</xdr:colOff>
      <xdr:row>223</xdr:row>
      <xdr:rowOff>1905</xdr:rowOff>
    </xdr:from>
    <xdr:to>
      <xdr:col>16</xdr:col>
      <xdr:colOff>168985</xdr:colOff>
      <xdr:row>235</xdr:row>
      <xdr:rowOff>121605</xdr:rowOff>
    </xdr:to>
    <xdr:pic>
      <xdr:nvPicPr>
        <xdr:cNvPr id="28" name="Picture 27" descr="https://vsjcllp.vsjadon.com/upload/insp-214183-1525.jpg">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9035415" y="41706165"/>
          <a:ext cx="4582870" cy="249714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1000125</xdr:colOff>
      <xdr:row>222</xdr:row>
      <xdr:rowOff>190500</xdr:rowOff>
    </xdr:from>
    <xdr:to>
      <xdr:col>10</xdr:col>
      <xdr:colOff>482145</xdr:colOff>
      <xdr:row>235</xdr:row>
      <xdr:rowOff>112080</xdr:rowOff>
    </xdr:to>
    <xdr:pic>
      <xdr:nvPicPr>
        <xdr:cNvPr id="39" name="Picture 38" descr="https://vsjcllp.vsjadon.com/upload/insp-214183-848.jpg">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7484745" y="41696640"/>
          <a:ext cx="1463220" cy="249714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933450</xdr:colOff>
      <xdr:row>205</xdr:row>
      <xdr:rowOff>1905</xdr:rowOff>
    </xdr:from>
    <xdr:to>
      <xdr:col>11</xdr:col>
      <xdr:colOff>240386</xdr:colOff>
      <xdr:row>222</xdr:row>
      <xdr:rowOff>106679</xdr:rowOff>
    </xdr:to>
    <xdr:pic>
      <xdr:nvPicPr>
        <xdr:cNvPr id="40" name="Picture 39" descr="https://vsjcllp.vsjadon.com/upload/insp-214183-849.jpg">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7418070" y="38147625"/>
          <a:ext cx="2012036" cy="346519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693420</xdr:colOff>
      <xdr:row>205</xdr:row>
      <xdr:rowOff>11430</xdr:rowOff>
    </xdr:from>
    <xdr:to>
      <xdr:col>16</xdr:col>
      <xdr:colOff>208001</xdr:colOff>
      <xdr:row>222</xdr:row>
      <xdr:rowOff>116204</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11351895" y="39254430"/>
          <a:ext cx="1943456" cy="3495674"/>
          <a:chOff x="4257675" y="38642925"/>
          <a:chExt cx="1966316" cy="3495674"/>
        </a:xfrm>
      </xdr:grpSpPr>
      <xdr:pic>
        <xdr:nvPicPr>
          <xdr:cNvPr id="29" name="Picture 28" descr="https://vsjcllp.vsjadon.com/upload/insp-214183-845.jpg">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4257675" y="38642925"/>
            <a:ext cx="1966316" cy="34956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42" name="TextBox 23">
            <a:extLst>
              <a:ext uri="{FF2B5EF4-FFF2-40B4-BE49-F238E27FC236}">
                <a16:creationId xmlns:a16="http://schemas.microsoft.com/office/drawing/2014/main" id="{00000000-0008-0000-0000-00002A000000}"/>
              </a:ext>
            </a:extLst>
          </xdr:cNvPr>
          <xdr:cNvSpPr txBox="1"/>
        </xdr:nvSpPr>
        <xdr:spPr>
          <a:xfrm>
            <a:off x="5295900" y="38661975"/>
            <a:ext cx="905290" cy="309921"/>
          </a:xfrm>
          <a:prstGeom prst="rect">
            <a:avLst/>
          </a:prstGeom>
          <a:solidFill>
            <a:schemeClr val="bg1"/>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400" b="1"/>
              <a:t>WING A</a:t>
            </a:r>
          </a:p>
        </xdr:txBody>
      </xdr:sp>
    </xdr:grpSp>
    <xdr:clientData/>
  </xdr:twoCellAnchor>
  <xdr:twoCellAnchor>
    <xdr:from>
      <xdr:col>11</xdr:col>
      <xdr:colOff>312420</xdr:colOff>
      <xdr:row>205</xdr:row>
      <xdr:rowOff>1905</xdr:rowOff>
    </xdr:from>
    <xdr:to>
      <xdr:col>13</xdr:col>
      <xdr:colOff>592811</xdr:colOff>
      <xdr:row>222</xdr:row>
      <xdr:rowOff>106679</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9256395" y="39244905"/>
          <a:ext cx="1994891" cy="3495674"/>
          <a:chOff x="2171700" y="38633400"/>
          <a:chExt cx="1985366" cy="3495674"/>
        </a:xfrm>
      </xdr:grpSpPr>
      <xdr:pic>
        <xdr:nvPicPr>
          <xdr:cNvPr id="41" name="Picture 40" descr="https://vsjcllp.vsjadon.com/upload/insp-214183-851.jpg">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2190750" y="38633400"/>
            <a:ext cx="1966316" cy="34956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43" name="TextBox 23">
            <a:extLst>
              <a:ext uri="{FF2B5EF4-FFF2-40B4-BE49-F238E27FC236}">
                <a16:creationId xmlns:a16="http://schemas.microsoft.com/office/drawing/2014/main" id="{00000000-0008-0000-0000-00002B000000}"/>
              </a:ext>
            </a:extLst>
          </xdr:cNvPr>
          <xdr:cNvSpPr txBox="1"/>
        </xdr:nvSpPr>
        <xdr:spPr>
          <a:xfrm>
            <a:off x="2171700" y="38642925"/>
            <a:ext cx="905290" cy="309921"/>
          </a:xfrm>
          <a:prstGeom prst="rect">
            <a:avLst/>
          </a:prstGeom>
          <a:solidFill>
            <a:schemeClr val="bg1"/>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400" b="1"/>
              <a:t>WING B</a:t>
            </a:r>
          </a:p>
        </xdr:txBody>
      </xdr:sp>
    </xdr:grpSp>
    <xdr:clientData/>
  </xdr:twoCellAnchor>
  <xdr:twoCellAnchor>
    <xdr:from>
      <xdr:col>8</xdr:col>
      <xdr:colOff>678180</xdr:colOff>
      <xdr:row>203</xdr:row>
      <xdr:rowOff>66675</xdr:rowOff>
    </xdr:from>
    <xdr:to>
      <xdr:col>15</xdr:col>
      <xdr:colOff>644703</xdr:colOff>
      <xdr:row>239</xdr:row>
      <xdr:rowOff>158587</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6993255" y="38909625"/>
          <a:ext cx="5957748" cy="7283287"/>
          <a:chOff x="356498" y="100596"/>
          <a:chExt cx="6106338" cy="7214707"/>
        </a:xfrm>
      </xdr:grpSpPr>
      <xdr:grpSp>
        <xdr:nvGrpSpPr>
          <xdr:cNvPr id="7" name="Group 6">
            <a:extLst>
              <a:ext uri="{FF2B5EF4-FFF2-40B4-BE49-F238E27FC236}">
                <a16:creationId xmlns:a16="http://schemas.microsoft.com/office/drawing/2014/main" id="{00000000-0008-0000-0000-000007000000}"/>
              </a:ext>
            </a:extLst>
          </xdr:cNvPr>
          <xdr:cNvGrpSpPr/>
        </xdr:nvGrpSpPr>
        <xdr:grpSpPr>
          <a:xfrm>
            <a:off x="1409265" y="2828807"/>
            <a:ext cx="4000805" cy="2520000"/>
            <a:chOff x="1384728" y="2863532"/>
            <a:chExt cx="4000805" cy="2520000"/>
          </a:xfrm>
        </xdr:grpSpPr>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490261" y="2863532"/>
              <a:ext cx="1895272" cy="2520000"/>
            </a:xfrm>
            <a:prstGeom prst="rect">
              <a:avLst/>
            </a:prstGeom>
            <a:ln>
              <a:solidFill>
                <a:schemeClr val="tx1"/>
              </a:solidFill>
            </a:ln>
          </xdr:spPr>
        </xdr:pic>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384728" y="2863532"/>
              <a:ext cx="1895272" cy="2520000"/>
            </a:xfrm>
            <a:prstGeom prst="rect">
              <a:avLst/>
            </a:prstGeom>
            <a:ln>
              <a:solidFill>
                <a:schemeClr val="tx1"/>
              </a:solidFill>
            </a:ln>
          </xdr:spPr>
        </xdr:pic>
      </xdr:grpSp>
      <xdr:grpSp>
        <xdr:nvGrpSpPr>
          <xdr:cNvPr id="8" name="Group 7">
            <a:extLst>
              <a:ext uri="{FF2B5EF4-FFF2-40B4-BE49-F238E27FC236}">
                <a16:creationId xmlns:a16="http://schemas.microsoft.com/office/drawing/2014/main" id="{00000000-0008-0000-0000-000008000000}"/>
              </a:ext>
            </a:extLst>
          </xdr:cNvPr>
          <xdr:cNvGrpSpPr/>
        </xdr:nvGrpSpPr>
        <xdr:grpSpPr>
          <a:xfrm>
            <a:off x="1207712" y="5515303"/>
            <a:ext cx="4403909" cy="1800000"/>
            <a:chOff x="1926234" y="5581690"/>
            <a:chExt cx="4403909" cy="1800000"/>
          </a:xfrm>
        </xdr:grpSpPr>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4976377" y="5581690"/>
              <a:ext cx="1353766" cy="1800000"/>
            </a:xfrm>
            <a:prstGeom prst="rect">
              <a:avLst/>
            </a:prstGeom>
            <a:ln>
              <a:solidFill>
                <a:schemeClr val="tx1"/>
              </a:solidFill>
            </a:ln>
          </xdr:spPr>
        </xdr:pic>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926234" y="5581690"/>
              <a:ext cx="1353766" cy="1800000"/>
            </a:xfrm>
            <a:prstGeom prst="rect">
              <a:avLst/>
            </a:prstGeom>
            <a:ln>
              <a:solidFill>
                <a:schemeClr val="tx1"/>
              </a:solidFill>
            </a:ln>
          </xdr:spPr>
        </xdr:pic>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3451305" y="5581690"/>
              <a:ext cx="1353766" cy="1800000"/>
            </a:xfrm>
            <a:prstGeom prst="rect">
              <a:avLst/>
            </a:prstGeom>
            <a:ln>
              <a:solidFill>
                <a:schemeClr val="tx1"/>
              </a:solidFill>
            </a:ln>
          </xdr:spPr>
        </xdr:pic>
      </xdr:grpSp>
      <xdr:grpSp>
        <xdr:nvGrpSpPr>
          <xdr:cNvPr id="9" name="Group 8">
            <a:extLst>
              <a:ext uri="{FF2B5EF4-FFF2-40B4-BE49-F238E27FC236}">
                <a16:creationId xmlns:a16="http://schemas.microsoft.com/office/drawing/2014/main" id="{00000000-0008-0000-0000-000009000000}"/>
              </a:ext>
            </a:extLst>
          </xdr:cNvPr>
          <xdr:cNvGrpSpPr/>
        </xdr:nvGrpSpPr>
        <xdr:grpSpPr>
          <a:xfrm>
            <a:off x="356498" y="100596"/>
            <a:ext cx="6106338" cy="2561715"/>
            <a:chOff x="356498" y="100596"/>
            <a:chExt cx="6106338" cy="2561715"/>
          </a:xfrm>
        </xdr:grpSpPr>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356498" y="142311"/>
              <a:ext cx="1895272" cy="2520000"/>
            </a:xfrm>
            <a:prstGeom prst="rect">
              <a:avLst/>
            </a:prstGeom>
            <a:ln>
              <a:solidFill>
                <a:schemeClr val="tx1"/>
              </a:solidFill>
            </a:ln>
          </xdr:spPr>
        </xdr:pic>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4567564" y="142311"/>
              <a:ext cx="1895272" cy="2520000"/>
            </a:xfrm>
            <a:prstGeom prst="rect">
              <a:avLst/>
            </a:prstGeom>
            <a:ln>
              <a:solidFill>
                <a:schemeClr val="tx1"/>
              </a:solidFill>
            </a:ln>
          </xdr:spPr>
        </xdr:pic>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2462031" y="142311"/>
              <a:ext cx="1895272" cy="2520000"/>
            </a:xfrm>
            <a:prstGeom prst="rect">
              <a:avLst/>
            </a:prstGeom>
            <a:ln>
              <a:solidFill>
                <a:schemeClr val="tx1"/>
              </a:solidFill>
            </a:ln>
          </xdr:spPr>
        </xdr:pic>
        <xdr:sp macro="" textlink="">
          <xdr:nvSpPr>
            <xdr:cNvPr id="13" name="TextBox 23">
              <a:extLst>
                <a:ext uri="{FF2B5EF4-FFF2-40B4-BE49-F238E27FC236}">
                  <a16:creationId xmlns:a16="http://schemas.microsoft.com/office/drawing/2014/main" id="{00000000-0008-0000-0000-00000D000000}"/>
                </a:ext>
              </a:extLst>
            </xdr:cNvPr>
            <xdr:cNvSpPr txBox="1"/>
          </xdr:nvSpPr>
          <xdr:spPr>
            <a:xfrm>
              <a:off x="5239337" y="100596"/>
              <a:ext cx="32412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B</a:t>
              </a:r>
            </a:p>
          </xdr:txBody>
        </xdr:sp>
        <xdr:sp macro="" textlink="">
          <xdr:nvSpPr>
            <xdr:cNvPr id="14" name="TextBox 24">
              <a:extLst>
                <a:ext uri="{FF2B5EF4-FFF2-40B4-BE49-F238E27FC236}">
                  <a16:creationId xmlns:a16="http://schemas.microsoft.com/office/drawing/2014/main" id="{00000000-0008-0000-0000-00000E000000}"/>
                </a:ext>
              </a:extLst>
            </xdr:cNvPr>
            <xdr:cNvSpPr txBox="1"/>
          </xdr:nvSpPr>
          <xdr:spPr>
            <a:xfrm>
              <a:off x="3809812" y="107586"/>
              <a:ext cx="32412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B</a:t>
              </a:r>
            </a:p>
          </xdr:txBody>
        </xdr:sp>
        <xdr:sp macro="" textlink="">
          <xdr:nvSpPr>
            <xdr:cNvPr id="38" name="TextBox 25">
              <a:extLst>
                <a:ext uri="{FF2B5EF4-FFF2-40B4-BE49-F238E27FC236}">
                  <a16:creationId xmlns:a16="http://schemas.microsoft.com/office/drawing/2014/main" id="{00000000-0008-0000-0000-000026000000}"/>
                </a:ext>
              </a:extLst>
            </xdr:cNvPr>
            <xdr:cNvSpPr txBox="1"/>
          </xdr:nvSpPr>
          <xdr:spPr>
            <a:xfrm>
              <a:off x="971949" y="154762"/>
              <a:ext cx="32412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A</a:t>
              </a:r>
            </a:p>
          </xdr:txBody>
        </xdr:sp>
      </xdr:grpSp>
    </xdr:grpSp>
    <xdr:clientData/>
  </xdr:twoCellAnchor>
  <xdr:twoCellAnchor editAs="oneCell">
    <xdr:from>
      <xdr:col>8</xdr:col>
      <xdr:colOff>809625</xdr:colOff>
      <xdr:row>182</xdr:row>
      <xdr:rowOff>171450</xdr:rowOff>
    </xdr:from>
    <xdr:to>
      <xdr:col>13</xdr:col>
      <xdr:colOff>786225</xdr:colOff>
      <xdr:row>191</xdr:row>
      <xdr:rowOff>41496</xdr:rowOff>
    </xdr:to>
    <xdr:pic>
      <xdr:nvPicPr>
        <xdr:cNvPr id="30" name="Picture 29">
          <a:extLst>
            <a:ext uri="{FF2B5EF4-FFF2-40B4-BE49-F238E27FC236}">
              <a16:creationId xmlns:a16="http://schemas.microsoft.com/office/drawing/2014/main" id="{C5ACD085-1BE6-44F9-B98B-222DC92FDB9E}"/>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7124700" y="33956625"/>
          <a:ext cx="4320000" cy="1908396"/>
        </a:xfrm>
        <a:prstGeom prst="rect">
          <a:avLst/>
        </a:prstGeom>
      </xdr:spPr>
    </xdr:pic>
    <xdr:clientData/>
  </xdr:twoCellAnchor>
  <xdr:twoCellAnchor>
    <xdr:from>
      <xdr:col>0</xdr:col>
      <xdr:colOff>276225</xdr:colOff>
      <xdr:row>205</xdr:row>
      <xdr:rowOff>152400</xdr:rowOff>
    </xdr:from>
    <xdr:to>
      <xdr:col>7</xdr:col>
      <xdr:colOff>327517</xdr:colOff>
      <xdr:row>244</xdr:row>
      <xdr:rowOff>39634</xdr:rowOff>
    </xdr:to>
    <xdr:grpSp>
      <xdr:nvGrpSpPr>
        <xdr:cNvPr id="49" name="Group 48">
          <a:extLst>
            <a:ext uri="{FF2B5EF4-FFF2-40B4-BE49-F238E27FC236}">
              <a16:creationId xmlns:a16="http://schemas.microsoft.com/office/drawing/2014/main" id="{11398E6A-4B75-4022-A140-C4B8861CF86B}"/>
            </a:ext>
          </a:extLst>
        </xdr:cNvPr>
        <xdr:cNvGrpSpPr/>
      </xdr:nvGrpSpPr>
      <xdr:grpSpPr>
        <a:xfrm>
          <a:off x="276225" y="39395400"/>
          <a:ext cx="5632942" cy="7678684"/>
          <a:chOff x="770966" y="228600"/>
          <a:chExt cx="5632942" cy="7678684"/>
        </a:xfrm>
      </xdr:grpSpPr>
      <xdr:pic>
        <xdr:nvPicPr>
          <xdr:cNvPr id="50" name="Picture 49">
            <a:extLst>
              <a:ext uri="{FF2B5EF4-FFF2-40B4-BE49-F238E27FC236}">
                <a16:creationId xmlns:a16="http://schemas.microsoft.com/office/drawing/2014/main" id="{A8C5F2F5-2E39-4801-BB0B-7D15EF26FDF6}"/>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770966" y="228600"/>
            <a:ext cx="2632634" cy="3240000"/>
          </a:xfrm>
          <a:prstGeom prst="rect">
            <a:avLst/>
          </a:prstGeom>
          <a:ln>
            <a:solidFill>
              <a:schemeClr val="tx1"/>
            </a:solidFill>
          </a:ln>
        </xdr:spPr>
      </xdr:pic>
      <xdr:pic>
        <xdr:nvPicPr>
          <xdr:cNvPr id="51" name="Picture 50">
            <a:extLst>
              <a:ext uri="{FF2B5EF4-FFF2-40B4-BE49-F238E27FC236}">
                <a16:creationId xmlns:a16="http://schemas.microsoft.com/office/drawing/2014/main" id="{5929800E-60E8-40D7-BF3E-B8B6DEBC8AC7}"/>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3568700" y="228600"/>
            <a:ext cx="2835208" cy="3240000"/>
          </a:xfrm>
          <a:prstGeom prst="rect">
            <a:avLst/>
          </a:prstGeom>
          <a:ln>
            <a:solidFill>
              <a:schemeClr val="tx1"/>
            </a:solidFill>
          </a:ln>
        </xdr:spPr>
      </xdr:pic>
      <xdr:pic>
        <xdr:nvPicPr>
          <xdr:cNvPr id="52" name="Picture 51">
            <a:extLst>
              <a:ext uri="{FF2B5EF4-FFF2-40B4-BE49-F238E27FC236}">
                <a16:creationId xmlns:a16="http://schemas.microsoft.com/office/drawing/2014/main" id="{77748EB0-70DC-4700-ADA2-F117D2171FA4}"/>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770966" y="3617942"/>
            <a:ext cx="1620000" cy="2160000"/>
          </a:xfrm>
          <a:prstGeom prst="rect">
            <a:avLst/>
          </a:prstGeom>
          <a:ln>
            <a:solidFill>
              <a:schemeClr val="tx1"/>
            </a:solidFill>
          </a:ln>
        </xdr:spPr>
      </xdr:pic>
      <xdr:pic>
        <xdr:nvPicPr>
          <xdr:cNvPr id="53" name="Picture 52">
            <a:extLst>
              <a:ext uri="{FF2B5EF4-FFF2-40B4-BE49-F238E27FC236}">
                <a16:creationId xmlns:a16="http://schemas.microsoft.com/office/drawing/2014/main" id="{5C976325-F921-4F4A-BDA5-A77F3D7980D5}"/>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2563908" y="3617942"/>
            <a:ext cx="3840000" cy="2160000"/>
          </a:xfrm>
          <a:prstGeom prst="rect">
            <a:avLst/>
          </a:prstGeom>
          <a:ln>
            <a:solidFill>
              <a:schemeClr val="tx1"/>
            </a:solidFill>
          </a:ln>
        </xdr:spPr>
      </xdr:pic>
      <xdr:pic>
        <xdr:nvPicPr>
          <xdr:cNvPr id="54" name="Picture 53">
            <a:extLst>
              <a:ext uri="{FF2B5EF4-FFF2-40B4-BE49-F238E27FC236}">
                <a16:creationId xmlns:a16="http://schemas.microsoft.com/office/drawing/2014/main" id="{02D2441F-26E1-4F60-B437-ABC394FFF9BE}"/>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1022350" y="5927284"/>
            <a:ext cx="1375274" cy="1980000"/>
          </a:xfrm>
          <a:prstGeom prst="rect">
            <a:avLst/>
          </a:prstGeom>
          <a:ln>
            <a:solidFill>
              <a:schemeClr val="tx1"/>
            </a:solidFill>
          </a:ln>
        </xdr:spPr>
      </xdr:pic>
      <xdr:pic>
        <xdr:nvPicPr>
          <xdr:cNvPr id="55" name="Picture 54">
            <a:extLst>
              <a:ext uri="{FF2B5EF4-FFF2-40B4-BE49-F238E27FC236}">
                <a16:creationId xmlns:a16="http://schemas.microsoft.com/office/drawing/2014/main" id="{9F299FAD-922A-4210-83F3-847C2A9896D7}"/>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2563908" y="5927284"/>
            <a:ext cx="3520000" cy="1980000"/>
          </a:xfrm>
          <a:prstGeom prst="rect">
            <a:avLst/>
          </a:prstGeom>
          <a:ln>
            <a:solidFill>
              <a:schemeClr val="tx1"/>
            </a:solidFill>
          </a:ln>
        </xdr:spPr>
      </xdr:pic>
    </xdr:grpSp>
    <xdr:clientData/>
  </xdr:twoCellAnchor>
  <xdr:twoCellAnchor>
    <xdr:from>
      <xdr:col>1</xdr:col>
      <xdr:colOff>459105</xdr:colOff>
      <xdr:row>207</xdr:row>
      <xdr:rowOff>57150</xdr:rowOff>
    </xdr:from>
    <xdr:to>
      <xdr:col>1</xdr:col>
      <xdr:colOff>775346</xdr:colOff>
      <xdr:row>209</xdr:row>
      <xdr:rowOff>39468</xdr:rowOff>
    </xdr:to>
    <xdr:sp macro="" textlink="">
      <xdr:nvSpPr>
        <xdr:cNvPr id="56" name="TextBox 25">
          <a:extLst>
            <a:ext uri="{FF2B5EF4-FFF2-40B4-BE49-F238E27FC236}">
              <a16:creationId xmlns:a16="http://schemas.microsoft.com/office/drawing/2014/main" id="{7CDB5A06-C024-447C-95E9-EEA2B01375AD}"/>
            </a:ext>
          </a:extLst>
        </xdr:cNvPr>
        <xdr:cNvSpPr txBox="1"/>
      </xdr:nvSpPr>
      <xdr:spPr>
        <a:xfrm>
          <a:off x="1221105" y="39700200"/>
          <a:ext cx="316241" cy="37284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A</a:t>
          </a:r>
        </a:p>
      </xdr:txBody>
    </xdr:sp>
    <xdr:clientData/>
  </xdr:twoCellAnchor>
  <xdr:twoCellAnchor>
    <xdr:from>
      <xdr:col>2</xdr:col>
      <xdr:colOff>373380</xdr:colOff>
      <xdr:row>208</xdr:row>
      <xdr:rowOff>19050</xdr:rowOff>
    </xdr:from>
    <xdr:to>
      <xdr:col>2</xdr:col>
      <xdr:colOff>689621</xdr:colOff>
      <xdr:row>209</xdr:row>
      <xdr:rowOff>191868</xdr:rowOff>
    </xdr:to>
    <xdr:sp macro="" textlink="">
      <xdr:nvSpPr>
        <xdr:cNvPr id="57" name="TextBox 24">
          <a:extLst>
            <a:ext uri="{FF2B5EF4-FFF2-40B4-BE49-F238E27FC236}">
              <a16:creationId xmlns:a16="http://schemas.microsoft.com/office/drawing/2014/main" id="{0FBE0F70-7279-4384-BC21-A79CAF97233A}"/>
            </a:ext>
          </a:extLst>
        </xdr:cNvPr>
        <xdr:cNvSpPr txBox="1"/>
      </xdr:nvSpPr>
      <xdr:spPr>
        <a:xfrm>
          <a:off x="1935480" y="39852600"/>
          <a:ext cx="316241" cy="37284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B</a:t>
          </a:r>
        </a:p>
      </xdr:txBody>
    </xdr:sp>
    <xdr:clientData/>
  </xdr:twoCellAnchor>
  <xdr:twoCellAnchor>
    <xdr:from>
      <xdr:col>5</xdr:col>
      <xdr:colOff>506730</xdr:colOff>
      <xdr:row>205</xdr:row>
      <xdr:rowOff>114300</xdr:rowOff>
    </xdr:from>
    <xdr:to>
      <xdr:col>6</xdr:col>
      <xdr:colOff>80021</xdr:colOff>
      <xdr:row>207</xdr:row>
      <xdr:rowOff>87093</xdr:rowOff>
    </xdr:to>
    <xdr:sp macro="" textlink="">
      <xdr:nvSpPr>
        <xdr:cNvPr id="58" name="TextBox 24">
          <a:extLst>
            <a:ext uri="{FF2B5EF4-FFF2-40B4-BE49-F238E27FC236}">
              <a16:creationId xmlns:a16="http://schemas.microsoft.com/office/drawing/2014/main" id="{9356B124-69AE-41AF-8E1E-2D46E82366A7}"/>
            </a:ext>
          </a:extLst>
        </xdr:cNvPr>
        <xdr:cNvSpPr txBox="1"/>
      </xdr:nvSpPr>
      <xdr:spPr>
        <a:xfrm>
          <a:off x="4612005" y="39357300"/>
          <a:ext cx="316241" cy="37284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B</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1</xdr:colOff>
      <xdr:row>14</xdr:row>
      <xdr:rowOff>0</xdr:rowOff>
    </xdr:from>
    <xdr:to>
      <xdr:col>6</xdr:col>
      <xdr:colOff>4567</xdr:colOff>
      <xdr:row>32</xdr:row>
      <xdr:rowOff>171000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2707" y="2678206"/>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pt8iT7ZE66A1GaKy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289"/>
  <sheetViews>
    <sheetView tabSelected="1" view="pageBreakPreview" topLeftCell="A78" zoomScaleNormal="100" zoomScaleSheetLayoutView="100" zoomScalePageLayoutView="85" workbookViewId="0">
      <selection activeCell="J12" sqref="J12"/>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62" t="s">
        <v>162</v>
      </c>
      <c r="B1" s="162"/>
      <c r="C1" s="162"/>
      <c r="D1" s="162"/>
      <c r="E1" s="162"/>
      <c r="F1" s="162"/>
      <c r="G1" s="162"/>
      <c r="H1" s="162"/>
    </row>
    <row r="2" spans="1:26" ht="16.5" customHeight="1" x14ac:dyDescent="0.25">
      <c r="A2" s="163" t="s">
        <v>0</v>
      </c>
      <c r="B2" s="163"/>
      <c r="C2" s="163"/>
      <c r="D2" s="163"/>
      <c r="E2" s="163"/>
      <c r="F2" s="163"/>
      <c r="G2" s="163"/>
      <c r="H2" s="163"/>
    </row>
    <row r="3" spans="1:26" x14ac:dyDescent="0.25">
      <c r="A3" s="84" t="s">
        <v>1</v>
      </c>
      <c r="B3" s="84"/>
      <c r="C3" s="84"/>
      <c r="D3" s="84"/>
      <c r="E3" s="84" t="str">
        <f ca="1">TEXT(TODAY(),"DD/MM/YYYY")</f>
        <v>14/07/2025</v>
      </c>
      <c r="F3" s="84"/>
      <c r="G3" s="84"/>
      <c r="H3" s="84"/>
      <c r="K3" s="55" t="s">
        <v>238</v>
      </c>
      <c r="L3" s="54" t="s">
        <v>236</v>
      </c>
      <c r="M3" s="54" t="s">
        <v>241</v>
      </c>
      <c r="N3" s="54" t="s">
        <v>239</v>
      </c>
      <c r="O3" s="54" t="s">
        <v>240</v>
      </c>
      <c r="P3" s="54" t="s">
        <v>242</v>
      </c>
    </row>
    <row r="4" spans="1:26" ht="15" customHeight="1" x14ac:dyDescent="0.25">
      <c r="A4" s="84" t="s">
        <v>235</v>
      </c>
      <c r="B4" s="84"/>
      <c r="C4" s="84"/>
      <c r="D4" s="84"/>
      <c r="E4" s="84" t="s">
        <v>236</v>
      </c>
      <c r="F4" s="84"/>
      <c r="G4" s="84"/>
      <c r="H4" s="84"/>
      <c r="K4" s="53" t="s">
        <v>237</v>
      </c>
      <c r="L4" s="54" t="s">
        <v>169</v>
      </c>
      <c r="M4" s="54" t="s">
        <v>246</v>
      </c>
      <c r="N4" s="54" t="s">
        <v>248</v>
      </c>
      <c r="O4" s="54" t="s">
        <v>250</v>
      </c>
      <c r="P4" s="54"/>
    </row>
    <row r="5" spans="1:26" ht="15" customHeight="1" x14ac:dyDescent="0.25">
      <c r="A5" s="84" t="s">
        <v>2</v>
      </c>
      <c r="B5" s="84"/>
      <c r="C5" s="84"/>
      <c r="D5" s="84"/>
      <c r="E5" s="84" t="s">
        <v>243</v>
      </c>
      <c r="F5" s="84"/>
      <c r="G5" s="84"/>
      <c r="H5" s="84"/>
      <c r="K5" s="53"/>
      <c r="L5" s="54" t="s">
        <v>243</v>
      </c>
      <c r="M5" s="54" t="s">
        <v>247</v>
      </c>
      <c r="N5" s="54" t="s">
        <v>249</v>
      </c>
      <c r="O5" s="54" t="s">
        <v>251</v>
      </c>
      <c r="P5" s="54"/>
    </row>
    <row r="6" spans="1:26" x14ac:dyDescent="0.25">
      <c r="A6" s="84" t="s">
        <v>3</v>
      </c>
      <c r="B6" s="84"/>
      <c r="C6" s="84"/>
      <c r="D6" s="84"/>
      <c r="E6" s="164">
        <v>45848</v>
      </c>
      <c r="F6" s="84"/>
      <c r="G6" s="84"/>
      <c r="H6" s="84"/>
      <c r="K6" s="53"/>
      <c r="L6" s="54" t="s">
        <v>244</v>
      </c>
      <c r="M6" s="54"/>
      <c r="N6" s="54"/>
      <c r="O6" s="54" t="s">
        <v>252</v>
      </c>
      <c r="P6" s="54"/>
    </row>
    <row r="7" spans="1:26" ht="16.5" customHeight="1" x14ac:dyDescent="0.25">
      <c r="A7" s="84" t="s">
        <v>4</v>
      </c>
      <c r="B7" s="84"/>
      <c r="C7" s="84"/>
      <c r="D7" s="84"/>
      <c r="E7" s="84" t="s">
        <v>306</v>
      </c>
      <c r="F7" s="84"/>
      <c r="G7" s="84"/>
      <c r="H7" s="84"/>
      <c r="K7" s="53"/>
      <c r="L7" s="54" t="s">
        <v>245</v>
      </c>
      <c r="M7" s="54"/>
      <c r="N7" s="54"/>
      <c r="O7" s="54" t="s">
        <v>252</v>
      </c>
      <c r="P7" s="54"/>
    </row>
    <row r="8" spans="1:26" ht="15" customHeight="1" x14ac:dyDescent="0.25">
      <c r="A8" s="84" t="s">
        <v>5</v>
      </c>
      <c r="B8" s="84"/>
      <c r="C8" s="84"/>
      <c r="D8" s="84"/>
      <c r="E8" s="84" t="str">
        <f>E7</f>
        <v>Adityaraj Builders</v>
      </c>
      <c r="F8" s="84"/>
      <c r="G8" s="84"/>
      <c r="H8" s="84"/>
      <c r="K8" s="53"/>
      <c r="L8" s="54"/>
      <c r="M8" s="54"/>
      <c r="N8" s="54"/>
      <c r="O8" s="54" t="s">
        <v>253</v>
      </c>
      <c r="P8" s="54"/>
    </row>
    <row r="9" spans="1:26" x14ac:dyDescent="0.25">
      <c r="A9" s="84" t="s">
        <v>6</v>
      </c>
      <c r="B9" s="84"/>
      <c r="C9" s="84"/>
      <c r="D9" s="84"/>
      <c r="E9" s="124" t="s">
        <v>305</v>
      </c>
      <c r="F9" s="124"/>
      <c r="G9" s="124"/>
      <c r="H9" s="124"/>
      <c r="K9" s="53"/>
      <c r="L9" s="54"/>
      <c r="M9" s="54"/>
      <c r="N9" s="54"/>
      <c r="O9" s="54" t="s">
        <v>254</v>
      </c>
      <c r="P9" s="54"/>
    </row>
    <row r="10" spans="1:26" x14ac:dyDescent="0.25">
      <c r="A10" s="84" t="s">
        <v>165</v>
      </c>
      <c r="B10" s="84"/>
      <c r="C10" s="84"/>
      <c r="D10" s="84"/>
      <c r="E10" s="84" t="s">
        <v>307</v>
      </c>
      <c r="F10" s="84"/>
      <c r="G10" s="84"/>
      <c r="H10" s="84"/>
      <c r="K10" s="53"/>
      <c r="L10" s="54"/>
      <c r="M10" s="54"/>
      <c r="N10" s="54"/>
      <c r="O10" s="54"/>
      <c r="P10" s="54"/>
    </row>
    <row r="11" spans="1:26" hidden="1" x14ac:dyDescent="0.25">
      <c r="A11" s="84" t="s">
        <v>166</v>
      </c>
      <c r="B11" s="84"/>
      <c r="C11" s="84"/>
      <c r="D11" s="84"/>
      <c r="E11" s="84" t="s">
        <v>307</v>
      </c>
      <c r="F11" s="84"/>
      <c r="G11" s="84"/>
      <c r="H11" s="84"/>
    </row>
    <row r="12" spans="1:26" x14ac:dyDescent="0.25">
      <c r="A12" s="84" t="s">
        <v>349</v>
      </c>
      <c r="B12" s="84"/>
      <c r="C12" s="84"/>
      <c r="D12" s="84"/>
      <c r="E12" s="84" t="s">
        <v>325</v>
      </c>
      <c r="F12" s="84"/>
      <c r="G12" s="84"/>
      <c r="H12" s="84"/>
    </row>
    <row r="13" spans="1:26" x14ac:dyDescent="0.25">
      <c r="A13" s="84" t="s">
        <v>350</v>
      </c>
      <c r="B13" s="84"/>
      <c r="C13" s="84"/>
      <c r="D13" s="84"/>
      <c r="E13" s="84" t="s">
        <v>328</v>
      </c>
      <c r="F13" s="84"/>
      <c r="G13" s="84"/>
      <c r="H13" s="84"/>
    </row>
    <row r="14" spans="1:26" x14ac:dyDescent="0.25">
      <c r="A14" s="84" t="s">
        <v>170</v>
      </c>
      <c r="B14" s="84"/>
      <c r="C14" s="84"/>
      <c r="D14" s="84"/>
      <c r="E14" s="84" t="s">
        <v>308</v>
      </c>
      <c r="F14" s="84"/>
      <c r="G14" s="84"/>
      <c r="H14" s="84"/>
      <c r="S14" s="54" t="s">
        <v>179</v>
      </c>
      <c r="T14" s="54" t="s">
        <v>189</v>
      </c>
      <c r="U14" s="54" t="s">
        <v>171</v>
      </c>
      <c r="V14" s="54" t="s">
        <v>194</v>
      </c>
      <c r="W14" s="54" t="s">
        <v>212</v>
      </c>
      <c r="X14"/>
      <c r="Y14" t="s">
        <v>194</v>
      </c>
      <c r="Z14" t="e">
        <f ca="1">OFFSET($S$14,1,MATCH($G21,$S$14:$W$14,0)-1,15,1)</f>
        <v>#VALUE!</v>
      </c>
    </row>
    <row r="15" spans="1:26" x14ac:dyDescent="0.25">
      <c r="A15" s="109" t="s">
        <v>281</v>
      </c>
      <c r="B15" s="109"/>
      <c r="C15" s="109"/>
      <c r="D15" s="109"/>
      <c r="E15" s="115" t="s">
        <v>348</v>
      </c>
      <c r="F15" s="115"/>
      <c r="G15" s="115"/>
      <c r="H15" s="115"/>
      <c r="S15" s="54" t="s">
        <v>180</v>
      </c>
      <c r="T15" s="54" t="s">
        <v>187</v>
      </c>
      <c r="U15" s="54" t="s">
        <v>209</v>
      </c>
      <c r="V15" s="54" t="s">
        <v>195</v>
      </c>
      <c r="W15" s="54" t="s">
        <v>213</v>
      </c>
      <c r="X15"/>
      <c r="Y15"/>
      <c r="Z15"/>
    </row>
    <row r="16" spans="1:26" x14ac:dyDescent="0.25">
      <c r="A16" s="109" t="s">
        <v>7</v>
      </c>
      <c r="B16" s="109"/>
      <c r="C16" s="109"/>
      <c r="D16" s="109"/>
      <c r="E16" s="115" t="s">
        <v>326</v>
      </c>
      <c r="F16" s="84"/>
      <c r="G16" s="84"/>
      <c r="H16" s="84"/>
      <c r="I16" s="209" t="e">
        <f ca="1">OFFSET($D$5,1,MATCH($J14,$D$5:$H$5,0)-1,15,1)</f>
        <v>#N/A</v>
      </c>
      <c r="J16" s="210"/>
      <c r="K16" s="210"/>
      <c r="L16" s="210"/>
      <c r="M16" s="210"/>
      <c r="N16" s="210"/>
      <c r="O16" s="210"/>
      <c r="P16" s="210"/>
      <c r="S16" s="54" t="s">
        <v>181</v>
      </c>
      <c r="T16" s="54" t="s">
        <v>188</v>
      </c>
      <c r="U16" s="54" t="s">
        <v>210</v>
      </c>
      <c r="V16" s="54" t="s">
        <v>196</v>
      </c>
      <c r="W16" s="54" t="s">
        <v>226</v>
      </c>
      <c r="X16"/>
      <c r="Y16"/>
      <c r="Z16"/>
    </row>
    <row r="17" spans="1:26" ht="63" customHeight="1" x14ac:dyDescent="0.25">
      <c r="A17" s="130" t="s">
        <v>8</v>
      </c>
      <c r="B17" s="130"/>
      <c r="C17" s="130" t="str">
        <f>CONCATENATE((IF(OR(E9="",E9="NA"),"",E9)),", ",(IF(OR(A18="",A18="NA"),"",A18)),".",(IF(OR(C18="",C18="NA"),"",C18)),", near ",(IF(OR(C23="",C23="NA"),"",C23)),", ",(IF(OR(C20="",C20="NA"),"",C20)),", ",(IF(OR(C19="",C19="NA"),"",C19)),", ",(IF(OR(G20="",G20="NA"),"",G20)),", ",(IF(OR(C21="",C21="NA"),"",C21)),", ",(IF(OR(C22="",C22="NA"),"",C22)),", ",(IF(OR(G21="",G21="NA"),"",G21))," - ",(IF(OR(G22="",G22="NA"),"",G22)),".")</f>
        <v>Shraddha CHS Adityaraj Anchor, CTS No.356(pt), Redevelopement of "Building No. 52 Known as Shradha CHS LTD.", near Vikas High School &amp; Jr. College, Road Number 2, Kannamwar Nagar, Hariyali, Vikhroli East, Kurla, Mumbai - 400083.</v>
      </c>
      <c r="D17" s="130"/>
      <c r="E17" s="130"/>
      <c r="F17" s="130"/>
      <c r="G17" s="130"/>
      <c r="H17" s="130"/>
      <c r="S17" s="54" t="s">
        <v>182</v>
      </c>
      <c r="T17" s="54" t="s">
        <v>190</v>
      </c>
      <c r="U17" s="54" t="s">
        <v>211</v>
      </c>
      <c r="V17" s="54" t="s">
        <v>197</v>
      </c>
      <c r="W17" s="54" t="s">
        <v>214</v>
      </c>
      <c r="X17"/>
      <c r="Y17"/>
      <c r="Z17"/>
    </row>
    <row r="18" spans="1:26" x14ac:dyDescent="0.25">
      <c r="A18" s="115" t="s">
        <v>175</v>
      </c>
      <c r="B18" s="115"/>
      <c r="C18" s="115" t="s">
        <v>309</v>
      </c>
      <c r="D18" s="115"/>
      <c r="E18" s="115"/>
      <c r="F18" s="115"/>
      <c r="G18" s="115"/>
      <c r="H18" s="115"/>
      <c r="S18" s="54" t="s">
        <v>183</v>
      </c>
      <c r="T18" s="54" t="s">
        <v>191</v>
      </c>
      <c r="U18" s="54" t="s">
        <v>171</v>
      </c>
      <c r="V18" s="54" t="s">
        <v>198</v>
      </c>
      <c r="W18" s="54" t="s">
        <v>215</v>
      </c>
      <c r="X18"/>
      <c r="Y18"/>
      <c r="Z18"/>
    </row>
    <row r="19" spans="1:26" ht="15.75" customHeight="1" x14ac:dyDescent="0.25">
      <c r="A19" s="115" t="s">
        <v>160</v>
      </c>
      <c r="B19" s="115"/>
      <c r="C19" s="115" t="s">
        <v>311</v>
      </c>
      <c r="D19" s="115"/>
      <c r="E19" s="115"/>
      <c r="F19" s="115"/>
      <c r="G19" s="115"/>
      <c r="H19" s="115"/>
      <c r="S19" s="54" t="s">
        <v>184</v>
      </c>
      <c r="T19" s="54" t="s">
        <v>189</v>
      </c>
      <c r="U19" s="54"/>
      <c r="V19" s="54" t="s">
        <v>199</v>
      </c>
      <c r="W19" s="54" t="s">
        <v>216</v>
      </c>
      <c r="X19"/>
      <c r="Y19"/>
      <c r="Z19"/>
    </row>
    <row r="20" spans="1:26" ht="15.75" customHeight="1" x14ac:dyDescent="0.25">
      <c r="A20" s="130" t="s">
        <v>9</v>
      </c>
      <c r="B20" s="130"/>
      <c r="C20" s="84" t="s">
        <v>314</v>
      </c>
      <c r="D20" s="84"/>
      <c r="E20" s="115" t="s">
        <v>69</v>
      </c>
      <c r="F20" s="115"/>
      <c r="G20" s="115" t="s">
        <v>310</v>
      </c>
      <c r="H20" s="115"/>
      <c r="S20" s="54" t="s">
        <v>185</v>
      </c>
      <c r="T20" s="54" t="s">
        <v>192</v>
      </c>
      <c r="U20" s="54"/>
      <c r="V20" s="54" t="s">
        <v>200</v>
      </c>
      <c r="W20" s="54" t="s">
        <v>217</v>
      </c>
      <c r="X20"/>
      <c r="Y20"/>
      <c r="Z20"/>
    </row>
    <row r="21" spans="1:26" x14ac:dyDescent="0.25">
      <c r="A21" s="109" t="s">
        <v>11</v>
      </c>
      <c r="B21" s="109"/>
      <c r="C21" s="115" t="s">
        <v>315</v>
      </c>
      <c r="D21" s="115"/>
      <c r="E21" s="115" t="s">
        <v>10</v>
      </c>
      <c r="F21" s="115"/>
      <c r="G21" s="161" t="s">
        <v>171</v>
      </c>
      <c r="H21" s="161"/>
      <c r="S21" s="54" t="s">
        <v>186</v>
      </c>
      <c r="T21" s="54" t="s">
        <v>193</v>
      </c>
      <c r="U21" s="54"/>
      <c r="V21" s="54" t="s">
        <v>201</v>
      </c>
      <c r="W21" s="54" t="s">
        <v>218</v>
      </c>
      <c r="X21"/>
      <c r="Y21"/>
      <c r="Z21"/>
    </row>
    <row r="22" spans="1:26" x14ac:dyDescent="0.25">
      <c r="A22" s="109" t="s">
        <v>70</v>
      </c>
      <c r="B22" s="109"/>
      <c r="C22" s="115" t="s">
        <v>211</v>
      </c>
      <c r="D22" s="115"/>
      <c r="E22" s="115" t="s">
        <v>12</v>
      </c>
      <c r="F22" s="115"/>
      <c r="G22" s="115">
        <v>400083</v>
      </c>
      <c r="H22" s="115"/>
      <c r="S22" s="54"/>
      <c r="T22" s="54"/>
      <c r="U22" s="54"/>
      <c r="V22" s="54" t="s">
        <v>202</v>
      </c>
      <c r="W22" s="54" t="s">
        <v>219</v>
      </c>
      <c r="X22"/>
      <c r="Y22"/>
      <c r="Z22"/>
    </row>
    <row r="23" spans="1:26" ht="32.25" customHeight="1" x14ac:dyDescent="0.25">
      <c r="A23" s="109" t="s">
        <v>119</v>
      </c>
      <c r="B23" s="109"/>
      <c r="C23" s="115" t="s">
        <v>316</v>
      </c>
      <c r="D23" s="115"/>
      <c r="E23" s="130" t="s">
        <v>13</v>
      </c>
      <c r="F23" s="130"/>
      <c r="G23" s="115" t="s">
        <v>317</v>
      </c>
      <c r="H23" s="115"/>
      <c r="S23" s="54"/>
      <c r="T23" s="54"/>
      <c r="U23" s="54"/>
      <c r="V23" s="54" t="s">
        <v>203</v>
      </c>
      <c r="W23" s="54" t="s">
        <v>220</v>
      </c>
      <c r="X23"/>
      <c r="Y23"/>
      <c r="Z23"/>
    </row>
    <row r="24" spans="1:26" ht="15" customHeight="1" x14ac:dyDescent="0.25">
      <c r="A24" s="130" t="s">
        <v>72</v>
      </c>
      <c r="B24" s="130"/>
      <c r="C24" s="130"/>
      <c r="D24" s="130"/>
      <c r="E24" s="84" t="s">
        <v>14</v>
      </c>
      <c r="F24" s="84"/>
      <c r="G24" s="84"/>
      <c r="H24" s="84"/>
      <c r="S24" s="54"/>
      <c r="T24" s="54"/>
      <c r="U24" s="54"/>
      <c r="V24" s="54" t="s">
        <v>204</v>
      </c>
      <c r="W24" s="54" t="s">
        <v>221</v>
      </c>
      <c r="X24"/>
      <c r="Y24"/>
      <c r="Z24"/>
    </row>
    <row r="25" spans="1:26" ht="18.75" customHeight="1" x14ac:dyDescent="0.25">
      <c r="A25" s="130"/>
      <c r="B25" s="130"/>
      <c r="C25" s="130"/>
      <c r="D25" s="130"/>
      <c r="E25" s="84"/>
      <c r="F25" s="84"/>
      <c r="G25" s="84"/>
      <c r="H25" s="84"/>
      <c r="S25" s="54"/>
      <c r="T25" s="54"/>
      <c r="U25" s="54"/>
      <c r="V25" s="54" t="s">
        <v>205</v>
      </c>
      <c r="W25" s="54" t="s">
        <v>222</v>
      </c>
      <c r="X25"/>
      <c r="Y25"/>
      <c r="Z25"/>
    </row>
    <row r="26" spans="1:26" ht="15" customHeight="1" x14ac:dyDescent="0.25">
      <c r="A26" s="130" t="s">
        <v>15</v>
      </c>
      <c r="B26" s="130"/>
      <c r="C26" s="130"/>
      <c r="D26" s="130"/>
      <c r="E26" s="115" t="s">
        <v>16</v>
      </c>
      <c r="F26" s="115"/>
      <c r="G26" s="115"/>
      <c r="H26" s="115"/>
      <c r="S26" s="54"/>
      <c r="T26" s="54"/>
      <c r="U26" s="54"/>
      <c r="V26" s="54" t="s">
        <v>206</v>
      </c>
      <c r="W26" s="54" t="s">
        <v>223</v>
      </c>
      <c r="X26"/>
      <c r="Y26"/>
      <c r="Z26"/>
    </row>
    <row r="27" spans="1:26" ht="15" customHeight="1" x14ac:dyDescent="0.25">
      <c r="A27" s="109" t="s">
        <v>17</v>
      </c>
      <c r="B27" s="109"/>
      <c r="C27" s="109"/>
      <c r="D27" s="109"/>
      <c r="E27" s="115" t="str">
        <f>IF(AND(G21="Mumbai"),"Upper Class","Middle Class")</f>
        <v>Upper Class</v>
      </c>
      <c r="F27" s="115"/>
      <c r="G27" s="115"/>
      <c r="H27" s="115"/>
      <c r="S27" s="54"/>
      <c r="T27" s="54"/>
      <c r="U27" s="54"/>
      <c r="V27" s="54" t="s">
        <v>207</v>
      </c>
      <c r="W27" s="54" t="s">
        <v>224</v>
      </c>
      <c r="X27"/>
      <c r="Y27"/>
      <c r="Z27"/>
    </row>
    <row r="28" spans="1:26" x14ac:dyDescent="0.25">
      <c r="A28" s="109" t="s">
        <v>18</v>
      </c>
      <c r="B28" s="109"/>
      <c r="C28" s="109"/>
      <c r="D28" s="109"/>
      <c r="E28" s="115" t="s">
        <v>19</v>
      </c>
      <c r="F28" s="115"/>
      <c r="G28" s="115"/>
      <c r="H28" s="115"/>
      <c r="S28" s="54"/>
      <c r="T28" s="54"/>
      <c r="U28" s="54"/>
      <c r="V28" s="54" t="s">
        <v>208</v>
      </c>
      <c r="W28" s="54" t="s">
        <v>225</v>
      </c>
      <c r="X28"/>
      <c r="Y28"/>
      <c r="Z28"/>
    </row>
    <row r="29" spans="1:26" ht="15.75" customHeight="1" x14ac:dyDescent="0.25">
      <c r="A29" s="109" t="s">
        <v>20</v>
      </c>
      <c r="B29" s="109"/>
      <c r="C29" s="109"/>
      <c r="D29" s="109"/>
      <c r="E29" s="115" t="str">
        <f>IF(AND(G21="Mumbai"),"Developed","Developing")</f>
        <v>Developed</v>
      </c>
      <c r="F29" s="115"/>
      <c r="G29" s="115"/>
      <c r="H29" s="115"/>
    </row>
    <row r="30" spans="1:26" x14ac:dyDescent="0.25">
      <c r="A30" s="109" t="s">
        <v>21</v>
      </c>
      <c r="B30" s="109"/>
      <c r="C30" s="109"/>
      <c r="D30" s="109"/>
      <c r="E30" s="115" t="s">
        <v>22</v>
      </c>
      <c r="F30" s="115"/>
      <c r="G30" s="115"/>
      <c r="H30" s="115"/>
    </row>
    <row r="31" spans="1:26" ht="15.75" customHeight="1" x14ac:dyDescent="0.25">
      <c r="A31" s="109" t="s">
        <v>77</v>
      </c>
      <c r="B31" s="109"/>
      <c r="C31" s="109"/>
      <c r="D31" s="109"/>
      <c r="E31" s="115" t="s">
        <v>78</v>
      </c>
      <c r="F31" s="115"/>
      <c r="G31" s="115"/>
      <c r="H31" s="115"/>
    </row>
    <row r="32" spans="1:26" ht="15" customHeight="1" x14ac:dyDescent="0.25">
      <c r="A32" s="109" t="s">
        <v>29</v>
      </c>
      <c r="B32" s="109"/>
      <c r="C32" s="109"/>
      <c r="D32" s="109"/>
      <c r="E32" s="115"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 + Commercial</v>
      </c>
      <c r="F32" s="115"/>
      <c r="G32" s="115"/>
      <c r="H32" s="115"/>
    </row>
    <row r="33" spans="1:19" ht="15.75" customHeight="1" x14ac:dyDescent="0.25">
      <c r="A33" s="109" t="s">
        <v>89</v>
      </c>
      <c r="B33" s="109"/>
      <c r="C33" s="109"/>
      <c r="D33" s="109"/>
      <c r="E33" s="115" t="s">
        <v>30</v>
      </c>
      <c r="F33" s="115"/>
      <c r="G33" s="115"/>
      <c r="H33" s="115"/>
    </row>
    <row r="34" spans="1:19" s="22" customFormat="1" x14ac:dyDescent="0.25">
      <c r="A34" s="160" t="s">
        <v>90</v>
      </c>
      <c r="B34" s="160"/>
      <c r="C34" s="157" t="s">
        <v>172</v>
      </c>
      <c r="D34" s="158"/>
      <c r="E34" s="159"/>
      <c r="F34" s="157" t="s">
        <v>28</v>
      </c>
      <c r="G34" s="158"/>
      <c r="H34" s="159"/>
      <c r="S34" s="22" t="e">
        <f ca="1">OFFSET($S$14,1,MATCH($G21,$S$14:$W$14,0)-1,15,1)</f>
        <v>#VALUE!</v>
      </c>
    </row>
    <row r="35" spans="1:19" s="22" customFormat="1" x14ac:dyDescent="0.25">
      <c r="A35" s="142" t="s">
        <v>23</v>
      </c>
      <c r="B35" s="142" t="s">
        <v>27</v>
      </c>
      <c r="C35" s="143" t="s">
        <v>320</v>
      </c>
      <c r="D35" s="144"/>
      <c r="E35" s="145"/>
      <c r="F35" s="215" t="s">
        <v>324</v>
      </c>
      <c r="G35" s="144"/>
      <c r="H35" s="145"/>
    </row>
    <row r="36" spans="1:19" x14ac:dyDescent="0.25">
      <c r="A36" s="142" t="s">
        <v>24</v>
      </c>
      <c r="B36" s="142" t="s">
        <v>27</v>
      </c>
      <c r="C36" s="143" t="s">
        <v>321</v>
      </c>
      <c r="D36" s="144"/>
      <c r="E36" s="145"/>
      <c r="F36" s="143" t="s">
        <v>322</v>
      </c>
      <c r="G36" s="144"/>
      <c r="H36" s="145"/>
    </row>
    <row r="37" spans="1:19" s="22" customFormat="1" x14ac:dyDescent="0.25">
      <c r="A37" s="142" t="s">
        <v>26</v>
      </c>
      <c r="B37" s="142" t="s">
        <v>27</v>
      </c>
      <c r="C37" s="143" t="s">
        <v>318</v>
      </c>
      <c r="D37" s="144"/>
      <c r="E37" s="145"/>
      <c r="F37" s="143" t="s">
        <v>314</v>
      </c>
      <c r="G37" s="144"/>
      <c r="H37" s="145"/>
    </row>
    <row r="38" spans="1:19" x14ac:dyDescent="0.25">
      <c r="A38" s="142" t="s">
        <v>25</v>
      </c>
      <c r="B38" s="142" t="s">
        <v>27</v>
      </c>
      <c r="C38" s="143" t="s">
        <v>319</v>
      </c>
      <c r="D38" s="144"/>
      <c r="E38" s="145"/>
      <c r="F38" s="143" t="s">
        <v>323</v>
      </c>
      <c r="G38" s="144"/>
      <c r="H38" s="145"/>
    </row>
    <row r="39" spans="1:19" x14ac:dyDescent="0.25">
      <c r="A39" s="109" t="s">
        <v>282</v>
      </c>
      <c r="B39" s="109"/>
      <c r="C39" s="109"/>
      <c r="D39" s="109"/>
      <c r="E39" s="109"/>
      <c r="F39" s="109"/>
      <c r="G39" s="109"/>
      <c r="H39" s="109"/>
    </row>
    <row r="40" spans="1:19" ht="15.75" customHeight="1" x14ac:dyDescent="0.25">
      <c r="A40" s="109" t="s">
        <v>163</v>
      </c>
      <c r="B40" s="109"/>
      <c r="C40" s="135" t="s">
        <v>312</v>
      </c>
      <c r="D40" s="135"/>
      <c r="E40" s="135"/>
      <c r="F40" s="135"/>
      <c r="G40" s="135"/>
      <c r="H40" s="135"/>
    </row>
    <row r="41" spans="1:19" x14ac:dyDescent="0.25">
      <c r="A41" s="109" t="s">
        <v>159</v>
      </c>
      <c r="B41" s="109"/>
      <c r="C41" s="117" t="s">
        <v>313</v>
      </c>
      <c r="D41" s="115"/>
      <c r="E41" s="115"/>
      <c r="F41" s="115"/>
      <c r="G41" s="115"/>
      <c r="H41" s="115"/>
    </row>
    <row r="42" spans="1:19" x14ac:dyDescent="0.25">
      <c r="A42" s="135" t="s">
        <v>31</v>
      </c>
      <c r="B42" s="135"/>
      <c r="C42" s="135"/>
      <c r="D42" s="135"/>
      <c r="E42" s="135"/>
      <c r="F42" s="135"/>
      <c r="G42" s="135"/>
      <c r="H42" s="135"/>
    </row>
    <row r="43" spans="1:19" x14ac:dyDescent="0.25">
      <c r="A43" s="109" t="s">
        <v>32</v>
      </c>
      <c r="B43" s="109"/>
      <c r="C43" s="109"/>
      <c r="D43" s="109"/>
      <c r="E43" s="146">
        <v>928.94</v>
      </c>
      <c r="F43" s="146"/>
      <c r="G43" s="146"/>
      <c r="H43" s="146"/>
    </row>
    <row r="44" spans="1:19" x14ac:dyDescent="0.25">
      <c r="A44" s="109" t="s">
        <v>33</v>
      </c>
      <c r="B44" s="109"/>
      <c r="C44" s="109"/>
      <c r="D44" s="109"/>
      <c r="E44" s="149">
        <v>3</v>
      </c>
      <c r="F44" s="149"/>
      <c r="G44" s="149"/>
      <c r="H44" s="149"/>
    </row>
    <row r="45" spans="1:19" x14ac:dyDescent="0.25">
      <c r="A45" s="109" t="s">
        <v>34</v>
      </c>
      <c r="B45" s="109"/>
      <c r="C45" s="109"/>
      <c r="D45" s="109"/>
      <c r="E45" s="149">
        <f>E47/E43-E44</f>
        <v>3.0372036945335541</v>
      </c>
      <c r="F45" s="149"/>
      <c r="G45" s="149"/>
      <c r="H45" s="149"/>
    </row>
    <row r="46" spans="1:19" x14ac:dyDescent="0.25">
      <c r="A46" s="109" t="s">
        <v>35</v>
      </c>
      <c r="B46" s="109"/>
      <c r="C46" s="109"/>
      <c r="D46" s="109"/>
      <c r="E46" s="149">
        <f>E44+E45</f>
        <v>6.0372036945335541</v>
      </c>
      <c r="F46" s="149"/>
      <c r="G46" s="149"/>
      <c r="H46" s="149"/>
      <c r="I46" s="65">
        <f>E47/E43</f>
        <v>6.0372036945335541</v>
      </c>
    </row>
    <row r="47" spans="1:19" x14ac:dyDescent="0.25">
      <c r="A47" s="109" t="s">
        <v>88</v>
      </c>
      <c r="B47" s="109"/>
      <c r="C47" s="109"/>
      <c r="D47" s="109"/>
      <c r="E47" s="150">
        <v>5608.2</v>
      </c>
      <c r="F47" s="150"/>
      <c r="G47" s="150"/>
      <c r="H47" s="150"/>
    </row>
    <row r="48" spans="1:19" x14ac:dyDescent="0.25">
      <c r="A48" s="84" t="s">
        <v>36</v>
      </c>
      <c r="B48" s="84"/>
      <c r="C48" s="84"/>
      <c r="D48" s="84"/>
      <c r="E48" s="84" t="s">
        <v>327</v>
      </c>
      <c r="F48" s="84"/>
      <c r="G48" s="84"/>
      <c r="H48" s="84"/>
    </row>
    <row r="49" spans="1:24" x14ac:dyDescent="0.25">
      <c r="A49" s="135" t="s">
        <v>37</v>
      </c>
      <c r="B49" s="135"/>
      <c r="C49" s="135"/>
      <c r="D49" s="135"/>
      <c r="E49" s="135"/>
      <c r="F49" s="135"/>
      <c r="G49" s="135"/>
      <c r="H49" s="135"/>
    </row>
    <row r="50" spans="1:24" ht="33.75" customHeight="1" x14ac:dyDescent="0.25">
      <c r="A50" s="133" t="s">
        <v>148</v>
      </c>
      <c r="B50" s="134"/>
      <c r="C50" s="97" t="s">
        <v>258</v>
      </c>
      <c r="D50" s="98"/>
      <c r="E50" s="98"/>
      <c r="F50" s="98"/>
      <c r="G50" s="98"/>
      <c r="H50" s="99"/>
      <c r="R50" t="s">
        <v>255</v>
      </c>
      <c r="S50" t="s">
        <v>171</v>
      </c>
      <c r="T50" t="s">
        <v>179</v>
      </c>
      <c r="U50" t="s">
        <v>194</v>
      </c>
      <c r="V50" t="s">
        <v>189</v>
      </c>
    </row>
    <row r="51" spans="1:24" ht="15.75" customHeight="1" x14ac:dyDescent="0.25">
      <c r="A51" s="133" t="s">
        <v>38</v>
      </c>
      <c r="B51" s="134"/>
      <c r="C51" s="133" t="s">
        <v>352</v>
      </c>
      <c r="D51" s="151"/>
      <c r="E51" s="134"/>
      <c r="F51" s="18" t="s">
        <v>39</v>
      </c>
      <c r="G51" s="152" t="s">
        <v>355</v>
      </c>
      <c r="H51" s="134"/>
      <c r="R51"/>
      <c r="S51" t="s">
        <v>256</v>
      </c>
      <c r="T51" t="s">
        <v>261</v>
      </c>
      <c r="U51" t="s">
        <v>272</v>
      </c>
      <c r="V51" t="s">
        <v>277</v>
      </c>
    </row>
    <row r="52" spans="1:24" x14ac:dyDescent="0.25">
      <c r="A52" s="133" t="s">
        <v>40</v>
      </c>
      <c r="B52" s="134"/>
      <c r="C52" s="133" t="str">
        <f>C51</f>
        <v>Mhada-9/1243/2024</v>
      </c>
      <c r="D52" s="151"/>
      <c r="E52" s="134"/>
      <c r="F52" s="18" t="s">
        <v>39</v>
      </c>
      <c r="G52" s="152" t="str">
        <f>G51</f>
        <v>18/01/2024.</v>
      </c>
      <c r="H52" s="134"/>
      <c r="R52"/>
      <c r="S52" t="s">
        <v>257</v>
      </c>
      <c r="T52" t="s">
        <v>262</v>
      </c>
      <c r="U52" t="s">
        <v>270</v>
      </c>
      <c r="V52" t="s">
        <v>278</v>
      </c>
    </row>
    <row r="53" spans="1:24" s="23" customFormat="1" ht="32.450000000000003" customHeight="1" x14ac:dyDescent="0.25">
      <c r="A53" s="205" t="s">
        <v>152</v>
      </c>
      <c r="B53" s="206"/>
      <c r="C53" s="211" t="s">
        <v>356</v>
      </c>
      <c r="D53" s="212"/>
      <c r="E53" s="213"/>
      <c r="F53" s="69" t="s">
        <v>39</v>
      </c>
      <c r="G53" s="214">
        <v>45609</v>
      </c>
      <c r="H53" s="213"/>
      <c r="R53"/>
      <c r="S53" t="s">
        <v>258</v>
      </c>
      <c r="T53" t="s">
        <v>263</v>
      </c>
      <c r="U53" t="s">
        <v>260</v>
      </c>
      <c r="V53" t="s">
        <v>279</v>
      </c>
    </row>
    <row r="54" spans="1:24" s="23" customFormat="1" ht="81.599999999999994" customHeight="1" x14ac:dyDescent="0.25">
      <c r="A54" s="207"/>
      <c r="B54" s="208"/>
      <c r="C54" s="211" t="s">
        <v>359</v>
      </c>
      <c r="D54" s="212"/>
      <c r="E54" s="213"/>
      <c r="F54" s="69" t="s">
        <v>118</v>
      </c>
      <c r="G54" s="214">
        <v>45766</v>
      </c>
      <c r="H54" s="213"/>
      <c r="R54"/>
      <c r="S54" t="s">
        <v>259</v>
      </c>
      <c r="T54" t="s">
        <v>266</v>
      </c>
      <c r="U54" t="s">
        <v>273</v>
      </c>
    </row>
    <row r="55" spans="1:24" s="23" customFormat="1" hidden="1" x14ac:dyDescent="0.25">
      <c r="A55" s="153" t="s">
        <v>283</v>
      </c>
      <c r="B55" s="154"/>
      <c r="C55" s="133" t="str">
        <f>C54</f>
        <v>This C.C. is Further Extended upto top of 22nd floor of 'Wing A' &amp; 'Wing B' along with parking tower (including L.M.R. &amp; O.H.T.) as per approved amended plan dtd. 07.11.2024.</v>
      </c>
      <c r="D55" s="151"/>
      <c r="E55" s="134"/>
      <c r="F55" s="18" t="s">
        <v>39</v>
      </c>
      <c r="G55" s="133"/>
      <c r="H55" s="134"/>
      <c r="R55"/>
      <c r="S55" t="s">
        <v>258</v>
      </c>
      <c r="T55" t="s">
        <v>263</v>
      </c>
      <c r="U55" t="s">
        <v>260</v>
      </c>
      <c r="V55" t="s">
        <v>279</v>
      </c>
    </row>
    <row r="56" spans="1:24" s="23" customFormat="1" ht="32.25" hidden="1" customHeight="1" x14ac:dyDescent="0.25">
      <c r="A56" s="155"/>
      <c r="B56" s="156"/>
      <c r="C56" s="120"/>
      <c r="D56" s="121"/>
      <c r="E56" s="121"/>
      <c r="F56" s="121"/>
      <c r="G56" s="121"/>
      <c r="H56" s="122"/>
      <c r="R56"/>
      <c r="S56" t="s">
        <v>260</v>
      </c>
      <c r="T56" t="s">
        <v>264</v>
      </c>
      <c r="U56" t="s">
        <v>274</v>
      </c>
      <c r="V56" s="21"/>
      <c r="W56" s="21"/>
      <c r="X56" s="21"/>
    </row>
    <row r="57" spans="1:24" s="23" customFormat="1" ht="34.5" hidden="1" customHeight="1" x14ac:dyDescent="0.25">
      <c r="A57" s="153" t="s">
        <v>284</v>
      </c>
      <c r="B57" s="154"/>
      <c r="C57" s="133">
        <f>C56</f>
        <v>0</v>
      </c>
      <c r="D57" s="151"/>
      <c r="E57" s="134"/>
      <c r="F57" s="18" t="s">
        <v>39</v>
      </c>
      <c r="G57" s="133">
        <f>G56</f>
        <v>0</v>
      </c>
      <c r="H57" s="134"/>
      <c r="R57"/>
      <c r="S57" s="21"/>
      <c r="T57" t="s">
        <v>265</v>
      </c>
      <c r="U57" t="s">
        <v>275</v>
      </c>
      <c r="V57" s="21"/>
      <c r="W57" s="21"/>
      <c r="X57" s="21"/>
    </row>
    <row r="58" spans="1:24" s="23" customFormat="1" ht="41.25" hidden="1" customHeight="1" x14ac:dyDescent="0.25">
      <c r="A58" s="155"/>
      <c r="B58" s="156"/>
      <c r="C58" s="133"/>
      <c r="D58" s="151"/>
      <c r="E58" s="151"/>
      <c r="F58" s="151"/>
      <c r="G58" s="151"/>
      <c r="H58" s="134"/>
      <c r="R58"/>
      <c r="S58" s="21"/>
      <c r="T58" t="s">
        <v>267</v>
      </c>
      <c r="U58" t="s">
        <v>276</v>
      </c>
      <c r="V58" s="21"/>
      <c r="W58" s="21"/>
      <c r="X58" s="21"/>
    </row>
    <row r="59" spans="1:24" s="23" customFormat="1" ht="15.75" hidden="1" customHeight="1" x14ac:dyDescent="0.25">
      <c r="A59" s="153" t="s">
        <v>285</v>
      </c>
      <c r="B59" s="154"/>
      <c r="C59" s="133">
        <f>C58</f>
        <v>0</v>
      </c>
      <c r="D59" s="151"/>
      <c r="E59" s="134"/>
      <c r="F59" s="18" t="s">
        <v>39</v>
      </c>
      <c r="G59" s="133">
        <f>G58</f>
        <v>0</v>
      </c>
      <c r="H59" s="134"/>
      <c r="R59"/>
      <c r="S59" s="21"/>
      <c r="T59" t="s">
        <v>268</v>
      </c>
      <c r="U59" s="21" t="s">
        <v>299</v>
      </c>
      <c r="V59" s="21"/>
      <c r="W59" s="21"/>
      <c r="X59" s="21"/>
    </row>
    <row r="60" spans="1:24" s="23" customFormat="1" ht="33.75" hidden="1" customHeight="1" x14ac:dyDescent="0.25">
      <c r="A60" s="155"/>
      <c r="B60" s="156"/>
      <c r="C60" s="133"/>
      <c r="D60" s="151"/>
      <c r="E60" s="151"/>
      <c r="F60" s="151"/>
      <c r="G60" s="151"/>
      <c r="H60" s="134"/>
      <c r="R60"/>
      <c r="S60" s="21"/>
      <c r="T60" t="s">
        <v>269</v>
      </c>
      <c r="U60" s="21"/>
      <c r="V60" s="21"/>
      <c r="W60" s="21"/>
      <c r="X60" s="21"/>
    </row>
    <row r="61" spans="1:24" x14ac:dyDescent="0.25">
      <c r="A61" s="200" t="s">
        <v>41</v>
      </c>
      <c r="B61" s="202"/>
      <c r="C61" s="200" t="s">
        <v>102</v>
      </c>
      <c r="D61" s="201"/>
      <c r="E61" s="202"/>
      <c r="F61" s="45" t="s">
        <v>39</v>
      </c>
      <c r="G61" s="203" t="s">
        <v>27</v>
      </c>
      <c r="H61" s="204"/>
      <c r="R61"/>
      <c r="T61" t="s">
        <v>271</v>
      </c>
    </row>
    <row r="62" spans="1:24" x14ac:dyDescent="0.25">
      <c r="A62" s="168" t="s">
        <v>43</v>
      </c>
      <c r="B62" s="168"/>
      <c r="C62" s="168"/>
      <c r="D62" s="168"/>
      <c r="E62" s="168"/>
      <c r="F62" s="168"/>
      <c r="G62" s="168"/>
      <c r="H62" s="168"/>
      <c r="T62" t="s">
        <v>280</v>
      </c>
    </row>
    <row r="63" spans="1:24" x14ac:dyDescent="0.25">
      <c r="A63" s="130" t="s">
        <v>87</v>
      </c>
      <c r="B63" s="130"/>
      <c r="C63" s="130"/>
      <c r="D63" s="109">
        <f>E47</f>
        <v>5608.2</v>
      </c>
      <c r="E63" s="109"/>
      <c r="F63" s="109"/>
      <c r="G63" s="109"/>
      <c r="H63" s="109"/>
      <c r="R63"/>
    </row>
    <row r="64" spans="1:24" x14ac:dyDescent="0.25">
      <c r="A64" s="115" t="s">
        <v>44</v>
      </c>
      <c r="B64" s="84"/>
      <c r="C64" s="84"/>
      <c r="D64" s="84" t="s">
        <v>346</v>
      </c>
      <c r="E64" s="84"/>
      <c r="F64" s="84"/>
      <c r="G64" s="84"/>
      <c r="H64" s="84"/>
      <c r="I64" s="24"/>
      <c r="R64"/>
    </row>
    <row r="65" spans="1:19" x14ac:dyDescent="0.25">
      <c r="A65" s="138" t="s">
        <v>45</v>
      </c>
      <c r="B65" s="139"/>
      <c r="C65" s="140"/>
      <c r="D65" s="136" t="s">
        <v>329</v>
      </c>
      <c r="E65" s="137"/>
      <c r="F65" s="137"/>
      <c r="G65" s="137"/>
      <c r="H65" s="137"/>
      <c r="R65"/>
    </row>
    <row r="66" spans="1:19" ht="15.75" customHeight="1" x14ac:dyDescent="0.25">
      <c r="A66" s="138" t="s">
        <v>85</v>
      </c>
      <c r="B66" s="139"/>
      <c r="C66" s="139"/>
      <c r="D66" s="193" t="s">
        <v>330</v>
      </c>
      <c r="E66" s="194"/>
      <c r="F66" s="194"/>
      <c r="G66" s="194"/>
      <c r="H66" s="195"/>
      <c r="R66"/>
    </row>
    <row r="67" spans="1:19" ht="15.75" hidden="1" customHeight="1" x14ac:dyDescent="0.25">
      <c r="A67" s="189"/>
      <c r="B67" s="190"/>
      <c r="C67" s="190"/>
      <c r="D67" s="196" t="s">
        <v>300</v>
      </c>
      <c r="E67" s="197"/>
      <c r="F67" s="197"/>
      <c r="G67" s="197"/>
      <c r="H67" s="198"/>
      <c r="R67"/>
    </row>
    <row r="68" spans="1:19" ht="15.75" hidden="1" customHeight="1" x14ac:dyDescent="0.25">
      <c r="A68" s="191"/>
      <c r="B68" s="192"/>
      <c r="C68" s="192"/>
      <c r="D68" s="186" t="s">
        <v>167</v>
      </c>
      <c r="E68" s="187"/>
      <c r="F68" s="187"/>
      <c r="G68" s="187"/>
      <c r="H68" s="188"/>
      <c r="S68"/>
    </row>
    <row r="69" spans="1:19" ht="15.75" customHeight="1" x14ac:dyDescent="0.25">
      <c r="A69" s="109" t="s">
        <v>42</v>
      </c>
      <c r="B69" s="109"/>
      <c r="C69" s="109"/>
      <c r="D69" s="147" t="s">
        <v>331</v>
      </c>
      <c r="E69" s="147"/>
      <c r="F69" s="147"/>
      <c r="G69" s="147"/>
      <c r="H69" s="147"/>
      <c r="J69" s="25"/>
      <c r="K69" s="24"/>
      <c r="N69" s="24"/>
      <c r="S69"/>
    </row>
    <row r="70" spans="1:19" ht="15.75" customHeight="1" x14ac:dyDescent="0.25">
      <c r="A70" s="109" t="s">
        <v>83</v>
      </c>
      <c r="B70" s="109"/>
      <c r="C70" s="109"/>
      <c r="D70" s="148" t="str">
        <f>(IF(G61="NA","60 Years After Completion",IF(G61&lt;&gt;"NA",""&amp;60-ROUNDDOWN((E3-G61)/360,0)&amp;" Years"," ")))</f>
        <v>60 Years After Completion</v>
      </c>
      <c r="E70" s="148"/>
      <c r="F70" s="148"/>
      <c r="G70" s="148"/>
      <c r="H70" s="148"/>
      <c r="N70" s="24"/>
      <c r="S70"/>
    </row>
    <row r="71" spans="1:19" ht="15.75" customHeight="1" x14ac:dyDescent="0.25">
      <c r="A71" s="109" t="s">
        <v>84</v>
      </c>
      <c r="B71" s="109"/>
      <c r="C71" s="109"/>
      <c r="D71" s="130" t="s">
        <v>22</v>
      </c>
      <c r="E71" s="130"/>
      <c r="F71" s="130"/>
      <c r="G71" s="130"/>
      <c r="H71" s="130"/>
      <c r="J71" s="26"/>
      <c r="K71" s="26"/>
      <c r="S71"/>
    </row>
    <row r="72" spans="1:19" ht="34.5" customHeight="1" x14ac:dyDescent="0.25">
      <c r="A72" s="84" t="s">
        <v>333</v>
      </c>
      <c r="B72" s="84"/>
      <c r="C72" s="84"/>
      <c r="D72" s="115" t="s">
        <v>332</v>
      </c>
      <c r="E72" s="115"/>
      <c r="F72" s="115"/>
      <c r="G72" s="115"/>
      <c r="H72" s="115"/>
      <c r="I72" s="21" t="s">
        <v>351</v>
      </c>
      <c r="S72"/>
    </row>
    <row r="73" spans="1:19" x14ac:dyDescent="0.25">
      <c r="A73" s="130" t="s">
        <v>145</v>
      </c>
      <c r="B73" s="130"/>
      <c r="C73" s="130"/>
      <c r="D73" s="130" t="s">
        <v>27</v>
      </c>
      <c r="E73" s="130"/>
      <c r="F73" s="130"/>
      <c r="G73" s="130"/>
      <c r="H73" s="130"/>
      <c r="I73" s="27"/>
      <c r="J73" s="27"/>
      <c r="K73" s="27"/>
      <c r="L73" s="27"/>
      <c r="M73" s="27"/>
      <c r="N73" s="27"/>
    </row>
    <row r="74" spans="1:19" ht="15.75" customHeight="1" x14ac:dyDescent="0.25">
      <c r="A74" s="185" t="s">
        <v>82</v>
      </c>
      <c r="B74" s="185"/>
      <c r="C74" s="185"/>
      <c r="D74" s="136" t="str">
        <f ca="1">(IF(G80&gt;95%,"Nothing",IF(G80&gt;0%,"Cement, Aggregate, Steel, etc",IF(G80=0%,"Work not yet Started"))))</f>
        <v>Cement, Aggregate, Steel, etc</v>
      </c>
      <c r="E74" s="136"/>
      <c r="F74" s="136"/>
      <c r="G74" s="136"/>
      <c r="H74" s="136"/>
      <c r="J74" s="26"/>
      <c r="S74"/>
    </row>
    <row r="75" spans="1:19" ht="33.75" customHeight="1" thickBot="1" x14ac:dyDescent="0.3">
      <c r="A75" s="199" t="s">
        <v>115</v>
      </c>
      <c r="B75" s="199"/>
      <c r="C75" s="199"/>
      <c r="D75" s="136" t="str">
        <f ca="1">(IF(D74="Nothing","Yes",IF(D74="Cement, Aggregate, Steel, etc","Under Construction",IF(D74="Work not yet Started","Work not yet Started"))))</f>
        <v>Under Construction</v>
      </c>
      <c r="E75" s="136"/>
      <c r="F75" s="136" t="str">
        <f ca="1">(IF(D74="Nothing","Yes",IF(D74="Cement, Aggregate, Steel, etc","Under Construction",IF(D74="Work not yet Started","Work not yet Started"))))</f>
        <v>Under Construction</v>
      </c>
      <c r="G75" s="136"/>
      <c r="H75" s="136"/>
      <c r="S75"/>
    </row>
    <row r="76" spans="1:19" ht="15.75" customHeight="1" x14ac:dyDescent="0.25">
      <c r="A76" s="125" t="s">
        <v>137</v>
      </c>
      <c r="B76" s="126"/>
      <c r="C76" s="127" t="str">
        <f>D66</f>
        <v>A &amp; B Wing = G + 1st to 22nd Floor</v>
      </c>
      <c r="D76" s="128"/>
      <c r="E76" s="128"/>
      <c r="F76" s="128"/>
      <c r="G76" s="128"/>
      <c r="H76" s="129"/>
      <c r="I76" s="49" t="str">
        <f ca="1">IF(D89=100%,"All work Completed. Possession granted to the Building.",IF(D88=100%,"All work Completed, Waiting for OC",I77&amp;""&amp;I78&amp;""&amp;J77&amp;""&amp;J76&amp;" "&amp;J78))</f>
        <v>Excavation, Plinth, RCC Slab, Brickwork Completed, Internal Plaster upto 20 Floor, External Plaster upto 18 Floor Completed</v>
      </c>
      <c r="J76" s="50"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Internal Plaster upto 20 Floor, External Plaster upto 18 Floor</v>
      </c>
      <c r="S76"/>
    </row>
    <row r="77" spans="1:19" x14ac:dyDescent="0.25">
      <c r="A77" s="16" t="s">
        <v>139</v>
      </c>
      <c r="B77" s="47">
        <f>IF(AND(ISNUMBER(SEARCH("1B",C76))),1,IF(AND(ISNUMBER(SEARCH("2B",C76))),2,IF(AND(ISNUMBER(SEARCH("3B",C76))),3,IF(AND(ISNUMBER(SEARCH("4B",C76))),4,IF(ISNUMBER(SEARCH("5B",C76)),5,0)))))</f>
        <v>0</v>
      </c>
      <c r="C77" s="47" t="s">
        <v>68</v>
      </c>
      <c r="D77" s="47">
        <v>1</v>
      </c>
      <c r="E77" s="47" t="s">
        <v>67</v>
      </c>
      <c r="F77" s="47">
        <v>0</v>
      </c>
      <c r="G77" s="48" t="s">
        <v>76</v>
      </c>
      <c r="H77" s="17">
        <f ca="1">--TRIM(RIGHT(SUBSTITUTE(LEFT(C76,_xlfn.AGGREGATE(16,6,FIND({0,1,2,3,4,5,6,7,8,9},C76,ROW(INDIRECT("1:"&amp;LEN(C76)))),1))," ",REPT(" ",LEN(C76))),LEN(C76)))</f>
        <v>22</v>
      </c>
      <c r="I77" s="51" t="str">
        <f ca="1">IF(D80=100%,"Excavation","")&amp;IF(D81=100%,", Plinth","")&amp;IF(D82=100%,", RCC Slab","")&amp;IF(D83=100%,", Brickwork","")&amp;IF(D84=100%,", Internal Plaster","")&amp;IF(D85=100%,", External Plaster","")&amp;IF(D86=100%,", Flooring","")&amp;IF(D87=100%,", Painting","")&amp;IF(D88=100%,", Building common Amenities","")</f>
        <v>Excavation, Plinth, RCC Slab, Brickwork</v>
      </c>
      <c r="J77" s="52"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ht="34.9" customHeight="1" x14ac:dyDescent="0.25">
      <c r="A78" s="123" t="s">
        <v>86</v>
      </c>
      <c r="B78" s="124"/>
      <c r="C78" s="131" t="str">
        <f ca="1">I76</f>
        <v>Excavation, Plinth, RCC Slab, Brickwork Completed, Internal Plaster upto 20 Floor, External Plaster upto 18 Floor Completed</v>
      </c>
      <c r="D78" s="131"/>
      <c r="E78" s="131"/>
      <c r="F78" s="131"/>
      <c r="G78" s="131"/>
      <c r="H78" s="132"/>
      <c r="I78" s="51" t="str">
        <f ca="1">IF(I77&lt;&gt;""," Completed","")</f>
        <v xml:space="preserve"> Completed</v>
      </c>
      <c r="J78" s="52" t="str">
        <f ca="1">IF(J76&lt;&gt;"","Completed","")</f>
        <v>Completed</v>
      </c>
      <c r="S78"/>
    </row>
    <row r="79" spans="1:19" ht="15.75" customHeight="1" x14ac:dyDescent="0.25">
      <c r="A79" s="106" t="s">
        <v>46</v>
      </c>
      <c r="B79" s="107"/>
      <c r="C79" s="43" t="s">
        <v>136</v>
      </c>
      <c r="D79" s="43" t="s">
        <v>79</v>
      </c>
      <c r="E79" s="107" t="s">
        <v>81</v>
      </c>
      <c r="F79" s="107"/>
      <c r="G79" s="107" t="s">
        <v>80</v>
      </c>
      <c r="H79" s="141"/>
      <c r="I79" s="13" t="s">
        <v>138</v>
      </c>
      <c r="J79" s="28">
        <f ca="1">H77*25%</f>
        <v>5.5</v>
      </c>
      <c r="S79"/>
    </row>
    <row r="80" spans="1:19" x14ac:dyDescent="0.25">
      <c r="A80" s="106" t="s">
        <v>125</v>
      </c>
      <c r="B80" s="107"/>
      <c r="C80" s="66">
        <f ca="1">J81</f>
        <v>22</v>
      </c>
      <c r="D80" s="19">
        <f ca="1">((100/H77)*C80)/100</f>
        <v>1.0000000000000002</v>
      </c>
      <c r="E80" s="100">
        <f ca="1">(((C81/H77*10)+(40/(D77+F77+H77)*C82)+(7.5/(H77)*C83)+(7.5/(H77)*C84)+(10/H77*C85)+(10/H77*C86)+(5/H77*C87)+(5/H77*C88)+(5/H77*C89))/100)</f>
        <v>0.72499999999999998</v>
      </c>
      <c r="F80" s="174"/>
      <c r="G80" s="100">
        <f ca="1">((((C80/H77)*20)+((C81/H77)*25)+(30/(H77+F77+D77)*C82)+(5/H77*C83)+(5/H77*C84)+(5/H77*C85)+(5/H77*C86)+(0/H77*C87)+(0/H77*C88)+(5/H77*C89))/100)</f>
        <v>0.88636363636363635</v>
      </c>
      <c r="H80" s="101"/>
      <c r="I80" s="13" t="s">
        <v>97</v>
      </c>
      <c r="J80" s="29">
        <f ca="1">H77*50%</f>
        <v>11</v>
      </c>
    </row>
    <row r="81" spans="1:19" x14ac:dyDescent="0.25">
      <c r="A81" s="106" t="s">
        <v>47</v>
      </c>
      <c r="B81" s="107"/>
      <c r="C81" s="66">
        <f ca="1">J89</f>
        <v>22</v>
      </c>
      <c r="D81" s="19">
        <f ca="1">((100/H77)*C81)/100</f>
        <v>1.0000000000000002</v>
      </c>
      <c r="E81" s="102"/>
      <c r="F81" s="175"/>
      <c r="G81" s="102"/>
      <c r="H81" s="103"/>
      <c r="I81" s="13" t="s">
        <v>98</v>
      </c>
      <c r="J81" s="29">
        <f ca="1">H77</f>
        <v>22</v>
      </c>
      <c r="S81"/>
    </row>
    <row r="82" spans="1:19" ht="15.75" customHeight="1" x14ac:dyDescent="0.25">
      <c r="A82" s="106" t="s">
        <v>126</v>
      </c>
      <c r="B82" s="107"/>
      <c r="C82" s="43">
        <v>23</v>
      </c>
      <c r="D82" s="19">
        <f ca="1">((100/(D77+F77+H77))*C82)/100</f>
        <v>1</v>
      </c>
      <c r="E82" s="102"/>
      <c r="F82" s="175"/>
      <c r="G82" s="102"/>
      <c r="H82" s="103"/>
      <c r="I82" s="13" t="s">
        <v>99</v>
      </c>
      <c r="J82" s="30">
        <f ca="1">(IF(B77&gt;1,(H77/(B77+2)),H77/4))</f>
        <v>5.5</v>
      </c>
      <c r="S82"/>
    </row>
    <row r="83" spans="1:19" ht="15.75" customHeight="1" x14ac:dyDescent="0.25">
      <c r="A83" s="106" t="s">
        <v>133</v>
      </c>
      <c r="B83" s="107" t="s">
        <v>127</v>
      </c>
      <c r="C83" s="43">
        <v>22</v>
      </c>
      <c r="D83" s="19">
        <f ca="1">((100/H77)*C83)/100</f>
        <v>1.0000000000000002</v>
      </c>
      <c r="E83" s="102"/>
      <c r="F83" s="175"/>
      <c r="G83" s="102"/>
      <c r="H83" s="103"/>
      <c r="I83" s="13" t="s">
        <v>100</v>
      </c>
      <c r="J83" s="30">
        <f ca="1">(IF(B77&gt;1,(H77/(B77+2)+J82),H77/4+J82))</f>
        <v>11</v>
      </c>
    </row>
    <row r="84" spans="1:19" ht="15.75" customHeight="1" x14ac:dyDescent="0.25">
      <c r="A84" s="106" t="s">
        <v>134</v>
      </c>
      <c r="B84" s="107" t="s">
        <v>127</v>
      </c>
      <c r="C84" s="43">
        <v>20</v>
      </c>
      <c r="D84" s="19">
        <f ca="1">((100/H77)*C84)/100</f>
        <v>0.90909090909090917</v>
      </c>
      <c r="E84" s="102"/>
      <c r="F84" s="175"/>
      <c r="G84" s="102"/>
      <c r="H84" s="103"/>
      <c r="I84" s="13" t="s">
        <v>143</v>
      </c>
      <c r="J84" s="30">
        <f>(IF(B77&gt;1,(H77/(B77+2)+J83),0))</f>
        <v>0</v>
      </c>
    </row>
    <row r="85" spans="1:19" ht="15" customHeight="1" x14ac:dyDescent="0.25">
      <c r="A85" s="106" t="s">
        <v>132</v>
      </c>
      <c r="B85" s="107" t="s">
        <v>129</v>
      </c>
      <c r="C85" s="43">
        <v>18</v>
      </c>
      <c r="D85" s="19">
        <f ca="1">((100/(H77))*C85)/100</f>
        <v>0.81818181818181823</v>
      </c>
      <c r="E85" s="102"/>
      <c r="F85" s="175"/>
      <c r="G85" s="102"/>
      <c r="H85" s="103"/>
      <c r="I85" s="13" t="s">
        <v>140</v>
      </c>
      <c r="J85" s="30">
        <f>(IF(B77&gt;2,(H77/(B77+2)+J84),0))</f>
        <v>0</v>
      </c>
    </row>
    <row r="86" spans="1:19" ht="15.75" customHeight="1" x14ac:dyDescent="0.25">
      <c r="A86" s="106" t="s">
        <v>128</v>
      </c>
      <c r="B86" s="107" t="s">
        <v>128</v>
      </c>
      <c r="C86" s="43">
        <v>0</v>
      </c>
      <c r="D86" s="19">
        <f ca="1">((100/H77)*C86)/100</f>
        <v>0</v>
      </c>
      <c r="E86" s="102"/>
      <c r="F86" s="175"/>
      <c r="G86" s="102"/>
      <c r="H86" s="103"/>
      <c r="I86" s="13" t="s">
        <v>141</v>
      </c>
      <c r="J86" s="31">
        <f>(IF(B77&gt;3,(H77/(B77+2)+J85),0))</f>
        <v>0</v>
      </c>
    </row>
    <row r="87" spans="1:19" ht="15.75" customHeight="1" x14ac:dyDescent="0.25">
      <c r="A87" s="106" t="s">
        <v>135</v>
      </c>
      <c r="B87" s="107"/>
      <c r="C87" s="43">
        <v>0</v>
      </c>
      <c r="D87" s="19">
        <f ca="1">((100/H77)*C87)/100</f>
        <v>0</v>
      </c>
      <c r="E87" s="102"/>
      <c r="F87" s="175"/>
      <c r="G87" s="102"/>
      <c r="H87" s="103"/>
      <c r="I87" s="13" t="s">
        <v>142</v>
      </c>
      <c r="J87" s="30">
        <f>(IF(B77&gt;4,(H77/(B77+2)+J86),0))</f>
        <v>0</v>
      </c>
    </row>
    <row r="88" spans="1:19" ht="15.75" customHeight="1" x14ac:dyDescent="0.25">
      <c r="A88" s="106" t="s">
        <v>130</v>
      </c>
      <c r="B88" s="107" t="s">
        <v>130</v>
      </c>
      <c r="C88" s="43">
        <v>0</v>
      </c>
      <c r="D88" s="19">
        <f ca="1">((100/(H77))*C88)/100</f>
        <v>0</v>
      </c>
      <c r="E88" s="102"/>
      <c r="F88" s="175"/>
      <c r="G88" s="102"/>
      <c r="H88" s="103"/>
      <c r="I88" s="13" t="s">
        <v>144</v>
      </c>
      <c r="J88" s="30">
        <f ca="1">(IF(B77=1,(H77/(B77+3)+J83),IF(B77=0,(H77/4+J83),IF(B77&gt;1,0))))</f>
        <v>16.5</v>
      </c>
    </row>
    <row r="89" spans="1:19" ht="16.5" thickBot="1" x14ac:dyDescent="0.3">
      <c r="A89" s="113" t="s">
        <v>131</v>
      </c>
      <c r="B89" s="114"/>
      <c r="C89" s="44">
        <v>0</v>
      </c>
      <c r="D89" s="20">
        <f ca="1">((100/(H77))*C89)/100</f>
        <v>0</v>
      </c>
      <c r="E89" s="104"/>
      <c r="F89" s="176"/>
      <c r="G89" s="104"/>
      <c r="H89" s="105"/>
      <c r="I89" s="15" t="s">
        <v>101</v>
      </c>
      <c r="J89" s="32">
        <f ca="1">(IF(B77&gt;1.5,(H77/(B77+2)+J83+MAX(0,J84-J83)+MAX(0,J85-J84)+MAX(0,J86-J85)+MAX(0,J87-J86)+MAX(0,J88-J87)),IF(B77=1,(H77/(B77+3)+J88),IF(B77=0,H77/4+J88))))</f>
        <v>22</v>
      </c>
    </row>
    <row r="90" spans="1:19" ht="15.75" hidden="1" customHeight="1" x14ac:dyDescent="0.25">
      <c r="A90" s="125" t="s">
        <v>137</v>
      </c>
      <c r="B90" s="126"/>
      <c r="C90" s="127" t="str">
        <f>D67</f>
        <v>B Wing = 1B + G + 1st to 19th Floor</v>
      </c>
      <c r="D90" s="128"/>
      <c r="E90" s="128"/>
      <c r="F90" s="128"/>
      <c r="G90" s="128"/>
      <c r="H90" s="129"/>
      <c r="I90" s="49" t="str">
        <f ca="1">IF(D103=100%,"All work Completed. Possession granted to the Building.",IF(D102=100%,"All work Completed, Waiting for OC",I91&amp;""&amp;I92&amp;""&amp;J91&amp;""&amp;J90&amp;" "&amp;J92))</f>
        <v xml:space="preserve">Excavation, Plinth Completed </v>
      </c>
      <c r="J90" s="50"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c>
    </row>
    <row r="91" spans="1:19" hidden="1" x14ac:dyDescent="0.25">
      <c r="A91" s="16" t="s">
        <v>139</v>
      </c>
      <c r="B91" s="47">
        <f>IF(AND(ISNUMBER(SEARCH("1B",C90))),1,IF(AND(ISNUMBER(SEARCH("2B",C90))),2,IF(AND(ISNUMBER(SEARCH("3B",C90))),3,IF(AND(ISNUMBER(SEARCH("4B",C90))),4,IF(ISNUMBER(SEARCH("5B",C90)),5,0)))))</f>
        <v>1</v>
      </c>
      <c r="C91" s="47" t="s">
        <v>68</v>
      </c>
      <c r="D91" s="47">
        <v>1</v>
      </c>
      <c r="E91" s="47" t="s">
        <v>67</v>
      </c>
      <c r="F91" s="14">
        <v>0</v>
      </c>
      <c r="G91" s="48" t="s">
        <v>76</v>
      </c>
      <c r="H91" s="17">
        <f ca="1">--TRIM(RIGHT(SUBSTITUTE(LEFT(C90,_xlfn.AGGREGATE(16,6,FIND({0,1,2,3,4,5,6,7,8,9},C90,ROW(INDIRECT("1:"&amp;LEN(C90)))),1))," ",REPT(" ",LEN(C90))),LEN(C90)))</f>
        <v>19</v>
      </c>
      <c r="I91" s="51" t="str">
        <f ca="1">IF(D94=100%,"Excavation","")&amp;IF(D95=100%,", Plinth","")&amp;IF(D96=100%,", RCC Slab","")&amp;IF(D97=100%,", Brickwork","")&amp;IF(D98=100%,", Internal Plaster","")&amp;IF(D99=100%,", External Plaster","")&amp;IF(D100=100%,", Flooring","")&amp;IF(D101=100%,", Painting","")&amp;IF(D102=100%,", Building common Amenities","")</f>
        <v>Excavation, Plinth</v>
      </c>
      <c r="J91" s="52"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row>
    <row r="92" spans="1:19" hidden="1" x14ac:dyDescent="0.25">
      <c r="A92" s="123" t="s">
        <v>86</v>
      </c>
      <c r="B92" s="124"/>
      <c r="C92" s="131" t="str">
        <f ca="1">(IF($G$61="NA",I90,"All work Completed. OC Received."))</f>
        <v xml:space="preserve">Excavation, Plinth Completed </v>
      </c>
      <c r="D92" s="131"/>
      <c r="E92" s="131"/>
      <c r="F92" s="131"/>
      <c r="G92" s="131"/>
      <c r="H92" s="132"/>
      <c r="I92" s="51" t="str">
        <f ca="1">IF(I91&lt;&gt;""," Completed","")</f>
        <v xml:space="preserve"> Completed</v>
      </c>
      <c r="J92" s="52" t="str">
        <f ca="1">IF(J90&lt;&gt;"","Completed","")</f>
        <v/>
      </c>
    </row>
    <row r="93" spans="1:19" ht="15.75" hidden="1" customHeight="1" x14ac:dyDescent="0.25">
      <c r="A93" s="106" t="s">
        <v>46</v>
      </c>
      <c r="B93" s="107"/>
      <c r="C93" s="43" t="s">
        <v>136</v>
      </c>
      <c r="D93" s="43" t="s">
        <v>79</v>
      </c>
      <c r="E93" s="107" t="s">
        <v>81</v>
      </c>
      <c r="F93" s="107"/>
      <c r="G93" s="107" t="s">
        <v>80</v>
      </c>
      <c r="H93" s="141"/>
      <c r="I93" s="13" t="s">
        <v>138</v>
      </c>
      <c r="J93" s="28">
        <f ca="1">H91*25%</f>
        <v>4.75</v>
      </c>
    </row>
    <row r="94" spans="1:19" hidden="1" x14ac:dyDescent="0.25">
      <c r="A94" s="106" t="s">
        <v>125</v>
      </c>
      <c r="B94" s="107"/>
      <c r="C94" s="59">
        <f ca="1">J95</f>
        <v>19</v>
      </c>
      <c r="D94" s="19">
        <f ca="1">((100/H91)*C94)/100</f>
        <v>1</v>
      </c>
      <c r="E94" s="100">
        <f ca="1">(((C95/H91*10)+(40/(D91+F91+H91)*C96)+(7.5/(H91)*C97)+(7.5/(H91)*C98)+(10/H91*C99)+(10/H91*C100)+(5/H91*C101)+(5/H91*C102)+(5/H91*C103))/100)</f>
        <v>0.1</v>
      </c>
      <c r="F94" s="174"/>
      <c r="G94" s="100">
        <f ca="1">((((C94/H91)*20)+((C95/H91)*25)+(30/(H91+F91+D91)*C96)+(5/H91*C97)+(5/H91*C98)+(5/H91*C99)+(5/H91*C100)+(0/H91*C101)+(0/H91*C102)+(5/H91*C103))/100)</f>
        <v>0.45</v>
      </c>
      <c r="H94" s="101"/>
      <c r="I94" s="13" t="s">
        <v>97</v>
      </c>
      <c r="J94" s="29">
        <f ca="1">H91*50%</f>
        <v>9.5</v>
      </c>
    </row>
    <row r="95" spans="1:19" hidden="1" x14ac:dyDescent="0.25">
      <c r="A95" s="106" t="s">
        <v>47</v>
      </c>
      <c r="B95" s="107"/>
      <c r="C95" s="60">
        <v>19</v>
      </c>
      <c r="D95" s="19">
        <f ca="1">((100/H91)*C95)/100</f>
        <v>1</v>
      </c>
      <c r="E95" s="102"/>
      <c r="F95" s="175"/>
      <c r="G95" s="102"/>
      <c r="H95" s="103"/>
      <c r="I95" s="13" t="s">
        <v>98</v>
      </c>
      <c r="J95" s="29">
        <f ca="1">H91</f>
        <v>19</v>
      </c>
    </row>
    <row r="96" spans="1:19" ht="15.75" hidden="1" customHeight="1" x14ac:dyDescent="0.25">
      <c r="A96" s="106" t="s">
        <v>126</v>
      </c>
      <c r="B96" s="107"/>
      <c r="C96" s="43">
        <v>0</v>
      </c>
      <c r="D96" s="19">
        <f ca="1">((100/(D91+F91+H91))*C96)/100</f>
        <v>0</v>
      </c>
      <c r="E96" s="102"/>
      <c r="F96" s="175"/>
      <c r="G96" s="102"/>
      <c r="H96" s="103"/>
      <c r="I96" s="13" t="s">
        <v>99</v>
      </c>
      <c r="J96" s="30">
        <f ca="1">(IF(B91&gt;1,(H91/(B91+2)),H91/4))</f>
        <v>4.75</v>
      </c>
    </row>
    <row r="97" spans="1:22" ht="15.75" hidden="1" customHeight="1" x14ac:dyDescent="0.25">
      <c r="A97" s="106" t="s">
        <v>133</v>
      </c>
      <c r="B97" s="107" t="s">
        <v>127</v>
      </c>
      <c r="C97" s="43">
        <v>0</v>
      </c>
      <c r="D97" s="19">
        <f ca="1">((100/H91)*C97)/100</f>
        <v>0</v>
      </c>
      <c r="E97" s="102"/>
      <c r="F97" s="175"/>
      <c r="G97" s="102"/>
      <c r="H97" s="103"/>
      <c r="I97" s="13" t="s">
        <v>100</v>
      </c>
      <c r="J97" s="30">
        <f ca="1">(IF(B91&gt;1,(H91/(B91+2)+J96),H91/4+J96))</f>
        <v>9.5</v>
      </c>
    </row>
    <row r="98" spans="1:22" ht="15.75" hidden="1" customHeight="1" x14ac:dyDescent="0.25">
      <c r="A98" s="106" t="s">
        <v>134</v>
      </c>
      <c r="B98" s="107" t="s">
        <v>127</v>
      </c>
      <c r="C98" s="43">
        <v>0</v>
      </c>
      <c r="D98" s="19">
        <f ca="1">((100/H91)*C98)/100</f>
        <v>0</v>
      </c>
      <c r="E98" s="102"/>
      <c r="F98" s="175"/>
      <c r="G98" s="102"/>
      <c r="H98" s="103"/>
      <c r="I98" s="13" t="s">
        <v>143</v>
      </c>
      <c r="J98" s="30">
        <f>(IF(B91&gt;1,(H91/(B91+2)+J97),0))</f>
        <v>0</v>
      </c>
    </row>
    <row r="99" spans="1:22" ht="15" hidden="1" customHeight="1" x14ac:dyDescent="0.25">
      <c r="A99" s="106" t="s">
        <v>132</v>
      </c>
      <c r="B99" s="107" t="s">
        <v>129</v>
      </c>
      <c r="C99" s="43">
        <v>0</v>
      </c>
      <c r="D99" s="19">
        <f ca="1">((100/(H91))*C99)/100</f>
        <v>0</v>
      </c>
      <c r="E99" s="102"/>
      <c r="F99" s="175"/>
      <c r="G99" s="102"/>
      <c r="H99" s="103"/>
      <c r="I99" s="13" t="s">
        <v>140</v>
      </c>
      <c r="J99" s="30">
        <f>(IF(B91&gt;2,(H91/(B91+2)+J98),0))</f>
        <v>0</v>
      </c>
    </row>
    <row r="100" spans="1:22" ht="15.75" hidden="1" customHeight="1" x14ac:dyDescent="0.25">
      <c r="A100" s="106" t="s">
        <v>128</v>
      </c>
      <c r="B100" s="107" t="s">
        <v>128</v>
      </c>
      <c r="C100" s="43">
        <v>0</v>
      </c>
      <c r="D100" s="19">
        <f ca="1">((100/H91)*C100)/100</f>
        <v>0</v>
      </c>
      <c r="E100" s="102"/>
      <c r="F100" s="175"/>
      <c r="G100" s="102"/>
      <c r="H100" s="103"/>
      <c r="I100" s="13" t="s">
        <v>141</v>
      </c>
      <c r="J100" s="31">
        <f>(IF(B91&gt;3,(H91/(B91+2)+J99),0))</f>
        <v>0</v>
      </c>
    </row>
    <row r="101" spans="1:22" ht="15.75" hidden="1" customHeight="1" x14ac:dyDescent="0.25">
      <c r="A101" s="106" t="s">
        <v>135</v>
      </c>
      <c r="B101" s="107"/>
      <c r="C101" s="43">
        <v>0</v>
      </c>
      <c r="D101" s="19">
        <f ca="1">((100/H91)*C101)/100</f>
        <v>0</v>
      </c>
      <c r="E101" s="102"/>
      <c r="F101" s="175"/>
      <c r="G101" s="102"/>
      <c r="H101" s="103"/>
      <c r="I101" s="13" t="s">
        <v>142</v>
      </c>
      <c r="J101" s="30">
        <f>(IF(B91&gt;4,(H91/(B91+2)+J100),0))</f>
        <v>0</v>
      </c>
    </row>
    <row r="102" spans="1:22" ht="15.75" hidden="1" customHeight="1" x14ac:dyDescent="0.25">
      <c r="A102" s="106" t="s">
        <v>130</v>
      </c>
      <c r="B102" s="107" t="s">
        <v>130</v>
      </c>
      <c r="C102" s="43">
        <v>0</v>
      </c>
      <c r="D102" s="19">
        <f ca="1">((100/(H91))*C102)/100</f>
        <v>0</v>
      </c>
      <c r="E102" s="102"/>
      <c r="F102" s="175"/>
      <c r="G102" s="102"/>
      <c r="H102" s="103"/>
      <c r="I102" s="13" t="s">
        <v>144</v>
      </c>
      <c r="J102" s="30">
        <f ca="1">(IF(B91=1,(H91/(B91+3)+J97),IF(B91=0,(H91/4+J97),IF(B91&gt;1,0))))</f>
        <v>14.25</v>
      </c>
    </row>
    <row r="103" spans="1:22" ht="16.5" hidden="1" thickBot="1" x14ac:dyDescent="0.3">
      <c r="A103" s="113" t="s">
        <v>131</v>
      </c>
      <c r="B103" s="114"/>
      <c r="C103" s="44">
        <v>0</v>
      </c>
      <c r="D103" s="20">
        <f ca="1">((100/(H91))*C103)/100</f>
        <v>0</v>
      </c>
      <c r="E103" s="104"/>
      <c r="F103" s="176"/>
      <c r="G103" s="104"/>
      <c r="H103" s="105"/>
      <c r="I103" s="15" t="s">
        <v>101</v>
      </c>
      <c r="J103" s="32">
        <f ca="1">(IF(B91&gt;1.5,(H91/(B91+2)+J97+MAX(0,J98-J97)+MAX(0,J99-J98)+MAX(0,J100-J99)+MAX(0,J101-J100)+MAX(0,J102-J101)),IF(B91=1,(H91/(B91+3)+J102),IF(B91=0,H91/4+J102))))</f>
        <v>19</v>
      </c>
    </row>
    <row r="104" spans="1:22" x14ac:dyDescent="0.25">
      <c r="A104" s="112" t="s">
        <v>154</v>
      </c>
      <c r="B104" s="112"/>
      <c r="C104" s="112"/>
      <c r="D104" s="112"/>
      <c r="E104" s="112"/>
      <c r="F104" s="178" t="s">
        <v>158</v>
      </c>
      <c r="G104" s="178"/>
      <c r="H104" s="178"/>
      <c r="R104" t="s">
        <v>255</v>
      </c>
      <c r="S104" t="s">
        <v>171</v>
      </c>
      <c r="T104" t="s">
        <v>179</v>
      </c>
      <c r="U104" t="s">
        <v>194</v>
      </c>
      <c r="V104" t="s">
        <v>189</v>
      </c>
    </row>
    <row r="105" spans="1:22" x14ac:dyDescent="0.25">
      <c r="A105" s="109" t="s">
        <v>156</v>
      </c>
      <c r="B105" s="109"/>
      <c r="C105" s="109"/>
      <c r="D105" s="109"/>
      <c r="E105" s="109"/>
      <c r="F105" s="108">
        <v>13000</v>
      </c>
      <c r="G105" s="108"/>
      <c r="H105" s="108"/>
      <c r="R105"/>
      <c r="S105">
        <v>800000</v>
      </c>
      <c r="T105">
        <v>150000</v>
      </c>
      <c r="U105">
        <v>100000</v>
      </c>
      <c r="V105">
        <v>100000</v>
      </c>
    </row>
    <row r="106" spans="1:22" x14ac:dyDescent="0.25">
      <c r="A106" s="109" t="s">
        <v>155</v>
      </c>
      <c r="B106" s="109"/>
      <c r="C106" s="109"/>
      <c r="D106" s="109"/>
      <c r="E106" s="109"/>
      <c r="F106" s="108">
        <v>26000</v>
      </c>
      <c r="G106" s="108"/>
      <c r="H106" s="108"/>
      <c r="R106"/>
      <c r="S106">
        <v>900000</v>
      </c>
      <c r="T106">
        <v>200000</v>
      </c>
      <c r="U106">
        <v>150000</v>
      </c>
      <c r="V106">
        <v>150000</v>
      </c>
    </row>
    <row r="107" spans="1:22" hidden="1" x14ac:dyDescent="0.25">
      <c r="A107" s="109" t="s">
        <v>157</v>
      </c>
      <c r="B107" s="109"/>
      <c r="C107" s="109"/>
      <c r="D107" s="109"/>
      <c r="E107" s="109"/>
      <c r="F107" s="108"/>
      <c r="G107" s="108"/>
      <c r="H107" s="108"/>
      <c r="R107"/>
      <c r="S107">
        <v>1000000</v>
      </c>
      <c r="T107">
        <v>250000</v>
      </c>
      <c r="U107">
        <v>200000</v>
      </c>
      <c r="V107">
        <v>200000</v>
      </c>
    </row>
    <row r="108" spans="1:22" s="33" customFormat="1" hidden="1" x14ac:dyDescent="0.25">
      <c r="A108" s="109" t="s">
        <v>174</v>
      </c>
      <c r="B108" s="109"/>
      <c r="C108" s="109"/>
      <c r="D108" s="109"/>
      <c r="E108" s="109"/>
      <c r="F108" s="108"/>
      <c r="G108" s="108"/>
      <c r="H108" s="108"/>
      <c r="R108"/>
      <c r="S108">
        <v>1100000</v>
      </c>
      <c r="T108">
        <v>300000</v>
      </c>
      <c r="U108">
        <v>250000</v>
      </c>
      <c r="V108" s="23">
        <v>250000</v>
      </c>
    </row>
    <row r="109" spans="1:22" s="33" customFormat="1" hidden="1" x14ac:dyDescent="0.25">
      <c r="A109" s="109" t="s">
        <v>91</v>
      </c>
      <c r="B109" s="109"/>
      <c r="C109" s="109"/>
      <c r="D109" s="109"/>
      <c r="E109" s="109"/>
      <c r="F109" s="108"/>
      <c r="G109" s="108"/>
      <c r="H109" s="108"/>
      <c r="R109"/>
      <c r="S109">
        <v>1200000</v>
      </c>
      <c r="T109">
        <v>350000</v>
      </c>
      <c r="U109">
        <v>300000</v>
      </c>
      <c r="V109">
        <v>300000</v>
      </c>
    </row>
    <row r="110" spans="1:22" s="33" customFormat="1" hidden="1" x14ac:dyDescent="0.25">
      <c r="A110" s="109" t="s">
        <v>92</v>
      </c>
      <c r="B110" s="109"/>
      <c r="C110" s="109"/>
      <c r="D110" s="109"/>
      <c r="E110" s="109"/>
      <c r="F110" s="108"/>
      <c r="G110" s="108"/>
      <c r="H110" s="108"/>
      <c r="R110"/>
      <c r="S110">
        <v>1300000</v>
      </c>
      <c r="T110">
        <v>400000</v>
      </c>
      <c r="U110">
        <v>350000</v>
      </c>
      <c r="V110" s="23">
        <v>400000</v>
      </c>
    </row>
    <row r="111" spans="1:22" s="33" customFormat="1" hidden="1" x14ac:dyDescent="0.25">
      <c r="A111" s="109" t="s">
        <v>93</v>
      </c>
      <c r="B111" s="109"/>
      <c r="C111" s="109"/>
      <c r="D111" s="109"/>
      <c r="E111" s="109"/>
      <c r="F111" s="108"/>
      <c r="G111" s="108"/>
      <c r="H111" s="108"/>
      <c r="R111"/>
      <c r="S111">
        <v>1400000</v>
      </c>
      <c r="T111">
        <v>500000</v>
      </c>
      <c r="U111">
        <v>400000</v>
      </c>
      <c r="V111"/>
    </row>
    <row r="112" spans="1:22" s="33" customFormat="1" hidden="1" x14ac:dyDescent="0.25">
      <c r="A112" s="109" t="s">
        <v>94</v>
      </c>
      <c r="B112" s="109"/>
      <c r="C112" s="109"/>
      <c r="D112" s="109"/>
      <c r="E112" s="109"/>
      <c r="F112" s="108"/>
      <c r="G112" s="108"/>
      <c r="H112" s="108"/>
      <c r="R112"/>
      <c r="S112">
        <v>1500000</v>
      </c>
      <c r="T112">
        <v>600000</v>
      </c>
      <c r="U112">
        <v>500000</v>
      </c>
      <c r="V112" s="23"/>
    </row>
    <row r="113" spans="1:22" s="33" customFormat="1" hidden="1" x14ac:dyDescent="0.25">
      <c r="A113" s="109" t="s">
        <v>95</v>
      </c>
      <c r="B113" s="109"/>
      <c r="C113" s="109"/>
      <c r="D113" s="109"/>
      <c r="E113" s="109"/>
      <c r="F113" s="108"/>
      <c r="G113" s="108"/>
      <c r="H113" s="108"/>
      <c r="R113"/>
      <c r="S113">
        <v>1600000</v>
      </c>
      <c r="T113">
        <v>700000</v>
      </c>
      <c r="U113">
        <v>600000</v>
      </c>
      <c r="V113"/>
    </row>
    <row r="114" spans="1:22" s="33" customFormat="1" hidden="1" x14ac:dyDescent="0.25">
      <c r="A114" s="109" t="s">
        <v>96</v>
      </c>
      <c r="B114" s="109"/>
      <c r="C114" s="109"/>
      <c r="D114" s="109"/>
      <c r="E114" s="109"/>
      <c r="F114" s="108"/>
      <c r="G114" s="108"/>
      <c r="H114" s="108"/>
      <c r="R114"/>
      <c r="S114">
        <v>1700000</v>
      </c>
      <c r="T114">
        <v>800000</v>
      </c>
      <c r="U114"/>
      <c r="V114" s="23"/>
    </row>
    <row r="115" spans="1:22" x14ac:dyDescent="0.25">
      <c r="A115" s="109" t="s">
        <v>48</v>
      </c>
      <c r="B115" s="109"/>
      <c r="C115" s="109"/>
      <c r="D115" s="109"/>
      <c r="E115" s="109"/>
      <c r="F115" s="108">
        <v>800000</v>
      </c>
      <c r="G115" s="108"/>
      <c r="H115" s="108"/>
      <c r="R115"/>
      <c r="S115">
        <v>1800000</v>
      </c>
      <c r="T115">
        <v>900000</v>
      </c>
      <c r="U115"/>
    </row>
    <row r="116" spans="1:22" s="34" customFormat="1" x14ac:dyDescent="0.25">
      <c r="A116" s="135" t="s">
        <v>49</v>
      </c>
      <c r="B116" s="135"/>
      <c r="C116" s="135"/>
      <c r="D116" s="135"/>
      <c r="E116" s="135"/>
      <c r="F116" s="108">
        <f>F105*0.8</f>
        <v>10400</v>
      </c>
      <c r="G116" s="108"/>
      <c r="H116" s="108"/>
      <c r="R116" s="21"/>
      <c r="S116" s="21"/>
      <c r="T116">
        <v>1000000</v>
      </c>
      <c r="U116"/>
      <c r="V116" s="21"/>
    </row>
    <row r="117" spans="1:22" s="35" customFormat="1" ht="15.75" customHeight="1" x14ac:dyDescent="0.25">
      <c r="A117" s="167" t="s">
        <v>71</v>
      </c>
      <c r="B117" s="167"/>
      <c r="C117" s="167"/>
      <c r="D117" s="167"/>
      <c r="E117" s="167"/>
      <c r="F117" s="167"/>
      <c r="G117" s="167"/>
      <c r="H117" s="167"/>
      <c r="R117"/>
      <c r="S117" s="21"/>
      <c r="T117"/>
      <c r="U117"/>
      <c r="V117" s="21"/>
    </row>
    <row r="118" spans="1:22" s="35" customFormat="1" ht="15.75" customHeight="1" x14ac:dyDescent="0.25">
      <c r="A118" s="179" t="s">
        <v>50</v>
      </c>
      <c r="B118" s="179"/>
      <c r="C118" s="181" t="s">
        <v>74</v>
      </c>
      <c r="D118" s="181"/>
      <c r="E118" s="177" t="s">
        <v>51</v>
      </c>
      <c r="F118" s="177"/>
      <c r="G118" s="179" t="s">
        <v>52</v>
      </c>
      <c r="H118" s="179"/>
      <c r="R118"/>
      <c r="S118" s="21"/>
      <c r="T118"/>
      <c r="U118" s="21"/>
      <c r="V118" s="21"/>
    </row>
    <row r="119" spans="1:22" s="35" customFormat="1" x14ac:dyDescent="0.25">
      <c r="A119" s="94" t="s">
        <v>334</v>
      </c>
      <c r="B119" s="94"/>
      <c r="C119" s="96">
        <f>COUNT(D134:D144)</f>
        <v>11</v>
      </c>
      <c r="D119" s="95"/>
      <c r="E119" s="96">
        <f t="shared" ref="E119" si="0">SUM(F134:F144)</f>
        <v>2311.1922599999998</v>
      </c>
      <c r="F119" s="95"/>
      <c r="G119" s="96">
        <f t="shared" ref="G119" si="1">SUM(H134:H144)</f>
        <v>3466.7883899999997</v>
      </c>
      <c r="H119" s="95"/>
      <c r="R119"/>
      <c r="S119" s="21"/>
      <c r="T119"/>
      <c r="U119" s="21"/>
      <c r="V119" s="21"/>
    </row>
    <row r="120" spans="1:22" s="35" customFormat="1" hidden="1" x14ac:dyDescent="0.25">
      <c r="A120" s="94"/>
      <c r="B120" s="94"/>
      <c r="C120" s="95"/>
      <c r="D120" s="95"/>
      <c r="E120" s="116"/>
      <c r="F120" s="116"/>
      <c r="G120" s="173"/>
      <c r="H120" s="173"/>
      <c r="R120"/>
      <c r="S120" s="21"/>
      <c r="T120"/>
      <c r="U120" s="21"/>
      <c r="V120" s="21"/>
    </row>
    <row r="121" spans="1:22" s="35" customFormat="1" hidden="1" x14ac:dyDescent="0.25">
      <c r="A121" s="167" t="s">
        <v>147</v>
      </c>
      <c r="B121" s="167"/>
      <c r="C121" s="181"/>
      <c r="D121" s="181"/>
      <c r="E121" s="177"/>
      <c r="F121" s="177"/>
      <c r="G121" s="179"/>
      <c r="H121" s="179"/>
      <c r="R121"/>
      <c r="S121" s="21"/>
      <c r="T121"/>
      <c r="U121" s="21"/>
      <c r="V121" s="21"/>
    </row>
    <row r="122" spans="1:22" s="35" customFormat="1" x14ac:dyDescent="0.25">
      <c r="A122" s="167" t="s">
        <v>66</v>
      </c>
      <c r="B122" s="167"/>
      <c r="C122" s="167"/>
      <c r="D122" s="167"/>
      <c r="E122" s="167"/>
      <c r="F122" s="167"/>
      <c r="G122" s="167"/>
      <c r="H122" s="167"/>
      <c r="T122"/>
    </row>
    <row r="123" spans="1:22" s="35" customFormat="1" ht="15.75" customHeight="1" x14ac:dyDescent="0.25">
      <c r="A123" s="179" t="s">
        <v>50</v>
      </c>
      <c r="B123" s="179"/>
      <c r="C123" s="181" t="s">
        <v>74</v>
      </c>
      <c r="D123" s="181"/>
      <c r="E123" s="177" t="s">
        <v>51</v>
      </c>
      <c r="F123" s="177"/>
      <c r="G123" s="179" t="s">
        <v>52</v>
      </c>
      <c r="H123" s="179"/>
      <c r="T123"/>
    </row>
    <row r="124" spans="1:22" s="35" customFormat="1" x14ac:dyDescent="0.25">
      <c r="A124" s="94" t="s">
        <v>337</v>
      </c>
      <c r="B124" s="94"/>
      <c r="C124" s="95">
        <f>COUNT(D150:D153)*15+COUNT(D156:D158)+COUNT(D161:D163)</f>
        <v>66</v>
      </c>
      <c r="D124" s="95"/>
      <c r="E124" s="96">
        <f t="shared" ref="E124" si="2">SUM(F150:F153)*15+SUM(F156:F158)+SUM(F161:F163)</f>
        <v>31498.370279999999</v>
      </c>
      <c r="F124" s="96"/>
      <c r="G124" s="96">
        <f t="shared" ref="G124" si="3">SUM(H150:H153)*15+SUM(H156:H158)+SUM(H161:H163)</f>
        <v>45672.636905999992</v>
      </c>
      <c r="H124" s="96"/>
      <c r="J124" s="35">
        <f>17*3-2</f>
        <v>49</v>
      </c>
      <c r="T124"/>
    </row>
    <row r="125" spans="1:22" s="35" customFormat="1" x14ac:dyDescent="0.25">
      <c r="A125" s="94" t="s">
        <v>344</v>
      </c>
      <c r="B125" s="94"/>
      <c r="C125" s="95">
        <f>COUNT(D166:D168)*15+COUNT(F170,F172)+COUNT(F174,F176)</f>
        <v>49</v>
      </c>
      <c r="D125" s="95"/>
      <c r="E125" s="96">
        <f t="shared" ref="E125" si="4">SUM(F166:F168)*15+SUM(F170,F172)+SUM(F174,F176)</f>
        <v>22289.445359999998</v>
      </c>
      <c r="F125" s="96"/>
      <c r="G125" s="96">
        <f>SUM(H166:H168)*15+SUM(H170,H172)+SUM(H174,H176)</f>
        <v>32319.695771999999</v>
      </c>
      <c r="H125" s="96"/>
      <c r="T125"/>
    </row>
    <row r="126" spans="1:22" s="35" customFormat="1" ht="16.5" thickBot="1" x14ac:dyDescent="0.3">
      <c r="A126" s="171" t="s">
        <v>147</v>
      </c>
      <c r="B126" s="171"/>
      <c r="C126" s="183">
        <f>SUM(C124:D125)</f>
        <v>115</v>
      </c>
      <c r="D126" s="183"/>
      <c r="E126" s="172">
        <f t="shared" ref="E126" si="5">SUM(E124:F125)</f>
        <v>53787.815640000001</v>
      </c>
      <c r="F126" s="172"/>
      <c r="G126" s="172">
        <f t="shared" ref="G126" si="6">SUM(G124:H125)</f>
        <v>77992.332677999992</v>
      </c>
      <c r="H126" s="172"/>
      <c r="T126"/>
    </row>
    <row r="127" spans="1:22" s="35" customFormat="1" ht="16.5" thickBot="1" x14ac:dyDescent="0.3">
      <c r="A127" s="169" t="s">
        <v>164</v>
      </c>
      <c r="B127" s="170"/>
      <c r="C127" s="118">
        <f>C119+C126</f>
        <v>126</v>
      </c>
      <c r="D127" s="119"/>
      <c r="E127" s="118">
        <f t="shared" ref="E127" si="7">E119+E126</f>
        <v>56099.007899999997</v>
      </c>
      <c r="F127" s="119"/>
      <c r="G127" s="118">
        <f t="shared" ref="G127" si="8">G119+G126</f>
        <v>81459.121067999993</v>
      </c>
      <c r="H127" s="119"/>
      <c r="T127"/>
    </row>
    <row r="128" spans="1:22" s="34" customFormat="1" x14ac:dyDescent="0.25">
      <c r="A128" s="178" t="s">
        <v>53</v>
      </c>
      <c r="B128" s="178"/>
      <c r="C128" s="178"/>
      <c r="D128" s="178"/>
      <c r="E128" s="178"/>
      <c r="F128" s="178"/>
      <c r="G128" s="178"/>
      <c r="H128" s="178"/>
      <c r="T128" s="35"/>
    </row>
    <row r="129" spans="1:20" x14ac:dyDescent="0.25">
      <c r="A129" s="180" t="s">
        <v>173</v>
      </c>
      <c r="B129" s="180"/>
      <c r="C129" s="180"/>
      <c r="D129" s="180"/>
      <c r="E129" s="180"/>
      <c r="F129" s="180"/>
      <c r="G129" s="180"/>
      <c r="H129" s="180"/>
      <c r="T129" s="35"/>
    </row>
    <row r="130" spans="1:20" ht="47.25" customHeight="1" x14ac:dyDescent="0.25">
      <c r="A130" s="90" t="s">
        <v>116</v>
      </c>
      <c r="B130" s="90" t="s">
        <v>176</v>
      </c>
      <c r="C130" s="90" t="s">
        <v>54</v>
      </c>
      <c r="D130" s="110" t="s">
        <v>233</v>
      </c>
      <c r="E130" s="92" t="s">
        <v>153</v>
      </c>
      <c r="F130" s="90" t="s">
        <v>55</v>
      </c>
      <c r="G130" s="92" t="s">
        <v>56</v>
      </c>
      <c r="H130" s="67" t="s">
        <v>146</v>
      </c>
      <c r="T130" s="35"/>
    </row>
    <row r="131" spans="1:20" s="37" customFormat="1" x14ac:dyDescent="0.25">
      <c r="A131" s="91"/>
      <c r="B131" s="91"/>
      <c r="C131" s="91"/>
      <c r="D131" s="111"/>
      <c r="E131" s="93"/>
      <c r="F131" s="91"/>
      <c r="G131" s="93"/>
      <c r="H131" s="68">
        <v>0.5</v>
      </c>
      <c r="T131" s="35"/>
    </row>
    <row r="132" spans="1:20" s="37" customFormat="1" x14ac:dyDescent="0.25">
      <c r="A132" s="85" t="s">
        <v>334</v>
      </c>
      <c r="B132" s="86"/>
      <c r="C132" s="86"/>
      <c r="D132" s="86"/>
      <c r="E132" s="86"/>
      <c r="F132" s="86"/>
      <c r="G132" s="86"/>
      <c r="H132" s="87"/>
      <c r="J132" s="36"/>
      <c r="T132" s="35"/>
    </row>
    <row r="133" spans="1:20" s="37" customFormat="1" x14ac:dyDescent="0.25">
      <c r="A133" s="85" t="s">
        <v>335</v>
      </c>
      <c r="B133" s="86"/>
      <c r="C133" s="86"/>
      <c r="D133" s="86"/>
      <c r="E133" s="86"/>
      <c r="F133" s="86"/>
      <c r="G133" s="86"/>
      <c r="H133" s="87"/>
      <c r="J133" s="36"/>
      <c r="T133" s="35"/>
    </row>
    <row r="134" spans="1:20" s="37" customFormat="1" ht="15.75" customHeight="1" x14ac:dyDescent="0.25">
      <c r="A134" s="74">
        <v>1</v>
      </c>
      <c r="B134" s="75"/>
      <c r="C134" s="42" t="s">
        <v>336</v>
      </c>
      <c r="D134" s="42">
        <f>(2.25*4.85)*10.764</f>
        <v>117.46214999999999</v>
      </c>
      <c r="E134" s="42">
        <v>0</v>
      </c>
      <c r="F134" s="42">
        <f>D134+(IF(E134&lt;201,E134,IF(E134&lt;301,E134/2,E134/3)))</f>
        <v>117.46214999999999</v>
      </c>
      <c r="G134" s="42">
        <v>0</v>
      </c>
      <c r="H134" s="42">
        <f>(F134+(IF(G134&lt;101,G134,IF(G134&lt;201,G134/2,IF(G134&lt;=301,G134/3,G134/4)))))*(($H$131)+1)</f>
        <v>176.19322499999998</v>
      </c>
      <c r="I134" s="36"/>
      <c r="J134" s="42">
        <v>10.763999999999999</v>
      </c>
      <c r="L134" s="76"/>
      <c r="M134" s="76"/>
      <c r="N134" s="36"/>
      <c r="T134" s="35"/>
    </row>
    <row r="135" spans="1:20" s="37" customFormat="1" ht="15.75" customHeight="1" x14ac:dyDescent="0.25">
      <c r="A135" s="74">
        <f>A134+1</f>
        <v>2</v>
      </c>
      <c r="B135" s="75"/>
      <c r="C135" s="42" t="s">
        <v>336</v>
      </c>
      <c r="D135" s="42">
        <f>(5*12)*10.764</f>
        <v>645.83999999999992</v>
      </c>
      <c r="E135" s="42">
        <v>0</v>
      </c>
      <c r="F135" s="42">
        <f t="shared" ref="F135:F137" si="9">D135+(IF(E135&lt;201,E135,IF(E135&lt;301,E135/2,E135/3)))</f>
        <v>645.83999999999992</v>
      </c>
      <c r="G135" s="42">
        <v>0</v>
      </c>
      <c r="H135" s="42">
        <f t="shared" ref="H135:H137" si="10">(F135+(IF(G135&lt;101,G135,IF(G135&lt;201,G135/2,IF(G135&lt;=301,G135/3,G135/4)))))*(($H$131)+1)</f>
        <v>968.75999999999988</v>
      </c>
      <c r="I135" s="36"/>
      <c r="L135" s="76"/>
      <c r="M135" s="76"/>
      <c r="N135" s="36"/>
      <c r="T135" s="34"/>
    </row>
    <row r="136" spans="1:20" s="37" customFormat="1" ht="15.75" customHeight="1" x14ac:dyDescent="0.25">
      <c r="A136" s="74">
        <f>A135+1</f>
        <v>3</v>
      </c>
      <c r="B136" s="75"/>
      <c r="C136" s="42" t="s">
        <v>336</v>
      </c>
      <c r="D136" s="42">
        <f>(2.75*4.85)*10.764</f>
        <v>143.56484999999998</v>
      </c>
      <c r="E136" s="42">
        <v>0</v>
      </c>
      <c r="F136" s="42">
        <f t="shared" si="9"/>
        <v>143.56484999999998</v>
      </c>
      <c r="G136" s="42">
        <v>0</v>
      </c>
      <c r="H136" s="42">
        <f t="shared" si="10"/>
        <v>215.34727499999997</v>
      </c>
      <c r="I136" s="36"/>
      <c r="L136" s="76"/>
      <c r="M136" s="76"/>
      <c r="N136" s="36"/>
      <c r="T136" s="21"/>
    </row>
    <row r="137" spans="1:20" s="37" customFormat="1" ht="15.75" customHeight="1" x14ac:dyDescent="0.25">
      <c r="A137" s="74">
        <f>A136+1</f>
        <v>4</v>
      </c>
      <c r="B137" s="75"/>
      <c r="C137" s="42" t="s">
        <v>336</v>
      </c>
      <c r="D137" s="42">
        <f>(2.75*4.85)*10.764</f>
        <v>143.56484999999998</v>
      </c>
      <c r="E137" s="42">
        <v>0</v>
      </c>
      <c r="F137" s="42">
        <f t="shared" si="9"/>
        <v>143.56484999999998</v>
      </c>
      <c r="G137" s="42">
        <v>0</v>
      </c>
      <c r="H137" s="42">
        <f t="shared" si="10"/>
        <v>215.34727499999997</v>
      </c>
      <c r="I137" s="36"/>
      <c r="L137" s="76"/>
      <c r="M137" s="76"/>
      <c r="N137" s="36"/>
      <c r="T137" s="21"/>
    </row>
    <row r="138" spans="1:20" s="37" customFormat="1" ht="15.75" customHeight="1" x14ac:dyDescent="0.25">
      <c r="A138" s="74">
        <f t="shared" ref="A138:A144" si="11">A137+1</f>
        <v>5</v>
      </c>
      <c r="B138" s="75"/>
      <c r="C138" s="42" t="s">
        <v>336</v>
      </c>
      <c r="D138" s="42">
        <f>(2.1*4.85+2.75*3.55+2.05*1.15)*10.764</f>
        <v>240.09101999999996</v>
      </c>
      <c r="E138" s="42">
        <v>0</v>
      </c>
      <c r="F138" s="42">
        <f t="shared" ref="F138:F144" si="12">D138+(IF(E138&lt;201,E138,IF(E138&lt;301,E138/2,E138/3)))</f>
        <v>240.09101999999996</v>
      </c>
      <c r="G138" s="42">
        <v>0</v>
      </c>
      <c r="H138" s="42">
        <f t="shared" ref="H138:H144" si="13">(F138+(IF(G138&lt;101,G138,IF(G138&lt;201,G138/2,IF(G138&lt;=301,G138/3,G138/4)))))*(($H$131)+1)</f>
        <v>360.13652999999994</v>
      </c>
      <c r="I138" s="36"/>
      <c r="L138" s="76"/>
      <c r="M138" s="76"/>
      <c r="N138" s="36"/>
      <c r="T138" s="21"/>
    </row>
    <row r="139" spans="1:20" s="37" customFormat="1" ht="15.75" customHeight="1" x14ac:dyDescent="0.25">
      <c r="A139" s="74">
        <f t="shared" si="11"/>
        <v>6</v>
      </c>
      <c r="B139" s="75"/>
      <c r="C139" s="42" t="s">
        <v>336</v>
      </c>
      <c r="D139" s="42">
        <f>(2.75*3.55+2.1*1.15)*10.764</f>
        <v>131.07860999999997</v>
      </c>
      <c r="E139" s="42">
        <v>0</v>
      </c>
      <c r="F139" s="42">
        <f t="shared" si="12"/>
        <v>131.07860999999997</v>
      </c>
      <c r="G139" s="42">
        <v>0</v>
      </c>
      <c r="H139" s="42">
        <f t="shared" si="13"/>
        <v>196.61791499999995</v>
      </c>
      <c r="I139" s="36"/>
      <c r="L139" s="76"/>
      <c r="M139" s="76"/>
      <c r="N139" s="36"/>
      <c r="T139" s="21"/>
    </row>
    <row r="140" spans="1:20" s="37" customFormat="1" ht="15.75" customHeight="1" x14ac:dyDescent="0.25">
      <c r="A140" s="74">
        <f t="shared" si="11"/>
        <v>7</v>
      </c>
      <c r="B140" s="75"/>
      <c r="C140" s="42" t="s">
        <v>336</v>
      </c>
      <c r="D140" s="42">
        <f>(2.75*3.55+2.1*1.15)*10.764</f>
        <v>131.07860999999997</v>
      </c>
      <c r="E140" s="42">
        <v>0</v>
      </c>
      <c r="F140" s="42">
        <f t="shared" si="12"/>
        <v>131.07860999999997</v>
      </c>
      <c r="G140" s="42">
        <v>0</v>
      </c>
      <c r="H140" s="42">
        <f t="shared" si="13"/>
        <v>196.61791499999995</v>
      </c>
      <c r="I140" s="36"/>
      <c r="L140" s="76"/>
      <c r="M140" s="76"/>
      <c r="N140" s="36"/>
      <c r="T140" s="21"/>
    </row>
    <row r="141" spans="1:20" s="37" customFormat="1" ht="15.75" customHeight="1" x14ac:dyDescent="0.25">
      <c r="A141" s="74">
        <f t="shared" si="11"/>
        <v>8</v>
      </c>
      <c r="B141" s="75"/>
      <c r="C141" s="42" t="s">
        <v>336</v>
      </c>
      <c r="D141" s="42">
        <f>(2.1*3.55+2.7*1.15)*10.764</f>
        <v>113.66784</v>
      </c>
      <c r="E141" s="42">
        <v>0</v>
      </c>
      <c r="F141" s="42">
        <f t="shared" si="12"/>
        <v>113.66784</v>
      </c>
      <c r="G141" s="42">
        <v>0</v>
      </c>
      <c r="H141" s="42">
        <f t="shared" si="13"/>
        <v>170.50175999999999</v>
      </c>
      <c r="I141" s="36"/>
      <c r="L141" s="76"/>
      <c r="M141" s="76"/>
      <c r="N141" s="36"/>
      <c r="T141" s="21"/>
    </row>
    <row r="142" spans="1:20" s="37" customFormat="1" ht="15.75" customHeight="1" x14ac:dyDescent="0.25">
      <c r="A142" s="74">
        <f t="shared" si="11"/>
        <v>9</v>
      </c>
      <c r="B142" s="75"/>
      <c r="C142" s="42" t="s">
        <v>336</v>
      </c>
      <c r="D142" s="42">
        <f>(4.05*4.85-1.4*1.1)*10.764</f>
        <v>194.85530999999997</v>
      </c>
      <c r="E142" s="42">
        <v>0</v>
      </c>
      <c r="F142" s="42">
        <f t="shared" si="12"/>
        <v>194.85530999999997</v>
      </c>
      <c r="G142" s="42">
        <v>0</v>
      </c>
      <c r="H142" s="42">
        <f t="shared" si="13"/>
        <v>292.28296499999999</v>
      </c>
      <c r="I142" s="36"/>
      <c r="L142" s="76"/>
      <c r="M142" s="76"/>
      <c r="N142" s="36"/>
      <c r="T142" s="21"/>
    </row>
    <row r="143" spans="1:20" s="37" customFormat="1" ht="15.75" customHeight="1" x14ac:dyDescent="0.25">
      <c r="A143" s="74">
        <f t="shared" si="11"/>
        <v>10</v>
      </c>
      <c r="B143" s="75"/>
      <c r="C143" s="42" t="s">
        <v>336</v>
      </c>
      <c r="D143" s="42">
        <f>(5.05*4.85)*10.764</f>
        <v>263.63726999999994</v>
      </c>
      <c r="E143" s="42">
        <v>0</v>
      </c>
      <c r="F143" s="42">
        <f t="shared" si="12"/>
        <v>263.63726999999994</v>
      </c>
      <c r="G143" s="42">
        <v>0</v>
      </c>
      <c r="H143" s="42">
        <f t="shared" si="13"/>
        <v>395.45590499999992</v>
      </c>
      <c r="I143" s="36"/>
      <c r="L143" s="76"/>
      <c r="M143" s="76"/>
      <c r="N143" s="36"/>
      <c r="T143" s="21"/>
    </row>
    <row r="144" spans="1:20" s="37" customFormat="1" ht="15.75" customHeight="1" x14ac:dyDescent="0.25">
      <c r="A144" s="74">
        <f t="shared" si="11"/>
        <v>11</v>
      </c>
      <c r="B144" s="75"/>
      <c r="C144" s="42" t="s">
        <v>336</v>
      </c>
      <c r="D144" s="42">
        <f>(2.75*3.05+3.5*2.55)*10.764</f>
        <v>186.35174999999998</v>
      </c>
      <c r="E144" s="42">
        <v>0</v>
      </c>
      <c r="F144" s="42">
        <f t="shared" si="12"/>
        <v>186.35174999999998</v>
      </c>
      <c r="G144" s="42">
        <v>0</v>
      </c>
      <c r="H144" s="42">
        <f t="shared" si="13"/>
        <v>279.52762499999994</v>
      </c>
      <c r="I144" s="36"/>
      <c r="L144" s="76"/>
      <c r="M144" s="76"/>
      <c r="N144" s="36"/>
      <c r="T144" s="21"/>
    </row>
    <row r="145" spans="1:20" s="37" customFormat="1" x14ac:dyDescent="0.25">
      <c r="A145" s="74"/>
      <c r="B145" s="77"/>
      <c r="C145" s="77"/>
      <c r="D145" s="77"/>
      <c r="E145" s="77"/>
      <c r="F145" s="77"/>
      <c r="G145" s="77"/>
      <c r="H145" s="75"/>
      <c r="I145" s="36"/>
      <c r="N145" s="36"/>
    </row>
    <row r="146" spans="1:20" ht="47.25" customHeight="1" x14ac:dyDescent="0.25">
      <c r="A146" s="88" t="s">
        <v>117</v>
      </c>
      <c r="B146" s="90" t="s">
        <v>177</v>
      </c>
      <c r="C146" s="90" t="s">
        <v>54</v>
      </c>
      <c r="D146" s="110" t="s">
        <v>233</v>
      </c>
      <c r="E146" s="90" t="s">
        <v>232</v>
      </c>
      <c r="F146" s="90" t="s">
        <v>55</v>
      </c>
      <c r="G146" s="92" t="s">
        <v>56</v>
      </c>
      <c r="H146" s="64" t="s">
        <v>146</v>
      </c>
      <c r="I146" s="36"/>
      <c r="T146" s="37"/>
    </row>
    <row r="147" spans="1:20" s="37" customFormat="1" x14ac:dyDescent="0.25">
      <c r="A147" s="89"/>
      <c r="B147" s="91"/>
      <c r="C147" s="91"/>
      <c r="D147" s="111"/>
      <c r="E147" s="91"/>
      <c r="F147" s="91"/>
      <c r="G147" s="93"/>
      <c r="H147" s="68">
        <v>0.45</v>
      </c>
      <c r="I147" s="36"/>
    </row>
    <row r="148" spans="1:20" s="37" customFormat="1" x14ac:dyDescent="0.25">
      <c r="A148" s="85" t="s">
        <v>337</v>
      </c>
      <c r="B148" s="86"/>
      <c r="C148" s="86"/>
      <c r="D148" s="86"/>
      <c r="E148" s="86"/>
      <c r="F148" s="86"/>
      <c r="G148" s="86"/>
      <c r="H148" s="87"/>
      <c r="J148" s="36"/>
    </row>
    <row r="149" spans="1:20" s="37" customFormat="1" x14ac:dyDescent="0.25">
      <c r="A149" s="85" t="s">
        <v>353</v>
      </c>
      <c r="B149" s="86"/>
      <c r="C149" s="86"/>
      <c r="D149" s="86"/>
      <c r="E149" s="86"/>
      <c r="F149" s="86"/>
      <c r="G149" s="86"/>
      <c r="H149" s="87"/>
      <c r="J149" s="36"/>
      <c r="L149" s="42">
        <v>10.763999999999999</v>
      </c>
    </row>
    <row r="150" spans="1:20" s="37" customFormat="1" ht="15.75" customHeight="1" x14ac:dyDescent="0.25">
      <c r="A150" s="74">
        <v>1</v>
      </c>
      <c r="B150" s="75"/>
      <c r="C150" s="42" t="s">
        <v>338</v>
      </c>
      <c r="D150" s="42">
        <f>(54.37)*10.764</f>
        <v>585.23867999999993</v>
      </c>
      <c r="E150" s="42">
        <v>0</v>
      </c>
      <c r="F150" s="42">
        <f>D150+E150</f>
        <v>585.23867999999993</v>
      </c>
      <c r="G150" s="42">
        <v>0</v>
      </c>
      <c r="H150" s="42">
        <f>F150*(($H$147)+1)+(IF(G150&lt;101,G150,IF(G150&lt;201,G150/2,IF(G150&lt;=301,G150/3,G150/4))))</f>
        <v>848.5960859999999</v>
      </c>
      <c r="I150" s="36"/>
      <c r="L150" s="76"/>
      <c r="M150" s="76"/>
      <c r="N150" s="36"/>
    </row>
    <row r="151" spans="1:20" s="37" customFormat="1" ht="15.75" customHeight="1" x14ac:dyDescent="0.25">
      <c r="A151" s="74">
        <f>A150+1</f>
        <v>2</v>
      </c>
      <c r="B151" s="75"/>
      <c r="C151" s="42" t="s">
        <v>338</v>
      </c>
      <c r="D151" s="42">
        <f>(54.37)*10.764</f>
        <v>585.23867999999993</v>
      </c>
      <c r="E151" s="42">
        <v>0</v>
      </c>
      <c r="F151" s="42">
        <f>D151+E151</f>
        <v>585.23867999999993</v>
      </c>
      <c r="G151" s="42">
        <v>0</v>
      </c>
      <c r="H151" s="42">
        <f>F151*(($H$147)+1)+(IF(G151&lt;101,G151,IF(G151&lt;201,G151/2,IF(G151&lt;=301,G151/3,G151/4))))</f>
        <v>848.5960859999999</v>
      </c>
      <c r="I151" s="36"/>
      <c r="K151" s="37">
        <f>17*4-2</f>
        <v>66</v>
      </c>
      <c r="L151" s="76"/>
      <c r="M151" s="76"/>
      <c r="N151" s="36"/>
    </row>
    <row r="152" spans="1:20" s="37" customFormat="1" ht="15.75" customHeight="1" x14ac:dyDescent="0.25">
      <c r="A152" s="74">
        <f>A151+1</f>
        <v>3</v>
      </c>
      <c r="B152" s="75"/>
      <c r="C152" s="42" t="s">
        <v>339</v>
      </c>
      <c r="D152" s="42">
        <f>(34.89)*10.764</f>
        <v>375.55595999999997</v>
      </c>
      <c r="E152" s="42">
        <v>0</v>
      </c>
      <c r="F152" s="42">
        <f>D152+E152</f>
        <v>375.55595999999997</v>
      </c>
      <c r="G152" s="42">
        <v>0</v>
      </c>
      <c r="H152" s="42">
        <f>F152*(($H$147)+1)+(IF(G152&lt;101,G152,IF(G152&lt;201,G152/2,IF(G152&lt;=301,G152/3,G152/4))))</f>
        <v>544.55614199999991</v>
      </c>
      <c r="I152" s="36"/>
      <c r="L152" s="76"/>
      <c r="M152" s="76"/>
      <c r="N152" s="36"/>
    </row>
    <row r="153" spans="1:20" s="37" customFormat="1" ht="15.75" customHeight="1" x14ac:dyDescent="0.25">
      <c r="A153" s="74">
        <f>A152+1</f>
        <v>4</v>
      </c>
      <c r="B153" s="75"/>
      <c r="C153" s="42" t="s">
        <v>339</v>
      </c>
      <c r="D153" s="42">
        <f>(34.9)*10.764</f>
        <v>375.66359999999997</v>
      </c>
      <c r="E153" s="42">
        <v>0</v>
      </c>
      <c r="F153" s="42">
        <f>D153+E153</f>
        <v>375.66359999999997</v>
      </c>
      <c r="G153" s="42">
        <v>0</v>
      </c>
      <c r="H153" s="42">
        <f>F153*(($H$147)+1)+(IF(G153&lt;101,G153,IF(G153&lt;201,G153/2,IF(G153&lt;=301,G153/3,G153/4))))</f>
        <v>544.71222</v>
      </c>
      <c r="I153" s="36"/>
      <c r="L153" s="76"/>
      <c r="M153" s="76"/>
      <c r="N153" s="36"/>
      <c r="T153" s="21"/>
    </row>
    <row r="154" spans="1:20" s="37" customFormat="1" x14ac:dyDescent="0.25">
      <c r="A154" s="85" t="s">
        <v>340</v>
      </c>
      <c r="B154" s="86"/>
      <c r="C154" s="86"/>
      <c r="D154" s="86"/>
      <c r="E154" s="86"/>
      <c r="F154" s="86"/>
      <c r="G154" s="86"/>
      <c r="H154" s="87"/>
      <c r="J154" s="36"/>
    </row>
    <row r="155" spans="1:20" s="37" customFormat="1" ht="15.75" customHeight="1" x14ac:dyDescent="0.25">
      <c r="A155" s="74">
        <v>1</v>
      </c>
      <c r="B155" s="75"/>
      <c r="C155" s="74" t="s">
        <v>341</v>
      </c>
      <c r="D155" s="77"/>
      <c r="E155" s="77"/>
      <c r="F155" s="77"/>
      <c r="G155" s="77"/>
      <c r="H155" s="75"/>
      <c r="I155" s="36"/>
      <c r="L155" s="76"/>
      <c r="M155" s="76"/>
      <c r="N155" s="36"/>
    </row>
    <row r="156" spans="1:20" s="37" customFormat="1" ht="15.75" customHeight="1" x14ac:dyDescent="0.25">
      <c r="A156" s="74">
        <f>A155+1</f>
        <v>2</v>
      </c>
      <c r="B156" s="75"/>
      <c r="C156" s="42" t="s">
        <v>338</v>
      </c>
      <c r="D156" s="42">
        <f>(54.37)*10.764</f>
        <v>585.23867999999993</v>
      </c>
      <c r="E156" s="42">
        <v>0</v>
      </c>
      <c r="F156" s="42">
        <f>D156+E156</f>
        <v>585.23867999999993</v>
      </c>
      <c r="G156" s="42">
        <v>0</v>
      </c>
      <c r="H156" s="42">
        <f>F156*(($H$147)+1)+(IF(G156&lt;101,G156,IF(G156&lt;201,G156/2,IF(G156&lt;=301,G156/3,G156/4))))</f>
        <v>848.5960859999999</v>
      </c>
      <c r="I156" s="36"/>
      <c r="K156" s="37">
        <f>73900000/H157</f>
        <v>135706.85242587901</v>
      </c>
      <c r="L156" s="76"/>
      <c r="M156" s="76"/>
      <c r="N156" s="36"/>
    </row>
    <row r="157" spans="1:20" s="37" customFormat="1" ht="15.75" customHeight="1" x14ac:dyDescent="0.25">
      <c r="A157" s="74">
        <f>A156+1</f>
        <v>3</v>
      </c>
      <c r="B157" s="75"/>
      <c r="C157" s="42" t="s">
        <v>339</v>
      </c>
      <c r="D157" s="42">
        <f>(34.89)*10.764</f>
        <v>375.55595999999997</v>
      </c>
      <c r="E157" s="42">
        <v>0</v>
      </c>
      <c r="F157" s="42">
        <f>D157+E157</f>
        <v>375.55595999999997</v>
      </c>
      <c r="G157" s="42">
        <v>0</v>
      </c>
      <c r="H157" s="42">
        <f>F157*(($H$147)+1)+(IF(G157&lt;101,G157,IF(G157&lt;201,G157/2,IF(G157&lt;=301,G157/3,G157/4))))</f>
        <v>544.55614199999991</v>
      </c>
      <c r="I157" s="36"/>
      <c r="L157" s="76"/>
      <c r="M157" s="76"/>
      <c r="N157" s="36"/>
    </row>
    <row r="158" spans="1:20" s="37" customFormat="1" ht="15.75" customHeight="1" x14ac:dyDescent="0.25">
      <c r="A158" s="74">
        <f>A157+1</f>
        <v>4</v>
      </c>
      <c r="B158" s="75"/>
      <c r="C158" s="42" t="s">
        <v>339</v>
      </c>
      <c r="D158" s="42">
        <f>(34.9)*10.764</f>
        <v>375.66359999999997</v>
      </c>
      <c r="E158" s="42">
        <v>0</v>
      </c>
      <c r="F158" s="42">
        <f>D158+E158</f>
        <v>375.66359999999997</v>
      </c>
      <c r="G158" s="42">
        <v>0</v>
      </c>
      <c r="H158" s="42">
        <f>F158*(($H$147)+1)+(IF(G158&lt;101,G158,IF(G158&lt;201,G158/2,IF(G158&lt;=301,G158/3,G158/4))))</f>
        <v>544.71222</v>
      </c>
      <c r="I158" s="36"/>
      <c r="L158" s="76"/>
      <c r="M158" s="76"/>
      <c r="N158" s="36"/>
      <c r="T158" s="21"/>
    </row>
    <row r="159" spans="1:20" s="37" customFormat="1" x14ac:dyDescent="0.25">
      <c r="A159" s="85" t="s">
        <v>342</v>
      </c>
      <c r="B159" s="86"/>
      <c r="C159" s="86"/>
      <c r="D159" s="86"/>
      <c r="E159" s="86"/>
      <c r="F159" s="86"/>
      <c r="G159" s="86"/>
      <c r="H159" s="87"/>
      <c r="J159" s="36"/>
    </row>
    <row r="160" spans="1:20" s="37" customFormat="1" ht="15.75" customHeight="1" x14ac:dyDescent="0.25">
      <c r="A160" s="74">
        <v>1</v>
      </c>
      <c r="B160" s="75"/>
      <c r="C160" s="74" t="s">
        <v>343</v>
      </c>
      <c r="D160" s="77"/>
      <c r="E160" s="77"/>
      <c r="F160" s="77"/>
      <c r="G160" s="77"/>
      <c r="H160" s="75"/>
      <c r="I160" s="36"/>
      <c r="L160" s="76"/>
      <c r="M160" s="76"/>
      <c r="N160" s="36"/>
    </row>
    <row r="161" spans="1:20" s="37" customFormat="1" ht="15.75" customHeight="1" x14ac:dyDescent="0.25">
      <c r="A161" s="74">
        <f>A160+1</f>
        <v>2</v>
      </c>
      <c r="B161" s="75"/>
      <c r="C161" s="42" t="s">
        <v>338</v>
      </c>
      <c r="D161" s="42">
        <f>(54.37)*10.764</f>
        <v>585.23867999999993</v>
      </c>
      <c r="E161" s="42">
        <v>0</v>
      </c>
      <c r="F161" s="42">
        <f>D161+E161</f>
        <v>585.23867999999993</v>
      </c>
      <c r="G161" s="42">
        <v>0</v>
      </c>
      <c r="H161" s="42">
        <f>F161*(($H$147)+1)+(IF(G161&lt;101,G161,IF(G161&lt;201,G161/2,IF(G161&lt;=301,G161/3,G161/4))))</f>
        <v>848.5960859999999</v>
      </c>
      <c r="I161" s="36"/>
      <c r="L161" s="76"/>
      <c r="M161" s="76"/>
      <c r="N161" s="36"/>
    </row>
    <row r="162" spans="1:20" s="37" customFormat="1" ht="15.75" customHeight="1" x14ac:dyDescent="0.25">
      <c r="A162" s="74">
        <f>A161+1</f>
        <v>3</v>
      </c>
      <c r="B162" s="75"/>
      <c r="C162" s="42" t="s">
        <v>339</v>
      </c>
      <c r="D162" s="42">
        <f>(34.89)*10.764</f>
        <v>375.55595999999997</v>
      </c>
      <c r="E162" s="42">
        <v>0</v>
      </c>
      <c r="F162" s="42">
        <f>D162+E162</f>
        <v>375.55595999999997</v>
      </c>
      <c r="G162" s="42">
        <v>0</v>
      </c>
      <c r="H162" s="42">
        <f>F162*(($H$147)+1)+(IF(G162&lt;101,G162,IF(G162&lt;201,G162/2,IF(G162&lt;=301,G162/3,G162/4))))</f>
        <v>544.55614199999991</v>
      </c>
      <c r="I162" s="36"/>
      <c r="L162" s="76"/>
      <c r="M162" s="76"/>
      <c r="N162" s="36"/>
    </row>
    <row r="163" spans="1:20" s="37" customFormat="1" ht="15.75" customHeight="1" x14ac:dyDescent="0.25">
      <c r="A163" s="74">
        <f>A162+1</f>
        <v>4</v>
      </c>
      <c r="B163" s="75"/>
      <c r="C163" s="42" t="s">
        <v>339</v>
      </c>
      <c r="D163" s="42">
        <f>(34.9)*10.764</f>
        <v>375.66359999999997</v>
      </c>
      <c r="E163" s="42">
        <v>0</v>
      </c>
      <c r="F163" s="42">
        <f>D163+E163</f>
        <v>375.66359999999997</v>
      </c>
      <c r="G163" s="42">
        <v>0</v>
      </c>
      <c r="H163" s="42">
        <f>F163*(($H$147)+1)+(IF(G163&lt;101,G163,IF(G163&lt;201,G163/2,IF(G163&lt;=301,G163/3,G163/4))))</f>
        <v>544.71222</v>
      </c>
      <c r="I163" s="36"/>
      <c r="L163" s="76"/>
      <c r="M163" s="76"/>
      <c r="N163" s="36"/>
      <c r="T163" s="21"/>
    </row>
    <row r="164" spans="1:20" s="37" customFormat="1" x14ac:dyDescent="0.25">
      <c r="A164" s="85" t="s">
        <v>344</v>
      </c>
      <c r="B164" s="86"/>
      <c r="C164" s="86"/>
      <c r="D164" s="86"/>
      <c r="E164" s="86"/>
      <c r="F164" s="86"/>
      <c r="G164" s="86"/>
      <c r="H164" s="87"/>
      <c r="J164" s="36"/>
    </row>
    <row r="165" spans="1:20" s="37" customFormat="1" x14ac:dyDescent="0.25">
      <c r="A165" s="85" t="s">
        <v>353</v>
      </c>
      <c r="B165" s="86"/>
      <c r="C165" s="86"/>
      <c r="D165" s="86"/>
      <c r="E165" s="86"/>
      <c r="F165" s="86"/>
      <c r="G165" s="86"/>
      <c r="H165" s="87"/>
      <c r="J165" s="36"/>
      <c r="L165" s="42">
        <v>10.763999999999999</v>
      </c>
    </row>
    <row r="166" spans="1:20" s="37" customFormat="1" ht="15.75" customHeight="1" x14ac:dyDescent="0.25">
      <c r="A166" s="74">
        <v>1</v>
      </c>
      <c r="B166" s="75"/>
      <c r="C166" s="42" t="s">
        <v>338</v>
      </c>
      <c r="D166" s="42">
        <f>(53.53)*10.764</f>
        <v>576.19691999999998</v>
      </c>
      <c r="E166" s="42">
        <v>0</v>
      </c>
      <c r="F166" s="42">
        <f>D166+E166</f>
        <v>576.19691999999998</v>
      </c>
      <c r="G166" s="42">
        <v>0</v>
      </c>
      <c r="H166" s="42">
        <f>F166*(($H$147)+1)+(IF(G166&lt;101,G166,IF(G166&lt;201,G166/2,IF(G166&lt;=301,G166/3,G166/4))))</f>
        <v>835.48553399999992</v>
      </c>
      <c r="I166" s="36"/>
      <c r="L166" s="76"/>
      <c r="M166" s="76"/>
      <c r="N166" s="36"/>
    </row>
    <row r="167" spans="1:20" s="37" customFormat="1" ht="15.75" customHeight="1" x14ac:dyDescent="0.25">
      <c r="A167" s="74">
        <f>A166+1</f>
        <v>2</v>
      </c>
      <c r="B167" s="75"/>
      <c r="C167" s="42" t="s">
        <v>339</v>
      </c>
      <c r="D167" s="42">
        <f>(37.84)*10.764</f>
        <v>407.30976000000004</v>
      </c>
      <c r="E167" s="42">
        <v>0</v>
      </c>
      <c r="F167" s="42">
        <f>D167+E167</f>
        <v>407.30976000000004</v>
      </c>
      <c r="G167" s="42">
        <v>0</v>
      </c>
      <c r="H167" s="42">
        <f>F167*(($H$147)+1)+(IF(G167&lt;101,G167,IF(G167&lt;201,G167/2,IF(G167&lt;=301,G167/3,G167/4))))</f>
        <v>590.599152</v>
      </c>
      <c r="I167" s="36"/>
      <c r="L167" s="76"/>
      <c r="M167" s="76"/>
      <c r="N167" s="36"/>
    </row>
    <row r="168" spans="1:20" s="37" customFormat="1" ht="15.75" customHeight="1" x14ac:dyDescent="0.25">
      <c r="A168" s="74">
        <f>A167+1</f>
        <v>3</v>
      </c>
      <c r="B168" s="75"/>
      <c r="C168" s="42" t="s">
        <v>339</v>
      </c>
      <c r="D168" s="42">
        <f>(34.89)*10.764</f>
        <v>375.55595999999997</v>
      </c>
      <c r="E168" s="42">
        <v>0</v>
      </c>
      <c r="F168" s="42">
        <f>D168+E168</f>
        <v>375.55595999999997</v>
      </c>
      <c r="G168" s="42">
        <v>0</v>
      </c>
      <c r="H168" s="42">
        <f>F168*(($H$147)+1)+(IF(G168&lt;101,G168,IF(G168&lt;201,G168/2,IF(G168&lt;=301,G168/3,G168/4))))</f>
        <v>544.55614199999991</v>
      </c>
      <c r="I168" s="36"/>
      <c r="L168" s="76"/>
      <c r="M168" s="76"/>
      <c r="N168" s="36"/>
    </row>
    <row r="169" spans="1:20" s="37" customFormat="1" x14ac:dyDescent="0.25">
      <c r="A169" s="85" t="s">
        <v>340</v>
      </c>
      <c r="B169" s="86"/>
      <c r="C169" s="86"/>
      <c r="D169" s="86"/>
      <c r="E169" s="86"/>
      <c r="F169" s="86"/>
      <c r="G169" s="86"/>
      <c r="H169" s="87"/>
      <c r="J169" s="36"/>
    </row>
    <row r="170" spans="1:20" s="37" customFormat="1" ht="15.75" customHeight="1" x14ac:dyDescent="0.25">
      <c r="A170" s="74">
        <v>1</v>
      </c>
      <c r="B170" s="75"/>
      <c r="C170" s="42" t="s">
        <v>338</v>
      </c>
      <c r="D170" s="42">
        <f>(53.53)*10.764</f>
        <v>576.19691999999998</v>
      </c>
      <c r="E170" s="42">
        <v>0</v>
      </c>
      <c r="F170" s="42">
        <f>D170+E170</f>
        <v>576.19691999999998</v>
      </c>
      <c r="G170" s="42">
        <v>0</v>
      </c>
      <c r="H170" s="42">
        <f>F170*(($H$147)+1)+(IF(G170&lt;101,G170,IF(G170&lt;201,G170/2,IF(G170&lt;=301,G170/3,G170/4))))</f>
        <v>835.48553399999992</v>
      </c>
      <c r="I170" s="36"/>
      <c r="L170" s="76"/>
      <c r="M170" s="76"/>
      <c r="N170" s="36"/>
    </row>
    <row r="171" spans="1:20" s="37" customFormat="1" ht="15.75" customHeight="1" x14ac:dyDescent="0.25">
      <c r="A171" s="74">
        <f>A170+1</f>
        <v>2</v>
      </c>
      <c r="B171" s="75"/>
      <c r="C171" s="74" t="s">
        <v>341</v>
      </c>
      <c r="D171" s="77"/>
      <c r="E171" s="77"/>
      <c r="F171" s="77"/>
      <c r="G171" s="77"/>
      <c r="H171" s="75"/>
      <c r="I171" s="36"/>
      <c r="L171" s="76"/>
      <c r="M171" s="76"/>
      <c r="N171" s="36"/>
    </row>
    <row r="172" spans="1:20" s="37" customFormat="1" ht="15.75" customHeight="1" x14ac:dyDescent="0.25">
      <c r="A172" s="74">
        <f>A171+1</f>
        <v>3</v>
      </c>
      <c r="B172" s="75"/>
      <c r="C172" s="42" t="s">
        <v>339</v>
      </c>
      <c r="D172" s="42">
        <f>(34.89)*10.764</f>
        <v>375.55595999999997</v>
      </c>
      <c r="E172" s="42">
        <v>0</v>
      </c>
      <c r="F172" s="42">
        <f>D172+E172</f>
        <v>375.55595999999997</v>
      </c>
      <c r="G172" s="42">
        <v>0</v>
      </c>
      <c r="H172" s="42">
        <f>F172*(($H$147)+1)+(IF(G172&lt;101,G172,IF(G172&lt;201,G172/2,IF(G172&lt;=301,G172/3,G172/4))))</f>
        <v>544.55614199999991</v>
      </c>
      <c r="I172" s="36"/>
      <c r="L172" s="76"/>
      <c r="M172" s="76"/>
      <c r="N172" s="36"/>
    </row>
    <row r="173" spans="1:20" s="37" customFormat="1" x14ac:dyDescent="0.25">
      <c r="A173" s="85" t="s">
        <v>342</v>
      </c>
      <c r="B173" s="86"/>
      <c r="C173" s="86"/>
      <c r="D173" s="86"/>
      <c r="E173" s="86"/>
      <c r="F173" s="86"/>
      <c r="G173" s="86"/>
      <c r="H173" s="87"/>
      <c r="J173" s="36"/>
    </row>
    <row r="174" spans="1:20" s="37" customFormat="1" ht="15.75" customHeight="1" x14ac:dyDescent="0.25">
      <c r="A174" s="74">
        <v>1</v>
      </c>
      <c r="B174" s="75"/>
      <c r="C174" s="42" t="s">
        <v>338</v>
      </c>
      <c r="D174" s="42">
        <f>(53.53)*10.764</f>
        <v>576.19691999999998</v>
      </c>
      <c r="E174" s="42">
        <v>0</v>
      </c>
      <c r="F174" s="42">
        <f>D174+E174</f>
        <v>576.19691999999998</v>
      </c>
      <c r="G174" s="42">
        <v>0</v>
      </c>
      <c r="H174" s="42">
        <f>F174*(($H$147)+1)+(IF(G174&lt;101,G174,IF(G174&lt;201,G174/2,IF(G174&lt;=301,G174/3,G174/4))))</f>
        <v>835.48553399999992</v>
      </c>
      <c r="I174" s="36"/>
      <c r="L174" s="76"/>
      <c r="M174" s="76"/>
      <c r="N174" s="36"/>
    </row>
    <row r="175" spans="1:20" s="37" customFormat="1" ht="15.75" customHeight="1" x14ac:dyDescent="0.25">
      <c r="A175" s="74">
        <f>A174+1</f>
        <v>2</v>
      </c>
      <c r="B175" s="75"/>
      <c r="C175" s="74" t="s">
        <v>341</v>
      </c>
      <c r="D175" s="77"/>
      <c r="E175" s="77"/>
      <c r="F175" s="77"/>
      <c r="G175" s="77"/>
      <c r="H175" s="75"/>
      <c r="I175" s="36"/>
      <c r="L175" s="76"/>
      <c r="M175" s="76"/>
      <c r="N175" s="36"/>
    </row>
    <row r="176" spans="1:20" s="37" customFormat="1" ht="15.75" customHeight="1" x14ac:dyDescent="0.25">
      <c r="A176" s="74">
        <f>A175+1</f>
        <v>3</v>
      </c>
      <c r="B176" s="75"/>
      <c r="C176" s="42" t="s">
        <v>339</v>
      </c>
      <c r="D176" s="42">
        <f>(34.89)*10.764</f>
        <v>375.55595999999997</v>
      </c>
      <c r="E176" s="42">
        <v>0</v>
      </c>
      <c r="F176" s="42">
        <f>D176+E176</f>
        <v>375.55595999999997</v>
      </c>
      <c r="G176" s="42">
        <v>0</v>
      </c>
      <c r="H176" s="42">
        <f>F176*(($H$147)+1)+(IF(G176&lt;101,G176,IF(G176&lt;201,G176/2,IF(G176&lt;=301,G176/3,G176/4))))</f>
        <v>544.55614199999991</v>
      </c>
      <c r="I176" s="36"/>
      <c r="L176" s="76"/>
      <c r="M176" s="76"/>
      <c r="N176" s="36"/>
    </row>
    <row r="177" spans="1:20" s="35" customFormat="1" x14ac:dyDescent="0.25">
      <c r="A177" s="184" t="s">
        <v>64</v>
      </c>
      <c r="B177" s="184"/>
      <c r="C177" s="184"/>
      <c r="D177" s="184"/>
      <c r="E177" s="184"/>
      <c r="F177" s="184"/>
      <c r="G177" s="184"/>
      <c r="H177" s="184"/>
      <c r="T177" s="37"/>
    </row>
    <row r="178" spans="1:20" s="35" customFormat="1" x14ac:dyDescent="0.25">
      <c r="A178" s="46" t="s">
        <v>150</v>
      </c>
      <c r="B178" s="71" t="s">
        <v>354</v>
      </c>
      <c r="C178" s="72"/>
      <c r="D178" s="72"/>
      <c r="E178" s="72"/>
      <c r="F178" s="72"/>
      <c r="G178" s="72"/>
      <c r="H178" s="73"/>
      <c r="T178" s="37"/>
    </row>
    <row r="179" spans="1:20" s="35" customFormat="1" x14ac:dyDescent="0.25">
      <c r="A179" s="46" t="s">
        <v>150</v>
      </c>
      <c r="B179" s="71" t="str">
        <f>(IF(H146="Saleable area Loading :","We have considered Saleable area of Flats as per our Calculation.","We considered Saleable area of Flat as per Builder area Sheet."))</f>
        <v>We have considered Saleable area of Flats as per our Calculation.</v>
      </c>
      <c r="C179" s="72"/>
      <c r="D179" s="72"/>
      <c r="E179" s="72"/>
      <c r="F179" s="72"/>
      <c r="G179" s="72"/>
      <c r="H179" s="73"/>
      <c r="T179" s="37"/>
    </row>
    <row r="180" spans="1:20" s="35" customFormat="1" x14ac:dyDescent="0.25">
      <c r="A180" s="46" t="s">
        <v>150</v>
      </c>
      <c r="B180" s="71" t="str">
        <f>(IF(H130="Saleable area Loading :","We have considered Saleable area of Commercial as per our Calculation.","We considered Saleable area of Commercial as per Builder area Sheet."))</f>
        <v>We have considered Saleable area of Commercial as per our Calculation.</v>
      </c>
      <c r="C180" s="72"/>
      <c r="D180" s="72"/>
      <c r="E180" s="72"/>
      <c r="F180" s="72"/>
      <c r="G180" s="72"/>
      <c r="H180" s="73"/>
      <c r="T180" s="37"/>
    </row>
    <row r="181" spans="1:20" s="35" customFormat="1" x14ac:dyDescent="0.25">
      <c r="A181" s="46" t="s">
        <v>150</v>
      </c>
      <c r="B181" s="81" t="s">
        <v>120</v>
      </c>
      <c r="C181" s="82"/>
      <c r="D181" s="82"/>
      <c r="E181" s="82"/>
      <c r="F181" s="82"/>
      <c r="G181" s="82"/>
      <c r="H181" s="83"/>
      <c r="T181" s="37"/>
    </row>
    <row r="182" spans="1:20" s="35" customFormat="1" x14ac:dyDescent="0.25">
      <c r="A182" s="46" t="s">
        <v>150</v>
      </c>
      <c r="B182" s="81" t="s">
        <v>345</v>
      </c>
      <c r="C182" s="82"/>
      <c r="D182" s="82"/>
      <c r="E182" s="82"/>
      <c r="F182" s="82"/>
      <c r="G182" s="82"/>
      <c r="H182" s="83"/>
      <c r="T182" s="37"/>
    </row>
    <row r="183" spans="1:20" s="35" customFormat="1" x14ac:dyDescent="0.25">
      <c r="A183" s="46" t="s">
        <v>150</v>
      </c>
      <c r="B183" s="81" t="s">
        <v>149</v>
      </c>
      <c r="C183" s="82"/>
      <c r="D183" s="82"/>
      <c r="E183" s="82"/>
      <c r="F183" s="82"/>
      <c r="G183" s="82"/>
      <c r="H183" s="83"/>
    </row>
    <row r="184" spans="1:20" s="35" customFormat="1" x14ac:dyDescent="0.25">
      <c r="A184" s="46" t="s">
        <v>150</v>
      </c>
      <c r="B184" s="81" t="s">
        <v>121</v>
      </c>
      <c r="C184" s="82"/>
      <c r="D184" s="82"/>
      <c r="E184" s="82"/>
      <c r="F184" s="82"/>
      <c r="G184" s="82"/>
      <c r="H184" s="83"/>
    </row>
    <row r="185" spans="1:20" s="35" customFormat="1" ht="34.5" customHeight="1" x14ac:dyDescent="0.25">
      <c r="A185" s="46" t="s">
        <v>150</v>
      </c>
      <c r="B185" s="81" t="s">
        <v>151</v>
      </c>
      <c r="C185" s="82"/>
      <c r="D185" s="82"/>
      <c r="E185" s="82"/>
      <c r="F185" s="82"/>
      <c r="G185" s="82"/>
      <c r="H185" s="83"/>
    </row>
    <row r="186" spans="1:20" s="35" customFormat="1" x14ac:dyDescent="0.25">
      <c r="A186" s="46" t="s">
        <v>150</v>
      </c>
      <c r="B186" s="81" t="s">
        <v>122</v>
      </c>
      <c r="C186" s="82"/>
      <c r="D186" s="82"/>
      <c r="E186" s="82"/>
      <c r="F186" s="82"/>
      <c r="G186" s="82"/>
      <c r="H186" s="83"/>
    </row>
    <row r="187" spans="1:20" s="35" customFormat="1" ht="32.25" customHeight="1" x14ac:dyDescent="0.25">
      <c r="A187" s="46" t="s">
        <v>150</v>
      </c>
      <c r="B187" s="71" t="s">
        <v>178</v>
      </c>
      <c r="C187" s="72"/>
      <c r="D187" s="72"/>
      <c r="E187" s="72"/>
      <c r="F187" s="72"/>
      <c r="G187" s="72"/>
      <c r="H187" s="73"/>
    </row>
    <row r="188" spans="1:20" s="35" customFormat="1" hidden="1" x14ac:dyDescent="0.25">
      <c r="A188" s="46" t="s">
        <v>150</v>
      </c>
      <c r="B188" s="78" t="s">
        <v>234</v>
      </c>
      <c r="C188" s="79"/>
      <c r="D188" s="79"/>
      <c r="E188" s="79"/>
      <c r="F188" s="79"/>
      <c r="G188" s="79"/>
      <c r="H188" s="80"/>
    </row>
    <row r="189" spans="1:20" s="35" customFormat="1" hidden="1" x14ac:dyDescent="0.25">
      <c r="A189" s="46" t="s">
        <v>150</v>
      </c>
      <c r="B189" s="71" t="s">
        <v>347</v>
      </c>
      <c r="C189" s="72"/>
      <c r="D189" s="72"/>
      <c r="E189" s="72"/>
      <c r="F189" s="72"/>
      <c r="G189" s="72"/>
      <c r="H189" s="73"/>
    </row>
    <row r="190" spans="1:20" s="35" customFormat="1" x14ac:dyDescent="0.25">
      <c r="A190" s="46" t="s">
        <v>150</v>
      </c>
      <c r="B190" s="71" t="s">
        <v>357</v>
      </c>
      <c r="C190" s="72"/>
      <c r="D190" s="72"/>
      <c r="E190" s="72"/>
      <c r="F190" s="72"/>
      <c r="G190" s="72"/>
      <c r="H190" s="73"/>
    </row>
    <row r="191" spans="1:20" s="35" customFormat="1" ht="31.15" customHeight="1" x14ac:dyDescent="0.25">
      <c r="A191" s="70" t="s">
        <v>150</v>
      </c>
      <c r="B191" s="71" t="s">
        <v>358</v>
      </c>
      <c r="C191" s="72"/>
      <c r="D191" s="72"/>
      <c r="E191" s="72"/>
      <c r="F191" s="72"/>
      <c r="G191" s="72"/>
      <c r="H191" s="73"/>
    </row>
    <row r="192" spans="1:20" s="35" customFormat="1" ht="46.5" customHeight="1" x14ac:dyDescent="0.25">
      <c r="A192" s="46" t="s">
        <v>150</v>
      </c>
      <c r="B192" s="71" t="s">
        <v>362</v>
      </c>
      <c r="C192" s="72"/>
      <c r="D192" s="72"/>
      <c r="E192" s="72"/>
      <c r="F192" s="72"/>
      <c r="G192" s="72"/>
      <c r="H192" s="73"/>
    </row>
    <row r="193" spans="1:20" x14ac:dyDescent="0.25">
      <c r="A193" s="168" t="s">
        <v>57</v>
      </c>
      <c r="B193" s="168"/>
      <c r="C193" s="168"/>
      <c r="D193" s="168"/>
      <c r="E193" s="168"/>
      <c r="F193" s="168"/>
      <c r="G193" s="168"/>
      <c r="H193" s="168"/>
      <c r="T193" s="35"/>
    </row>
    <row r="194" spans="1:20" x14ac:dyDescent="0.25">
      <c r="A194" s="109" t="s">
        <v>58</v>
      </c>
      <c r="B194" s="109"/>
      <c r="C194" s="109"/>
      <c r="D194" s="109"/>
      <c r="E194" s="109"/>
      <c r="F194" s="109"/>
      <c r="G194" s="109"/>
      <c r="H194" s="109"/>
      <c r="T194" s="35"/>
    </row>
    <row r="195" spans="1:20" ht="15.75" customHeight="1" x14ac:dyDescent="0.25">
      <c r="A195" s="182" t="s">
        <v>59</v>
      </c>
      <c r="B195" s="182"/>
      <c r="C195" s="182"/>
      <c r="D195" s="182"/>
      <c r="E195" s="182"/>
      <c r="F195" s="182"/>
      <c r="G195" s="182"/>
      <c r="H195" s="182"/>
      <c r="T195" s="35"/>
    </row>
    <row r="196" spans="1:20" x14ac:dyDescent="0.25">
      <c r="A196" s="109" t="s">
        <v>60</v>
      </c>
      <c r="B196" s="109"/>
      <c r="C196" s="109"/>
      <c r="D196" s="109"/>
      <c r="E196" s="109"/>
      <c r="F196" s="109"/>
      <c r="G196" s="109"/>
      <c r="H196" s="109"/>
      <c r="T196" s="35"/>
    </row>
    <row r="197" spans="1:20" x14ac:dyDescent="0.25">
      <c r="A197" s="109" t="s">
        <v>61</v>
      </c>
      <c r="B197" s="109"/>
      <c r="C197" s="109"/>
      <c r="D197" s="109"/>
      <c r="E197" s="109"/>
      <c r="F197" s="109"/>
      <c r="G197" s="109"/>
      <c r="H197" s="109"/>
      <c r="T197" s="35"/>
    </row>
    <row r="198" spans="1:20" x14ac:dyDescent="0.25">
      <c r="A198" s="109" t="s">
        <v>123</v>
      </c>
      <c r="B198" s="109"/>
      <c r="C198" s="109"/>
      <c r="D198" s="109"/>
      <c r="E198" s="109"/>
      <c r="F198" s="109"/>
      <c r="G198" s="109"/>
      <c r="H198" s="109"/>
      <c r="T198" s="35"/>
    </row>
    <row r="199" spans="1:20" ht="33.950000000000003" customHeight="1" x14ac:dyDescent="0.25">
      <c r="A199" s="130" t="s">
        <v>124</v>
      </c>
      <c r="B199" s="130"/>
      <c r="C199" s="130"/>
      <c r="D199" s="130"/>
      <c r="E199" s="130"/>
      <c r="F199" s="130"/>
      <c r="G199" s="130"/>
      <c r="H199" s="130"/>
    </row>
    <row r="200" spans="1:20" x14ac:dyDescent="0.25">
      <c r="A200" s="166" t="s">
        <v>73</v>
      </c>
      <c r="B200" s="166"/>
      <c r="C200" s="166" t="s">
        <v>361</v>
      </c>
      <c r="D200" s="166"/>
      <c r="E200" s="166" t="s">
        <v>103</v>
      </c>
      <c r="F200" s="166"/>
      <c r="G200" s="166" t="s">
        <v>360</v>
      </c>
      <c r="H200" s="166"/>
    </row>
    <row r="201" spans="1:20" x14ac:dyDescent="0.25">
      <c r="A201" s="165" t="s">
        <v>75</v>
      </c>
      <c r="B201" s="165"/>
      <c r="C201" s="165"/>
      <c r="D201" s="165"/>
      <c r="E201" s="165"/>
      <c r="F201" s="165"/>
      <c r="G201" s="165"/>
      <c r="H201" s="165"/>
    </row>
    <row r="202" spans="1:20" x14ac:dyDescent="0.25">
      <c r="A202" s="165"/>
      <c r="B202" s="165"/>
      <c r="C202" s="165"/>
      <c r="D202" s="165"/>
      <c r="E202" s="165"/>
      <c r="F202" s="165"/>
      <c r="G202" s="165"/>
      <c r="H202" s="165"/>
    </row>
    <row r="203" spans="1:20" x14ac:dyDescent="0.25">
      <c r="A203" s="165"/>
      <c r="B203" s="165"/>
      <c r="C203" s="165"/>
      <c r="D203" s="165"/>
      <c r="E203" s="165"/>
      <c r="F203" s="165"/>
      <c r="G203" s="165"/>
      <c r="H203" s="165"/>
    </row>
    <row r="204" spans="1:20" x14ac:dyDescent="0.25">
      <c r="A204" s="165"/>
      <c r="B204" s="165"/>
      <c r="C204" s="165"/>
      <c r="D204" s="165"/>
      <c r="E204" s="165"/>
      <c r="F204" s="165"/>
      <c r="G204" s="165"/>
      <c r="H204" s="165"/>
    </row>
    <row r="205" spans="1:20" x14ac:dyDescent="0.25">
      <c r="A205" s="38" t="s">
        <v>62</v>
      </c>
      <c r="B205" s="39"/>
      <c r="C205" s="39"/>
      <c r="D205" s="38" t="str">
        <f>E9</f>
        <v>Shraddha CHS Adityaraj Anchor</v>
      </c>
      <c r="F205" s="39"/>
      <c r="G205" s="39"/>
      <c r="H205" s="39"/>
    </row>
    <row r="206" spans="1:20" x14ac:dyDescent="0.25">
      <c r="A206" s="39"/>
      <c r="B206" s="39"/>
      <c r="C206" s="39"/>
      <c r="D206" s="39"/>
      <c r="E206" s="39"/>
      <c r="F206" s="39"/>
      <c r="G206" s="39"/>
      <c r="H206" s="39"/>
    </row>
    <row r="207" spans="1:20" x14ac:dyDescent="0.25">
      <c r="A207" s="39"/>
      <c r="B207" s="39"/>
      <c r="C207" s="39"/>
      <c r="D207" s="39"/>
      <c r="E207" s="39"/>
      <c r="F207" s="39"/>
      <c r="G207" s="39"/>
      <c r="H207" s="39"/>
    </row>
    <row r="208" spans="1:20" ht="15" customHeight="1" x14ac:dyDescent="0.25"/>
    <row r="247" spans="1:1" x14ac:dyDescent="0.25">
      <c r="A247" s="41" t="s">
        <v>161</v>
      </c>
    </row>
    <row r="289" spans="1:1" x14ac:dyDescent="0.25">
      <c r="A289" s="41" t="s">
        <v>63</v>
      </c>
    </row>
  </sheetData>
  <mergeCells count="383">
    <mergeCell ref="B192:H192"/>
    <mergeCell ref="A61:B61"/>
    <mergeCell ref="D74:H74"/>
    <mergeCell ref="A51:B51"/>
    <mergeCell ref="C59:E59"/>
    <mergeCell ref="G59:H59"/>
    <mergeCell ref="G52:H52"/>
    <mergeCell ref="A53:B54"/>
    <mergeCell ref="I16:P16"/>
    <mergeCell ref="F114:H114"/>
    <mergeCell ref="F112:H112"/>
    <mergeCell ref="E44:H44"/>
    <mergeCell ref="A44:D44"/>
    <mergeCell ref="C53:E53"/>
    <mergeCell ref="C54:E54"/>
    <mergeCell ref="G54:H54"/>
    <mergeCell ref="G53:H53"/>
    <mergeCell ref="A55:B56"/>
    <mergeCell ref="C55:E55"/>
    <mergeCell ref="G55:H55"/>
    <mergeCell ref="A57:B58"/>
    <mergeCell ref="C57:E57"/>
    <mergeCell ref="F35:H35"/>
    <mergeCell ref="F36:H36"/>
    <mergeCell ref="A26:D26"/>
    <mergeCell ref="E26:H26"/>
    <mergeCell ref="F109:H109"/>
    <mergeCell ref="C61:E61"/>
    <mergeCell ref="D63:H63"/>
    <mergeCell ref="F113:H113"/>
    <mergeCell ref="E118:F118"/>
    <mergeCell ref="A118:B118"/>
    <mergeCell ref="A120:B120"/>
    <mergeCell ref="A62:H62"/>
    <mergeCell ref="A63:C63"/>
    <mergeCell ref="A64:C64"/>
    <mergeCell ref="D64:H64"/>
    <mergeCell ref="G61:H61"/>
    <mergeCell ref="E28:H28"/>
    <mergeCell ref="A30:D30"/>
    <mergeCell ref="E30:H30"/>
    <mergeCell ref="A27:D27"/>
    <mergeCell ref="E27:H27"/>
    <mergeCell ref="A31:D31"/>
    <mergeCell ref="E31:H31"/>
    <mergeCell ref="A28:D28"/>
    <mergeCell ref="A37:B37"/>
    <mergeCell ref="C37:E37"/>
    <mergeCell ref="D73:H73"/>
    <mergeCell ref="A74:C74"/>
    <mergeCell ref="A90:B90"/>
    <mergeCell ref="C90:H90"/>
    <mergeCell ref="D68:H68"/>
    <mergeCell ref="A66:C68"/>
    <mergeCell ref="D66:H66"/>
    <mergeCell ref="D67:H67"/>
    <mergeCell ref="A85:B85"/>
    <mergeCell ref="D75:H75"/>
    <mergeCell ref="A73:C73"/>
    <mergeCell ref="E80:F89"/>
    <mergeCell ref="G80:H89"/>
    <mergeCell ref="E79:F79"/>
    <mergeCell ref="A75:C75"/>
    <mergeCell ref="A198:H198"/>
    <mergeCell ref="A195:H195"/>
    <mergeCell ref="A123:B123"/>
    <mergeCell ref="D146:D147"/>
    <mergeCell ref="E146:E147"/>
    <mergeCell ref="A98:B98"/>
    <mergeCell ref="A99:B99"/>
    <mergeCell ref="A100:B100"/>
    <mergeCell ref="F105:H105"/>
    <mergeCell ref="G119:H119"/>
    <mergeCell ref="F111:H111"/>
    <mergeCell ref="C118:D118"/>
    <mergeCell ref="C126:D126"/>
    <mergeCell ref="A149:H149"/>
    <mergeCell ref="A135:B135"/>
    <mergeCell ref="B180:H180"/>
    <mergeCell ref="B178:H178"/>
    <mergeCell ref="B179:H179"/>
    <mergeCell ref="B181:H181"/>
    <mergeCell ref="B182:H182"/>
    <mergeCell ref="A177:H177"/>
    <mergeCell ref="A194:H194"/>
    <mergeCell ref="F104:H104"/>
    <mergeCell ref="E127:F127"/>
    <mergeCell ref="E123:F123"/>
    <mergeCell ref="A128:H128"/>
    <mergeCell ref="A134:B134"/>
    <mergeCell ref="G123:H123"/>
    <mergeCell ref="C130:C131"/>
    <mergeCell ref="A132:H132"/>
    <mergeCell ref="A129:H129"/>
    <mergeCell ref="G118:H118"/>
    <mergeCell ref="A113:E113"/>
    <mergeCell ref="A121:B121"/>
    <mergeCell ref="C121:D121"/>
    <mergeCell ref="E121:F121"/>
    <mergeCell ref="G121:H121"/>
    <mergeCell ref="C123:D123"/>
    <mergeCell ref="A114:E114"/>
    <mergeCell ref="E93:F93"/>
    <mergeCell ref="G93:H93"/>
    <mergeCell ref="A110:E110"/>
    <mergeCell ref="F110:H110"/>
    <mergeCell ref="A112:E112"/>
    <mergeCell ref="F107:H107"/>
    <mergeCell ref="A111:E111"/>
    <mergeCell ref="E94:F103"/>
    <mergeCell ref="A101:B101"/>
    <mergeCell ref="A102:B102"/>
    <mergeCell ref="A201:H204"/>
    <mergeCell ref="A200:B200"/>
    <mergeCell ref="E200:F200"/>
    <mergeCell ref="C200:D200"/>
    <mergeCell ref="G200:H200"/>
    <mergeCell ref="A117:H117"/>
    <mergeCell ref="A115:E115"/>
    <mergeCell ref="F115:H115"/>
    <mergeCell ref="A116:E116"/>
    <mergeCell ref="F116:H116"/>
    <mergeCell ref="A124:B124"/>
    <mergeCell ref="A119:B119"/>
    <mergeCell ref="A196:H196"/>
    <mergeCell ref="A122:H122"/>
    <mergeCell ref="A199:H199"/>
    <mergeCell ref="A197:H197"/>
    <mergeCell ref="A193:H193"/>
    <mergeCell ref="A137:B137"/>
    <mergeCell ref="A127:B127"/>
    <mergeCell ref="A126:B126"/>
    <mergeCell ref="E126:F126"/>
    <mergeCell ref="G126:H126"/>
    <mergeCell ref="C120:D120"/>
    <mergeCell ref="G120:H1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5:H15"/>
    <mergeCell ref="A16:D16"/>
    <mergeCell ref="A11:D11"/>
    <mergeCell ref="E11:H11"/>
    <mergeCell ref="A24:D25"/>
    <mergeCell ref="E24:H25"/>
    <mergeCell ref="E16:H16"/>
    <mergeCell ref="A17:B17"/>
    <mergeCell ref="C17:H17"/>
    <mergeCell ref="C18:H18"/>
    <mergeCell ref="A19:B19"/>
    <mergeCell ref="C19:H19"/>
    <mergeCell ref="A14:D14"/>
    <mergeCell ref="E14:H14"/>
    <mergeCell ref="A13:D13"/>
    <mergeCell ref="E13:H13"/>
    <mergeCell ref="A18:B18"/>
    <mergeCell ref="A15:D15"/>
    <mergeCell ref="A20:B20"/>
    <mergeCell ref="C20:D20"/>
    <mergeCell ref="E20:F20"/>
    <mergeCell ref="G20:H20"/>
    <mergeCell ref="A21:B21"/>
    <mergeCell ref="C21:D21"/>
    <mergeCell ref="E21:F21"/>
    <mergeCell ref="G21:H21"/>
    <mergeCell ref="A22:B22"/>
    <mergeCell ref="C22:D22"/>
    <mergeCell ref="E22:F22"/>
    <mergeCell ref="G22:H22"/>
    <mergeCell ref="A23:B23"/>
    <mergeCell ref="C23:D23"/>
    <mergeCell ref="E23:F23"/>
    <mergeCell ref="G23:H23"/>
    <mergeCell ref="A32:D32"/>
    <mergeCell ref="E32:H32"/>
    <mergeCell ref="A33:D33"/>
    <mergeCell ref="E33:H33"/>
    <mergeCell ref="A29:D29"/>
    <mergeCell ref="E29:H29"/>
    <mergeCell ref="C34:E34"/>
    <mergeCell ref="F37:H37"/>
    <mergeCell ref="F34:H34"/>
    <mergeCell ref="A35:B35"/>
    <mergeCell ref="A34:B34"/>
    <mergeCell ref="C35:E35"/>
    <mergeCell ref="A36:B36"/>
    <mergeCell ref="C36:E36"/>
    <mergeCell ref="A39:H39"/>
    <mergeCell ref="A38:B38"/>
    <mergeCell ref="C38:E38"/>
    <mergeCell ref="A43:D43"/>
    <mergeCell ref="E43:H43"/>
    <mergeCell ref="A42:H42"/>
    <mergeCell ref="A69:C69"/>
    <mergeCell ref="A70:C70"/>
    <mergeCell ref="D69:H69"/>
    <mergeCell ref="D70:H70"/>
    <mergeCell ref="A45:D45"/>
    <mergeCell ref="E45:H45"/>
    <mergeCell ref="E46:H46"/>
    <mergeCell ref="E47:H47"/>
    <mergeCell ref="E48:H48"/>
    <mergeCell ref="C58:H58"/>
    <mergeCell ref="C60:H60"/>
    <mergeCell ref="F38:H38"/>
    <mergeCell ref="C52:E52"/>
    <mergeCell ref="C51:E51"/>
    <mergeCell ref="G51:H51"/>
    <mergeCell ref="A52:B52"/>
    <mergeCell ref="G57:H57"/>
    <mergeCell ref="A59:B60"/>
    <mergeCell ref="A40:B40"/>
    <mergeCell ref="C40:H40"/>
    <mergeCell ref="A47:D47"/>
    <mergeCell ref="L137:M137"/>
    <mergeCell ref="L136:M136"/>
    <mergeCell ref="L135:M135"/>
    <mergeCell ref="L134:M134"/>
    <mergeCell ref="A87:B87"/>
    <mergeCell ref="C124:D124"/>
    <mergeCell ref="E124:F124"/>
    <mergeCell ref="G124:H124"/>
    <mergeCell ref="A105:E105"/>
    <mergeCell ref="A133:H133"/>
    <mergeCell ref="E130:E131"/>
    <mergeCell ref="A94:B94"/>
    <mergeCell ref="A48:D48"/>
    <mergeCell ref="A49:H49"/>
    <mergeCell ref="D65:H65"/>
    <mergeCell ref="A65:C65"/>
    <mergeCell ref="A86:B86"/>
    <mergeCell ref="C92:H92"/>
    <mergeCell ref="A46:D46"/>
    <mergeCell ref="A80:B80"/>
    <mergeCell ref="G79:H79"/>
    <mergeCell ref="A41:B41"/>
    <mergeCell ref="C41:H41"/>
    <mergeCell ref="F130:F131"/>
    <mergeCell ref="C119:D119"/>
    <mergeCell ref="E119:F119"/>
    <mergeCell ref="B130:B131"/>
    <mergeCell ref="A130:A131"/>
    <mergeCell ref="G127:H127"/>
    <mergeCell ref="C56:H56"/>
    <mergeCell ref="A79:B79"/>
    <mergeCell ref="A88:B88"/>
    <mergeCell ref="A89:B89"/>
    <mergeCell ref="A93:B93"/>
    <mergeCell ref="A92:B92"/>
    <mergeCell ref="A78:B78"/>
    <mergeCell ref="A76:B76"/>
    <mergeCell ref="C76:H76"/>
    <mergeCell ref="A84:B84"/>
    <mergeCell ref="A71:C71"/>
    <mergeCell ref="D71:H71"/>
    <mergeCell ref="C127:D127"/>
    <mergeCell ref="C78:H78"/>
    <mergeCell ref="A81:B81"/>
    <mergeCell ref="A50:B50"/>
    <mergeCell ref="C50:H50"/>
    <mergeCell ref="B183:H183"/>
    <mergeCell ref="G94:H103"/>
    <mergeCell ref="A95:B95"/>
    <mergeCell ref="A96:B96"/>
    <mergeCell ref="A97:B97"/>
    <mergeCell ref="F106:H106"/>
    <mergeCell ref="A106:E106"/>
    <mergeCell ref="D130:D131"/>
    <mergeCell ref="A108:E108"/>
    <mergeCell ref="A107:E107"/>
    <mergeCell ref="A104:E104"/>
    <mergeCell ref="F108:H108"/>
    <mergeCell ref="G130:G131"/>
    <mergeCell ref="A82:B82"/>
    <mergeCell ref="A151:B151"/>
    <mergeCell ref="A152:B152"/>
    <mergeCell ref="A153:B153"/>
    <mergeCell ref="A83:B83"/>
    <mergeCell ref="A109:E109"/>
    <mergeCell ref="A103:B103"/>
    <mergeCell ref="A72:C72"/>
    <mergeCell ref="D72:H72"/>
    <mergeCell ref="E120:F120"/>
    <mergeCell ref="A125:B125"/>
    <mergeCell ref="C125:D125"/>
    <mergeCell ref="E125:F125"/>
    <mergeCell ref="G125:H125"/>
    <mergeCell ref="L138:M138"/>
    <mergeCell ref="A139:B139"/>
    <mergeCell ref="L139:M139"/>
    <mergeCell ref="A140:B140"/>
    <mergeCell ref="L140:M140"/>
    <mergeCell ref="A136:B136"/>
    <mergeCell ref="A141:B141"/>
    <mergeCell ref="L141:M141"/>
    <mergeCell ref="A142:B142"/>
    <mergeCell ref="L142:M142"/>
    <mergeCell ref="A138:B138"/>
    <mergeCell ref="L143:M143"/>
    <mergeCell ref="A144:B144"/>
    <mergeCell ref="L144:M144"/>
    <mergeCell ref="A148:H148"/>
    <mergeCell ref="A143:B143"/>
    <mergeCell ref="A154:H154"/>
    <mergeCell ref="A155:B155"/>
    <mergeCell ref="L155:M155"/>
    <mergeCell ref="L153:M153"/>
    <mergeCell ref="L150:M150"/>
    <mergeCell ref="L151:M151"/>
    <mergeCell ref="L152:M152"/>
    <mergeCell ref="A150:B150"/>
    <mergeCell ref="A145:H145"/>
    <mergeCell ref="A146:A147"/>
    <mergeCell ref="F146:F147"/>
    <mergeCell ref="B146:B147"/>
    <mergeCell ref="C146:C147"/>
    <mergeCell ref="G146:G147"/>
    <mergeCell ref="A157:B157"/>
    <mergeCell ref="L157:M157"/>
    <mergeCell ref="A158:B158"/>
    <mergeCell ref="L158:M158"/>
    <mergeCell ref="C155:H155"/>
    <mergeCell ref="A159:H159"/>
    <mergeCell ref="A160:B160"/>
    <mergeCell ref="C160:H160"/>
    <mergeCell ref="L160:M160"/>
    <mergeCell ref="A12:D12"/>
    <mergeCell ref="E12:H12"/>
    <mergeCell ref="A174:B174"/>
    <mergeCell ref="L174:M174"/>
    <mergeCell ref="A175:B175"/>
    <mergeCell ref="L175:M175"/>
    <mergeCell ref="A173:H173"/>
    <mergeCell ref="A167:B167"/>
    <mergeCell ref="L167:M167"/>
    <mergeCell ref="A168:B168"/>
    <mergeCell ref="L168:M168"/>
    <mergeCell ref="A169:H169"/>
    <mergeCell ref="A161:B161"/>
    <mergeCell ref="L161:M161"/>
    <mergeCell ref="A162:B162"/>
    <mergeCell ref="L162:M162"/>
    <mergeCell ref="A163:B163"/>
    <mergeCell ref="L163:M163"/>
    <mergeCell ref="A164:H164"/>
    <mergeCell ref="A165:H165"/>
    <mergeCell ref="A166:B166"/>
    <mergeCell ref="L166:M166"/>
    <mergeCell ref="A156:B156"/>
    <mergeCell ref="L156:M156"/>
    <mergeCell ref="B191:H191"/>
    <mergeCell ref="B190:H190"/>
    <mergeCell ref="A176:B176"/>
    <mergeCell ref="L176:M176"/>
    <mergeCell ref="A170:B170"/>
    <mergeCell ref="L170:M170"/>
    <mergeCell ref="A171:B171"/>
    <mergeCell ref="L171:M171"/>
    <mergeCell ref="A172:B172"/>
    <mergeCell ref="L172:M172"/>
    <mergeCell ref="C171:H171"/>
    <mergeCell ref="C175:H175"/>
    <mergeCell ref="B189:H189"/>
    <mergeCell ref="B188:H188"/>
    <mergeCell ref="B185:H185"/>
    <mergeCell ref="B187:H187"/>
    <mergeCell ref="B186:H186"/>
    <mergeCell ref="B184:H184"/>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8:B18" xr:uid="{00000000-0002-0000-0000-000001000000}">
      <formula1>"CTS No,Survey No,Plot No,Gut No,FP No,"</formula1>
    </dataValidation>
    <dataValidation type="list" allowBlank="1" showInputMessage="1" showErrorMessage="1" sqref="G21:H21" xr:uid="{00000000-0002-0000-0000-000002000000}">
      <formula1>$S$14:$W$14</formula1>
    </dataValidation>
    <dataValidation type="list" allowBlank="1" showInputMessage="1" showErrorMessage="1" sqref="E130:E131" xr:uid="{00000000-0002-0000-0000-000003000000}">
      <formula1>"Attached Loft area,Attached Otla area,Attached Mezzanine area"</formula1>
    </dataValidation>
    <dataValidation type="list" allowBlank="1" showInputMessage="1" showErrorMessage="1" sqref="G200:H200" xr:uid="{00000000-0002-0000-0000-000004000000}">
      <formula1>"Gaurav Panchal,Kunal Kadam,Pranita Mhatre,Shruti Fule,Pooja Kawale,Neha Dhokale,Shruti Tathare, Hitakshi Mhatre, Sachin Sawant"</formula1>
    </dataValidation>
    <dataValidation type="list" allowBlank="1" showInputMessage="1" showErrorMessage="1" sqref="F104:H104" xr:uid="{00000000-0002-0000-0000-000005000000}">
      <formula1>"On Saleable Area,On Builtup Area,On Carpet Area,On Plot Area"</formula1>
    </dataValidation>
    <dataValidation type="list" allowBlank="1" showInputMessage="1" showErrorMessage="1" sqref="F115:H115" xr:uid="{00000000-0002-0000-0000-000006000000}">
      <formula1>OFFSET($S$104,1,MATCH($G21,$S$104:$W$104,0)-1,15,1)</formula1>
    </dataValidation>
    <dataValidation type="list" allowBlank="1" showInputMessage="1" showErrorMessage="1" sqref="B130:B131" xr:uid="{00000000-0002-0000-0000-000007000000}">
      <formula1>"Shop No. (Sale Plan),Sale / Rehab,Sale / Mhada"</formula1>
    </dataValidation>
    <dataValidation type="list" allowBlank="1" showInputMessage="1" showErrorMessage="1" sqref="B146:B147" xr:uid="{00000000-0002-0000-0000-000008000000}">
      <formula1>"Flat No. (Sale Plan),Sale / Rehab,Sale / Mhada"</formula1>
    </dataValidation>
    <dataValidation type="list" allowBlank="1" showInputMessage="1" showErrorMessage="1" sqref="C22:D22" xr:uid="{00000000-0002-0000-0000-000009000000}">
      <formula1>OFFSET($S$14,1,MATCH($G21,$S$14:$W$14,0)-1,15,1)</formula1>
    </dataValidation>
    <dataValidation type="list" allowBlank="1" showInputMessage="1" showErrorMessage="1" sqref="Y14" xr:uid="{00000000-0002-0000-0000-00000A000000}">
      <formula1>$D$5:$H$5</formula1>
    </dataValidation>
    <dataValidation type="list" allowBlank="1" showInputMessage="1" showErrorMessage="1" sqref="E146:E147" xr:uid="{00000000-0002-0000-0000-00000B000000}">
      <formula1>"Fungible area,Balcony Area,Chajja Area,Cornice Area,AP Area,WS Area"</formula1>
    </dataValidation>
    <dataValidation type="list" allowBlank="1" showInputMessage="1" showErrorMessage="1" sqref="H131 H147"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50:H50" xr:uid="{00000000-0002-0000-0000-00000E000000}">
      <formula1>OFFSET($S$50,1,MATCH($G21,$S$50:$W$50,0)-1,15,1)</formula1>
    </dataValidation>
    <dataValidation type="whole" allowBlank="1" showInputMessage="1" showErrorMessage="1" sqref="C85" xr:uid="{00000000-0002-0000-0000-00000F000000}">
      <formula1>0</formula1>
      <formula2>H77</formula2>
    </dataValidation>
    <dataValidation type="list" allowBlank="1" showInputMessage="1" showErrorMessage="1" sqref="H130 H146" xr:uid="{00000000-0002-0000-0000-000010000000}">
      <formula1>"Saleable area Loading :,Builder Saleable Area"</formula1>
    </dataValidation>
    <dataValidation type="list" allowBlank="1" showInputMessage="1" showErrorMessage="1" sqref="D130:D131 D146:D147" xr:uid="{00000000-0002-0000-0000-000011000000}">
      <formula1>"Carpet area,RERA Carpet area"</formula1>
    </dataValidation>
  </dataValidations>
  <hyperlinks>
    <hyperlink ref="C41" r:id="rId1" xr:uid="{00000000-0004-0000-0000-000000000000}"/>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75" max="16383" man="1"/>
    <brk id="204" max="16383" man="1"/>
    <brk id="246" max="16383" man="1"/>
    <brk id="288"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B15" sqref="B15"/>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16" t="s">
        <v>104</v>
      </c>
      <c r="C3" s="216"/>
      <c r="D3" s="216"/>
      <c r="E3" s="216"/>
      <c r="F3" s="216"/>
      <c r="G3" s="216"/>
      <c r="H3" s="216"/>
    </row>
    <row r="4" spans="1:9" x14ac:dyDescent="0.25">
      <c r="A4" s="2"/>
      <c r="B4" s="3" t="s">
        <v>105</v>
      </c>
      <c r="C4" s="3" t="s">
        <v>106</v>
      </c>
      <c r="D4" s="3" t="s">
        <v>65</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3"/>
      <c r="C4" s="53" t="s">
        <v>10</v>
      </c>
      <c r="D4" s="54" t="s">
        <v>179</v>
      </c>
      <c r="E4" s="54" t="s">
        <v>189</v>
      </c>
      <c r="F4" s="54" t="s">
        <v>171</v>
      </c>
      <c r="G4" s="54" t="s">
        <v>194</v>
      </c>
      <c r="H4" s="54" t="s">
        <v>212</v>
      </c>
      <c r="J4" t="s">
        <v>194</v>
      </c>
      <c r="K4" t="s">
        <v>210</v>
      </c>
    </row>
    <row r="5" spans="2:11" x14ac:dyDescent="0.25">
      <c r="B5" s="53"/>
      <c r="C5" s="53"/>
      <c r="D5" s="54" t="s">
        <v>180</v>
      </c>
      <c r="E5" s="54" t="s">
        <v>187</v>
      </c>
      <c r="F5" s="54" t="s">
        <v>209</v>
      </c>
      <c r="G5" s="54" t="s">
        <v>195</v>
      </c>
      <c r="H5" s="54" t="s">
        <v>213</v>
      </c>
    </row>
    <row r="6" spans="2:11" x14ac:dyDescent="0.25">
      <c r="B6" s="53"/>
      <c r="C6" s="53"/>
      <c r="D6" s="54" t="s">
        <v>181</v>
      </c>
      <c r="E6" s="54" t="s">
        <v>188</v>
      </c>
      <c r="F6" s="54" t="s">
        <v>210</v>
      </c>
      <c r="G6" s="54" t="s">
        <v>196</v>
      </c>
      <c r="H6" s="54" t="s">
        <v>226</v>
      </c>
    </row>
    <row r="7" spans="2:11" x14ac:dyDescent="0.25">
      <c r="B7" s="53"/>
      <c r="C7" s="53"/>
      <c r="D7" s="54" t="s">
        <v>182</v>
      </c>
      <c r="E7" s="54" t="s">
        <v>190</v>
      </c>
      <c r="F7" s="54" t="s">
        <v>211</v>
      </c>
      <c r="G7" s="54" t="s">
        <v>197</v>
      </c>
      <c r="H7" s="54" t="s">
        <v>214</v>
      </c>
    </row>
    <row r="8" spans="2:11" x14ac:dyDescent="0.25">
      <c r="B8" s="53"/>
      <c r="C8" s="53"/>
      <c r="D8" s="54" t="s">
        <v>183</v>
      </c>
      <c r="E8" s="54" t="s">
        <v>191</v>
      </c>
      <c r="F8" s="54"/>
      <c r="G8" s="54" t="s">
        <v>198</v>
      </c>
      <c r="H8" s="54" t="s">
        <v>215</v>
      </c>
    </row>
    <row r="9" spans="2:11" x14ac:dyDescent="0.25">
      <c r="B9" s="53"/>
      <c r="C9" s="53"/>
      <c r="D9" s="54" t="s">
        <v>184</v>
      </c>
      <c r="E9" s="54" t="s">
        <v>189</v>
      </c>
      <c r="F9" s="54"/>
      <c r="G9" s="54" t="s">
        <v>199</v>
      </c>
      <c r="H9" s="54" t="s">
        <v>216</v>
      </c>
    </row>
    <row r="10" spans="2:11" x14ac:dyDescent="0.25">
      <c r="B10" s="53"/>
      <c r="C10" s="53"/>
      <c r="D10" s="54" t="s">
        <v>185</v>
      </c>
      <c r="E10" s="54" t="s">
        <v>192</v>
      </c>
      <c r="F10" s="54"/>
      <c r="G10" s="54" t="s">
        <v>200</v>
      </c>
      <c r="H10" s="54" t="s">
        <v>217</v>
      </c>
    </row>
    <row r="11" spans="2:11" x14ac:dyDescent="0.25">
      <c r="B11" s="53"/>
      <c r="C11" s="53"/>
      <c r="D11" s="54" t="s">
        <v>186</v>
      </c>
      <c r="E11" s="54" t="s">
        <v>193</v>
      </c>
      <c r="F11" s="54"/>
      <c r="G11" s="54" t="s">
        <v>201</v>
      </c>
      <c r="H11" s="54" t="s">
        <v>218</v>
      </c>
    </row>
    <row r="12" spans="2:11" x14ac:dyDescent="0.25">
      <c r="B12" s="53"/>
      <c r="C12" s="53"/>
      <c r="D12" s="54"/>
      <c r="E12" s="54"/>
      <c r="F12" s="54"/>
      <c r="G12" s="54" t="s">
        <v>202</v>
      </c>
      <c r="H12" s="54" t="s">
        <v>219</v>
      </c>
    </row>
    <row r="13" spans="2:11" x14ac:dyDescent="0.25">
      <c r="B13" s="53"/>
      <c r="C13" s="53"/>
      <c r="D13" s="54"/>
      <c r="E13" s="54"/>
      <c r="F13" s="54"/>
      <c r="G13" s="54" t="s">
        <v>203</v>
      </c>
      <c r="H13" s="54" t="s">
        <v>220</v>
      </c>
    </row>
    <row r="14" spans="2:11" x14ac:dyDescent="0.25">
      <c r="B14" s="53"/>
      <c r="C14" s="53"/>
      <c r="D14" s="54"/>
      <c r="E14" s="54"/>
      <c r="F14" s="54"/>
      <c r="G14" s="54" t="s">
        <v>204</v>
      </c>
      <c r="H14" s="54" t="s">
        <v>221</v>
      </c>
    </row>
    <row r="15" spans="2:11" x14ac:dyDescent="0.25">
      <c r="B15" s="53"/>
      <c r="C15" s="53"/>
      <c r="D15" s="54"/>
      <c r="E15" s="54"/>
      <c r="F15" s="54"/>
      <c r="G15" s="54" t="s">
        <v>205</v>
      </c>
      <c r="H15" s="54" t="s">
        <v>222</v>
      </c>
    </row>
    <row r="16" spans="2:11" x14ac:dyDescent="0.25">
      <c r="B16" s="53"/>
      <c r="C16" s="53"/>
      <c r="D16" s="54"/>
      <c r="E16" s="54"/>
      <c r="F16" s="54"/>
      <c r="G16" s="54" t="s">
        <v>206</v>
      </c>
      <c r="H16" s="54" t="s">
        <v>223</v>
      </c>
    </row>
    <row r="17" spans="2:8" x14ac:dyDescent="0.25">
      <c r="B17" s="53"/>
      <c r="C17" s="53"/>
      <c r="D17" s="54"/>
      <c r="E17" s="54"/>
      <c r="F17" s="54"/>
      <c r="G17" s="54" t="s">
        <v>207</v>
      </c>
      <c r="H17" s="54" t="s">
        <v>224</v>
      </c>
    </row>
    <row r="18" spans="2:8" x14ac:dyDescent="0.25">
      <c r="B18" s="53"/>
      <c r="C18" s="53"/>
      <c r="D18" s="54"/>
      <c r="E18" s="54"/>
      <c r="F18" s="54"/>
      <c r="G18" s="54" t="s">
        <v>208</v>
      </c>
      <c r="H18" s="54" t="s">
        <v>225</v>
      </c>
    </row>
    <row r="24" spans="2:8" x14ac:dyDescent="0.25">
      <c r="C24" t="s">
        <v>168</v>
      </c>
    </row>
    <row r="25" spans="2:8" x14ac:dyDescent="0.25">
      <c r="C25" t="s">
        <v>227</v>
      </c>
    </row>
    <row r="26" spans="2:8" x14ac:dyDescent="0.25">
      <c r="C26" t="s">
        <v>228</v>
      </c>
    </row>
    <row r="27" spans="2:8" x14ac:dyDescent="0.25">
      <c r="C27" t="s">
        <v>229</v>
      </c>
    </row>
    <row r="28" spans="2:8" x14ac:dyDescent="0.25">
      <c r="C28" t="s">
        <v>230</v>
      </c>
    </row>
    <row r="29" spans="2:8" x14ac:dyDescent="0.25">
      <c r="C29" t="s">
        <v>231</v>
      </c>
    </row>
    <row r="30" spans="2:8" x14ac:dyDescent="0.25">
      <c r="C30" t="s">
        <v>168</v>
      </c>
    </row>
    <row r="33" spans="3:11" x14ac:dyDescent="0.25">
      <c r="J33">
        <v>1</v>
      </c>
      <c r="K33">
        <v>2</v>
      </c>
    </row>
    <row r="34" spans="3:11" x14ac:dyDescent="0.25">
      <c r="C34" s="55" t="s">
        <v>238</v>
      </c>
      <c r="D34" s="54" t="s">
        <v>236</v>
      </c>
      <c r="E34" s="54" t="s">
        <v>241</v>
      </c>
      <c r="F34" s="54" t="s">
        <v>239</v>
      </c>
      <c r="G34" s="54" t="s">
        <v>240</v>
      </c>
      <c r="H34" s="54" t="s">
        <v>242</v>
      </c>
      <c r="J34" t="s">
        <v>194</v>
      </c>
      <c r="K34" t="s">
        <v>210</v>
      </c>
    </row>
    <row r="35" spans="3:11" x14ac:dyDescent="0.25">
      <c r="C35" s="53" t="s">
        <v>237</v>
      </c>
      <c r="D35" s="54" t="s">
        <v>169</v>
      </c>
      <c r="E35" s="54" t="s">
        <v>246</v>
      </c>
      <c r="F35" s="54" t="s">
        <v>248</v>
      </c>
      <c r="G35" s="54" t="s">
        <v>250</v>
      </c>
      <c r="H35" s="54"/>
    </row>
    <row r="36" spans="3:11" x14ac:dyDescent="0.25">
      <c r="C36" s="53"/>
      <c r="D36" s="54" t="s">
        <v>243</v>
      </c>
      <c r="E36" s="54" t="s">
        <v>247</v>
      </c>
      <c r="F36" s="54" t="s">
        <v>249</v>
      </c>
      <c r="G36" s="54" t="s">
        <v>251</v>
      </c>
      <c r="H36" s="54"/>
    </row>
    <row r="37" spans="3:11" x14ac:dyDescent="0.25">
      <c r="C37" s="53"/>
      <c r="D37" s="54" t="s">
        <v>244</v>
      </c>
      <c r="E37" s="54"/>
      <c r="F37" s="54"/>
      <c r="G37" s="54" t="s">
        <v>252</v>
      </c>
      <c r="H37" s="54"/>
    </row>
    <row r="38" spans="3:11" x14ac:dyDescent="0.25">
      <c r="C38" s="53"/>
      <c r="D38" s="54" t="s">
        <v>245</v>
      </c>
      <c r="E38" s="54"/>
      <c r="F38" s="54"/>
      <c r="G38" s="54" t="s">
        <v>252</v>
      </c>
      <c r="H38" s="54"/>
    </row>
    <row r="39" spans="3:11" x14ac:dyDescent="0.25">
      <c r="C39" s="53"/>
      <c r="D39" s="54"/>
      <c r="E39" s="54"/>
      <c r="F39" s="54"/>
      <c r="G39" s="54" t="s">
        <v>253</v>
      </c>
      <c r="H39" s="54"/>
    </row>
    <row r="40" spans="3:11" x14ac:dyDescent="0.25">
      <c r="C40" s="53"/>
      <c r="D40" s="54"/>
      <c r="E40" s="54"/>
      <c r="F40" s="54"/>
      <c r="G40" s="54" t="s">
        <v>254</v>
      </c>
      <c r="H40" s="54"/>
    </row>
    <row r="41" spans="3:11" x14ac:dyDescent="0.25">
      <c r="C41" s="53"/>
      <c r="D41" s="54"/>
      <c r="E41" s="54"/>
      <c r="F41" s="54"/>
      <c r="G41" s="54"/>
      <c r="H41" s="54"/>
    </row>
    <row r="43" spans="3:11" x14ac:dyDescent="0.25">
      <c r="C43" t="s">
        <v>255</v>
      </c>
    </row>
    <row r="44" spans="3:11" x14ac:dyDescent="0.25">
      <c r="C44" t="s">
        <v>171</v>
      </c>
      <c r="D44" t="s">
        <v>256</v>
      </c>
    </row>
    <row r="45" spans="3:11" x14ac:dyDescent="0.25">
      <c r="D45" t="s">
        <v>257</v>
      </c>
    </row>
    <row r="46" spans="3:11" x14ac:dyDescent="0.25">
      <c r="D46" t="s">
        <v>258</v>
      </c>
    </row>
    <row r="47" spans="3:11" x14ac:dyDescent="0.25">
      <c r="D47" t="s">
        <v>259</v>
      </c>
    </row>
    <row r="48" spans="3:11" x14ac:dyDescent="0.25">
      <c r="D48" t="s">
        <v>260</v>
      </c>
    </row>
    <row r="49" spans="3:4" x14ac:dyDescent="0.25">
      <c r="C49" t="s">
        <v>179</v>
      </c>
      <c r="D49" t="s">
        <v>261</v>
      </c>
    </row>
    <row r="50" spans="3:4" x14ac:dyDescent="0.25">
      <c r="D50" t="s">
        <v>262</v>
      </c>
    </row>
    <row r="51" spans="3:4" x14ac:dyDescent="0.25">
      <c r="D51" t="s">
        <v>263</v>
      </c>
    </row>
    <row r="52" spans="3:4" x14ac:dyDescent="0.25">
      <c r="D52" t="s">
        <v>266</v>
      </c>
    </row>
    <row r="53" spans="3:4" x14ac:dyDescent="0.25">
      <c r="D53" t="s">
        <v>264</v>
      </c>
    </row>
    <row r="54" spans="3:4" x14ac:dyDescent="0.25">
      <c r="D54" t="s">
        <v>265</v>
      </c>
    </row>
    <row r="55" spans="3:4" x14ac:dyDescent="0.25">
      <c r="D55" t="s">
        <v>267</v>
      </c>
    </row>
    <row r="56" spans="3:4" x14ac:dyDescent="0.25">
      <c r="D56" t="s">
        <v>268</v>
      </c>
    </row>
    <row r="57" spans="3:4" x14ac:dyDescent="0.25">
      <c r="D57" t="s">
        <v>269</v>
      </c>
    </row>
    <row r="58" spans="3:4" x14ac:dyDescent="0.25">
      <c r="D58" t="s">
        <v>271</v>
      </c>
    </row>
    <row r="59" spans="3:4" x14ac:dyDescent="0.25">
      <c r="D59" t="s">
        <v>280</v>
      </c>
    </row>
    <row r="60" spans="3:4" x14ac:dyDescent="0.25">
      <c r="C60" t="s">
        <v>194</v>
      </c>
      <c r="D60" t="s">
        <v>272</v>
      </c>
    </row>
    <row r="61" spans="3:4" x14ac:dyDescent="0.25">
      <c r="D61" t="s">
        <v>270</v>
      </c>
    </row>
    <row r="62" spans="3:4" x14ac:dyDescent="0.25">
      <c r="D62" t="s">
        <v>260</v>
      </c>
    </row>
    <row r="63" spans="3:4" x14ac:dyDescent="0.25">
      <c r="D63" t="s">
        <v>273</v>
      </c>
    </row>
    <row r="64" spans="3:4" x14ac:dyDescent="0.25">
      <c r="D64" t="s">
        <v>274</v>
      </c>
    </row>
    <row r="65" spans="3:4" x14ac:dyDescent="0.25">
      <c r="D65" t="s">
        <v>275</v>
      </c>
    </row>
    <row r="66" spans="3:4" x14ac:dyDescent="0.25">
      <c r="D66" t="s">
        <v>276</v>
      </c>
    </row>
    <row r="67" spans="3:4" x14ac:dyDescent="0.25">
      <c r="C67" t="s">
        <v>189</v>
      </c>
      <c r="D67" t="s">
        <v>277</v>
      </c>
    </row>
    <row r="68" spans="3:4" x14ac:dyDescent="0.25">
      <c r="D68" t="s">
        <v>278</v>
      </c>
    </row>
    <row r="69" spans="3:4" x14ac:dyDescent="0.25">
      <c r="D69" t="s">
        <v>279</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6"/>
  <sheetViews>
    <sheetView topLeftCell="A6" workbookViewId="0">
      <selection activeCell="C14" sqref="C14"/>
    </sheetView>
  </sheetViews>
  <sheetFormatPr defaultRowHeight="15" x14ac:dyDescent="0.25"/>
  <cols>
    <col min="2" max="2" width="3" bestFit="1" customWidth="1"/>
    <col min="3" max="3" width="130" customWidth="1"/>
  </cols>
  <sheetData>
    <row r="2" spans="2:3" ht="15" customHeight="1" x14ac:dyDescent="0.25">
      <c r="B2" s="56">
        <v>1</v>
      </c>
      <c r="C2" s="58" t="s">
        <v>286</v>
      </c>
    </row>
    <row r="3" spans="2:3" x14ac:dyDescent="0.25">
      <c r="B3" s="56">
        <v>2</v>
      </c>
      <c r="C3" s="57" t="s">
        <v>287</v>
      </c>
    </row>
    <row r="4" spans="2:3" x14ac:dyDescent="0.25">
      <c r="B4" s="56">
        <v>3</v>
      </c>
      <c r="C4" s="56" t="s">
        <v>288</v>
      </c>
    </row>
    <row r="5" spans="2:3" ht="30" x14ac:dyDescent="0.25">
      <c r="B5" s="56">
        <v>4</v>
      </c>
      <c r="C5" s="57" t="s">
        <v>289</v>
      </c>
    </row>
    <row r="6" spans="2:3" x14ac:dyDescent="0.25">
      <c r="B6" s="56">
        <v>5</v>
      </c>
      <c r="C6" s="56" t="s">
        <v>290</v>
      </c>
    </row>
    <row r="7" spans="2:3" ht="30" x14ac:dyDescent="0.25">
      <c r="B7" s="56">
        <v>6</v>
      </c>
      <c r="C7" s="57" t="s">
        <v>291</v>
      </c>
    </row>
    <row r="8" spans="2:3" ht="90" x14ac:dyDescent="0.25">
      <c r="B8" s="56">
        <v>7</v>
      </c>
      <c r="C8" s="57" t="s">
        <v>292</v>
      </c>
    </row>
    <row r="9" spans="2:3" x14ac:dyDescent="0.25">
      <c r="B9" s="56">
        <v>8</v>
      </c>
      <c r="C9" s="56" t="s">
        <v>293</v>
      </c>
    </row>
    <row r="10" spans="2:3" x14ac:dyDescent="0.25">
      <c r="B10" s="56">
        <v>9</v>
      </c>
      <c r="C10" s="56" t="s">
        <v>294</v>
      </c>
    </row>
    <row r="11" spans="2:3" x14ac:dyDescent="0.25">
      <c r="B11" s="56">
        <v>10</v>
      </c>
      <c r="C11" s="56" t="s">
        <v>295</v>
      </c>
    </row>
    <row r="12" spans="2:3" x14ac:dyDescent="0.25">
      <c r="B12" s="56">
        <v>11</v>
      </c>
      <c r="C12" s="56" t="s">
        <v>296</v>
      </c>
    </row>
    <row r="13" spans="2:3" x14ac:dyDescent="0.25">
      <c r="B13" s="56">
        <v>12</v>
      </c>
      <c r="C13" s="56" t="s">
        <v>297</v>
      </c>
    </row>
    <row r="14" spans="2:3" x14ac:dyDescent="0.25">
      <c r="B14" s="56">
        <v>13</v>
      </c>
      <c r="C14" s="56" t="s">
        <v>298</v>
      </c>
    </row>
    <row r="15" spans="2:3" x14ac:dyDescent="0.25">
      <c r="B15" s="56">
        <v>14</v>
      </c>
      <c r="C15" s="56" t="s">
        <v>288</v>
      </c>
    </row>
    <row r="16" spans="2:3" x14ac:dyDescent="0.25">
      <c r="B16" s="56">
        <v>15</v>
      </c>
      <c r="C16" s="56" t="s">
        <v>301</v>
      </c>
    </row>
    <row r="17" spans="2:3" ht="31.5" customHeight="1" x14ac:dyDescent="0.25">
      <c r="B17" s="61">
        <v>16</v>
      </c>
      <c r="C17" s="63" t="s">
        <v>302</v>
      </c>
    </row>
    <row r="18" spans="2:3" x14ac:dyDescent="0.25">
      <c r="B18" s="62">
        <v>17</v>
      </c>
      <c r="C18" s="63" t="s">
        <v>303</v>
      </c>
    </row>
    <row r="19" spans="2:3" x14ac:dyDescent="0.25">
      <c r="B19" s="61">
        <v>18</v>
      </c>
      <c r="C19" s="56" t="s">
        <v>304</v>
      </c>
    </row>
    <row r="20" spans="2:3" x14ac:dyDescent="0.25">
      <c r="B20" s="62">
        <v>19</v>
      </c>
      <c r="C20" s="56"/>
    </row>
    <row r="21" spans="2:3" x14ac:dyDescent="0.25">
      <c r="B21" s="56">
        <v>20</v>
      </c>
      <c r="C21" s="56"/>
    </row>
    <row r="22" spans="2:3" x14ac:dyDescent="0.25">
      <c r="B22" s="56"/>
      <c r="C22" s="56"/>
    </row>
    <row r="23" spans="2:3" x14ac:dyDescent="0.25">
      <c r="B23" s="56"/>
      <c r="C23" s="56"/>
    </row>
    <row r="24" spans="2:3" x14ac:dyDescent="0.25">
      <c r="B24" s="56"/>
      <c r="C24" s="56"/>
    </row>
    <row r="25" spans="2:3" x14ac:dyDescent="0.25">
      <c r="B25" s="56"/>
      <c r="C25" s="56"/>
    </row>
    <row r="26" spans="2:3" x14ac:dyDescent="0.25">
      <c r="B26" s="56"/>
      <c r="C26" s="56"/>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2025-07-14T09:26:22Z</cp:lastPrinted>
  <dcterms:created xsi:type="dcterms:W3CDTF">2019-07-16T09:29:46Z</dcterms:created>
  <dcterms:modified xsi:type="dcterms:W3CDTF">2025-07-14T09:29:17Z</dcterms:modified>
</cp:coreProperties>
</file>