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F805F562-E5E1-45CA-B083-44A076C34027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K143" i="1" l="1"/>
  <c r="L237" i="1"/>
  <c r="K156" i="1"/>
  <c r="J156" i="1"/>
  <c r="D310" i="1"/>
  <c r="D304" i="1"/>
  <c r="D300" i="1"/>
  <c r="D289" i="1"/>
  <c r="D290" i="1"/>
  <c r="D288" i="1"/>
  <c r="D287" i="1"/>
  <c r="D282" i="1"/>
  <c r="D279" i="1"/>
  <c r="D276" i="1"/>
  <c r="D273" i="1"/>
  <c r="D267" i="1" l="1"/>
  <c r="I267" i="1"/>
  <c r="D270" i="1"/>
  <c r="D264" i="1"/>
  <c r="D263" i="1"/>
  <c r="D259" i="1"/>
  <c r="D256" i="1"/>
  <c r="D253" i="1"/>
  <c r="D247" i="1"/>
  <c r="D246" i="1"/>
  <c r="D244" i="1"/>
  <c r="D241" i="1"/>
  <c r="D238" i="1"/>
  <c r="D237" i="1"/>
  <c r="D222" i="1"/>
  <c r="I185" i="1"/>
  <c r="I184" i="1"/>
  <c r="I183" i="1"/>
  <c r="I182" i="1"/>
  <c r="A182" i="1"/>
  <c r="A183" i="1" s="1"/>
  <c r="A184" i="1" s="1"/>
  <c r="I181" i="1"/>
  <c r="G181" i="1"/>
  <c r="J206" i="1"/>
  <c r="D197" i="1"/>
  <c r="I178" i="1"/>
  <c r="I177" i="1"/>
  <c r="D176" i="1"/>
  <c r="I176" i="1"/>
  <c r="D332" i="1" l="1"/>
  <c r="D331" i="1"/>
  <c r="D330" i="1"/>
  <c r="D329" i="1"/>
  <c r="D328" i="1"/>
  <c r="D326" i="1"/>
  <c r="F326" i="1" s="1"/>
  <c r="D325" i="1"/>
  <c r="F325" i="1" s="1"/>
  <c r="D324" i="1"/>
  <c r="F324" i="1" s="1"/>
  <c r="D323" i="1"/>
  <c r="F323" i="1" s="1"/>
  <c r="D322" i="1"/>
  <c r="F322" i="1" s="1"/>
  <c r="D320" i="1"/>
  <c r="F320" i="1" s="1"/>
  <c r="D318" i="1"/>
  <c r="F318" i="1" s="1"/>
  <c r="D317" i="1"/>
  <c r="F317" i="1" s="1"/>
  <c r="D316" i="1"/>
  <c r="F316" i="1" s="1"/>
  <c r="D314" i="1"/>
  <c r="F314" i="1" s="1"/>
  <c r="D313" i="1"/>
  <c r="F313" i="1" s="1"/>
  <c r="D312" i="1"/>
  <c r="F312" i="1" s="1"/>
  <c r="D311" i="1"/>
  <c r="F311" i="1" s="1"/>
  <c r="D308" i="1"/>
  <c r="F308" i="1" s="1"/>
  <c r="D307" i="1"/>
  <c r="F307" i="1" s="1"/>
  <c r="D306" i="1"/>
  <c r="F306" i="1" s="1"/>
  <c r="D305" i="1"/>
  <c r="F305" i="1" s="1"/>
  <c r="F304" i="1"/>
  <c r="D302" i="1"/>
  <c r="F302" i="1" s="1"/>
  <c r="D301" i="1"/>
  <c r="F301" i="1" s="1"/>
  <c r="F300" i="1"/>
  <c r="D299" i="1"/>
  <c r="F299" i="1" s="1"/>
  <c r="D298" i="1"/>
  <c r="F298" i="1" s="1"/>
  <c r="J298" i="1" s="1"/>
  <c r="D296" i="1"/>
  <c r="F296" i="1" s="1"/>
  <c r="D294" i="1"/>
  <c r="F294" i="1" s="1"/>
  <c r="D293" i="1"/>
  <c r="F293" i="1" s="1"/>
  <c r="D292" i="1"/>
  <c r="F292" i="1" s="1"/>
  <c r="F290" i="1"/>
  <c r="F289" i="1"/>
  <c r="F288" i="1"/>
  <c r="F287" i="1"/>
  <c r="D286" i="1"/>
  <c r="F286" i="1" s="1"/>
  <c r="F282" i="1"/>
  <c r="D280" i="1"/>
  <c r="F280" i="1" s="1"/>
  <c r="F279" i="1"/>
  <c r="F276" i="1"/>
  <c r="D274" i="1"/>
  <c r="F274" i="1" s="1"/>
  <c r="F263" i="1"/>
  <c r="F259" i="1"/>
  <c r="F256" i="1"/>
  <c r="D254" i="1"/>
  <c r="F254" i="1" s="1"/>
  <c r="F253" i="1"/>
  <c r="D250" i="1"/>
  <c r="F250" i="1" s="1"/>
  <c r="D249" i="1"/>
  <c r="F249" i="1" s="1"/>
  <c r="F247" i="1"/>
  <c r="F246" i="1"/>
  <c r="L246" i="1" s="1"/>
  <c r="D229" i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F222" i="1"/>
  <c r="D220" i="1"/>
  <c r="D217" i="1"/>
  <c r="D216" i="1"/>
  <c r="E157" i="1" s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6" i="1"/>
  <c r="D195" i="1"/>
  <c r="D194" i="1"/>
  <c r="D193" i="1"/>
  <c r="D192" i="1"/>
  <c r="D191" i="1"/>
  <c r="D190" i="1"/>
  <c r="D189" i="1"/>
  <c r="D188" i="1"/>
  <c r="D179" i="1"/>
  <c r="D178" i="1"/>
  <c r="D177" i="1"/>
  <c r="D175" i="1"/>
  <c r="I216" i="1"/>
  <c r="I175" i="1"/>
  <c r="G273" i="1"/>
  <c r="G256" i="1"/>
  <c r="G240" i="1"/>
  <c r="G220" i="1"/>
  <c r="G222" i="1"/>
  <c r="G322" i="1"/>
  <c r="F310" i="1"/>
  <c r="G298" i="1"/>
  <c r="I287" i="1"/>
  <c r="I286" i="1"/>
  <c r="G282" i="1"/>
  <c r="G276" i="1"/>
  <c r="G279" i="1" s="1"/>
  <c r="F273" i="1"/>
  <c r="F270" i="1"/>
  <c r="I237" i="1"/>
  <c r="I246" i="1"/>
  <c r="F267" i="1"/>
  <c r="G269" i="1"/>
  <c r="G266" i="1"/>
  <c r="G263" i="1"/>
  <c r="F264" i="1"/>
  <c r="G259" i="1"/>
  <c r="G253" i="1"/>
  <c r="G310" i="1"/>
  <c r="G304" i="1"/>
  <c r="G292" i="1"/>
  <c r="G286" i="1"/>
  <c r="G243" i="1"/>
  <c r="G246" i="1"/>
  <c r="G249" i="1"/>
  <c r="E155" i="1" l="1"/>
  <c r="E158" i="1"/>
  <c r="C162" i="1"/>
  <c r="C156" i="1"/>
  <c r="E156" i="1"/>
  <c r="E165" i="1"/>
  <c r="E162" i="1"/>
  <c r="C164" i="1"/>
  <c r="C155" i="1"/>
  <c r="C166" i="1"/>
  <c r="F220" i="1"/>
  <c r="C158" i="1"/>
  <c r="E166" i="1"/>
  <c r="C165" i="1"/>
  <c r="G163" i="1"/>
  <c r="G164" i="1"/>
  <c r="E163" i="1"/>
  <c r="G165" i="1"/>
  <c r="E164" i="1"/>
  <c r="C163" i="1"/>
  <c r="C157" i="1"/>
  <c r="F241" i="1"/>
  <c r="F244" i="1"/>
  <c r="I243" i="1"/>
  <c r="F229" i="1"/>
  <c r="I227" i="1"/>
  <c r="I225" i="1"/>
  <c r="A223" i="1"/>
  <c r="F217" i="1"/>
  <c r="G216" i="1"/>
  <c r="F216" i="1"/>
  <c r="G157" i="1" s="1"/>
  <c r="A225" i="1"/>
  <c r="A226" i="1" s="1"/>
  <c r="A227" i="1" s="1"/>
  <c r="A228" i="1" s="1"/>
  <c r="G188" i="1"/>
  <c r="F178" i="1"/>
  <c r="F179" i="1"/>
  <c r="F177" i="1"/>
  <c r="F176" i="1"/>
  <c r="F175" i="1"/>
  <c r="F214" i="1"/>
  <c r="F213" i="1"/>
  <c r="F212" i="1"/>
  <c r="F211" i="1"/>
  <c r="F209" i="1"/>
  <c r="F206" i="1"/>
  <c r="F205" i="1"/>
  <c r="F204" i="1"/>
  <c r="F203" i="1"/>
  <c r="F202" i="1"/>
  <c r="F201" i="1"/>
  <c r="F199" i="1"/>
  <c r="F200" i="1"/>
  <c r="F198" i="1"/>
  <c r="F196" i="1"/>
  <c r="I195" i="1"/>
  <c r="F195" i="1"/>
  <c r="F194" i="1"/>
  <c r="F191" i="1"/>
  <c r="F190" i="1"/>
  <c r="A210" i="1"/>
  <c r="A211" i="1" s="1"/>
  <c r="A212" i="1" s="1"/>
  <c r="A213" i="1" s="1"/>
  <c r="F208" i="1"/>
  <c r="F207" i="1"/>
  <c r="A203" i="1"/>
  <c r="A204" i="1" s="1"/>
  <c r="A198" i="1"/>
  <c r="A199" i="1" s="1"/>
  <c r="A201" i="1" s="1"/>
  <c r="F197" i="1"/>
  <c r="A196" i="1"/>
  <c r="F189" i="1"/>
  <c r="F188" i="1"/>
  <c r="I179" i="1"/>
  <c r="F193" i="1"/>
  <c r="F192" i="1"/>
  <c r="A192" i="1"/>
  <c r="A193" i="1" s="1"/>
  <c r="A194" i="1" s="1"/>
  <c r="A189" i="1"/>
  <c r="A190" i="1" s="1"/>
  <c r="B113" i="1"/>
  <c r="C98" i="1"/>
  <c r="B99" i="1" s="1"/>
  <c r="G50" i="1"/>
  <c r="C159" i="1" l="1"/>
  <c r="C167" i="1"/>
  <c r="E159" i="1"/>
  <c r="E167" i="1"/>
  <c r="G155" i="1"/>
  <c r="G158" i="1"/>
  <c r="F210" i="1"/>
  <c r="G156" i="1" s="1"/>
  <c r="A208" i="1"/>
  <c r="J123" i="1"/>
  <c r="J121" i="1"/>
  <c r="J122" i="1"/>
  <c r="J120" i="1"/>
  <c r="J106" i="1"/>
  <c r="J108" i="1"/>
  <c r="J107" i="1"/>
  <c r="J109" i="1"/>
  <c r="Z12" i="1"/>
  <c r="I14" i="1"/>
  <c r="H113" i="1"/>
  <c r="H99" i="1"/>
  <c r="D108" i="1" l="1"/>
  <c r="D105" i="1"/>
  <c r="D106" i="1"/>
  <c r="D110" i="1"/>
  <c r="D104" i="1"/>
  <c r="J104" i="1"/>
  <c r="J105" i="1" s="1"/>
  <c r="J110" i="1" s="1"/>
  <c r="J111" i="1" s="1"/>
  <c r="C103" i="1" s="1"/>
  <c r="D103" i="1" s="1"/>
  <c r="J101" i="1"/>
  <c r="D107" i="1"/>
  <c r="J103" i="1"/>
  <c r="C102" i="1" s="1"/>
  <c r="J98" i="1"/>
  <c r="J100" i="1" s="1"/>
  <c r="D111" i="1"/>
  <c r="D109" i="1"/>
  <c r="J102" i="1"/>
  <c r="G159" i="1"/>
  <c r="J117" i="1"/>
  <c r="C116" i="1" s="1"/>
  <c r="D124" i="1"/>
  <c r="D122" i="1"/>
  <c r="D120" i="1"/>
  <c r="D118" i="1"/>
  <c r="J115" i="1"/>
  <c r="J112" i="1"/>
  <c r="J114" i="1" s="1"/>
  <c r="D125" i="1"/>
  <c r="D123" i="1"/>
  <c r="D121" i="1"/>
  <c r="D119" i="1"/>
  <c r="J116" i="1"/>
  <c r="J118" i="1"/>
  <c r="J119" i="1" s="1"/>
  <c r="J124" i="1" s="1"/>
  <c r="J125" i="1" s="1"/>
  <c r="C117" i="1" s="1"/>
  <c r="D117" i="1" s="1"/>
  <c r="F237" i="1"/>
  <c r="N237" i="1" s="1"/>
  <c r="E102" i="1" l="1"/>
  <c r="D102" i="1"/>
  <c r="J99" i="1" s="1"/>
  <c r="G102" i="1"/>
  <c r="E116" i="1"/>
  <c r="D116" i="1"/>
  <c r="I113" i="1" s="1"/>
  <c r="I114" i="1" s="1"/>
  <c r="G116" i="1"/>
  <c r="E168" i="1"/>
  <c r="C168" i="1"/>
  <c r="I99" i="1" l="1"/>
  <c r="I100" i="1" s="1"/>
  <c r="J113" i="1"/>
  <c r="I112" i="1" s="1"/>
  <c r="C114" i="1" s="1"/>
  <c r="E43" i="1"/>
  <c r="E44" i="1" s="1"/>
  <c r="I98" i="1" l="1"/>
  <c r="C100" i="1" s="1"/>
  <c r="C15" i="1"/>
  <c r="E30" i="1" l="1"/>
  <c r="F238" i="1" l="1"/>
  <c r="G162" i="1" s="1"/>
  <c r="A238" i="1"/>
  <c r="G237" i="1"/>
  <c r="G241" i="1" s="1"/>
  <c r="F152" i="1" l="1"/>
  <c r="B335" i="1" l="1"/>
  <c r="F332" i="1" l="1"/>
  <c r="F331" i="1"/>
  <c r="F330" i="1"/>
  <c r="F329" i="1"/>
  <c r="F328" i="1"/>
  <c r="G166" i="1" l="1"/>
  <c r="G167" i="1" s="1"/>
  <c r="G168" i="1" s="1"/>
  <c r="B33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58" i="1"/>
  <c r="G328" i="1"/>
  <c r="G316" i="1"/>
  <c r="A247" i="1"/>
  <c r="A176" i="1"/>
  <c r="A177" i="1" s="1"/>
  <c r="A178" i="1" s="1"/>
  <c r="G175" i="1"/>
  <c r="B127" i="1"/>
  <c r="B85" i="1"/>
  <c r="B71" i="1"/>
  <c r="D55" i="1"/>
  <c r="C50" i="1"/>
  <c r="E27" i="1"/>
  <c r="E25" i="1"/>
  <c r="E7" i="1"/>
  <c r="E3" i="1"/>
  <c r="H127" i="1"/>
  <c r="D64" i="1" l="1"/>
  <c r="J126" i="1"/>
  <c r="J128" i="1" s="1"/>
  <c r="J130" i="1"/>
  <c r="D139" i="1"/>
  <c r="D137" i="1"/>
  <c r="D135" i="1"/>
  <c r="D133" i="1"/>
  <c r="J131" i="1"/>
  <c r="C130" i="1" s="1"/>
  <c r="J129" i="1"/>
  <c r="J132" i="1"/>
  <c r="J133" i="1" s="1"/>
  <c r="J138" i="1" s="1"/>
  <c r="D138" i="1"/>
  <c r="D136" i="1"/>
  <c r="D134" i="1"/>
  <c r="H85" i="1"/>
  <c r="H71" i="1"/>
  <c r="J89" i="1" l="1"/>
  <c r="C88" i="1" s="1"/>
  <c r="J87" i="1"/>
  <c r="J90" i="1"/>
  <c r="J91" i="1" s="1"/>
  <c r="J96" i="1" s="1"/>
  <c r="J84" i="1"/>
  <c r="J86" i="1" s="1"/>
  <c r="D92" i="1"/>
  <c r="D94" i="1"/>
  <c r="D97" i="1"/>
  <c r="D91" i="1"/>
  <c r="D95" i="1"/>
  <c r="D96" i="1"/>
  <c r="D93" i="1"/>
  <c r="J88" i="1"/>
  <c r="D83" i="1"/>
  <c r="D81" i="1"/>
  <c r="D80" i="1"/>
  <c r="D77" i="1"/>
  <c r="D79" i="1"/>
  <c r="J76" i="1"/>
  <c r="J77" i="1" s="1"/>
  <c r="J82" i="1" s="1"/>
  <c r="D82" i="1"/>
  <c r="J70" i="1"/>
  <c r="J72" i="1" s="1"/>
  <c r="D78" i="1"/>
  <c r="J74" i="1"/>
  <c r="J75" i="1"/>
  <c r="C74" i="1" s="1"/>
  <c r="J73" i="1"/>
  <c r="J134" i="1"/>
  <c r="J135" i="1" s="1"/>
  <c r="J136" i="1" s="1"/>
  <c r="J137" i="1" s="1"/>
  <c r="J139" i="1" s="1"/>
  <c r="C131" i="1" s="1"/>
  <c r="J92" i="1"/>
  <c r="J93" i="1" s="1"/>
  <c r="J94" i="1" s="1"/>
  <c r="J95" i="1" s="1"/>
  <c r="J78" i="1"/>
  <c r="J79" i="1" s="1"/>
  <c r="J80" i="1" s="1"/>
  <c r="J81" i="1" s="1"/>
  <c r="D132" i="1"/>
  <c r="D130" i="1"/>
  <c r="D90" i="1"/>
  <c r="D76" i="1"/>
  <c r="D88" i="1" l="1"/>
  <c r="D74" i="1"/>
  <c r="J83" i="1"/>
  <c r="E130" i="1"/>
  <c r="G130" i="1"/>
  <c r="D131" i="1"/>
  <c r="I127" i="1" s="1"/>
  <c r="J97" i="1"/>
  <c r="C89" i="1" s="1"/>
  <c r="J127" i="1"/>
  <c r="C75" i="1" l="1"/>
  <c r="G74" i="1" s="1"/>
  <c r="D68" i="1" s="1"/>
  <c r="J85" i="1"/>
  <c r="E88" i="1"/>
  <c r="G88" i="1"/>
  <c r="D89" i="1"/>
  <c r="I85" i="1" s="1"/>
  <c r="I86" i="1" s="1"/>
  <c r="I128" i="1"/>
  <c r="I126" i="1" s="1"/>
  <c r="C128" i="1" s="1"/>
  <c r="E74" i="1" l="1"/>
  <c r="D75" i="1"/>
  <c r="I71" i="1" s="1"/>
  <c r="I72" i="1" s="1"/>
  <c r="J71" i="1"/>
  <c r="D69" i="1"/>
  <c r="F69" i="1"/>
  <c r="I84" i="1"/>
  <c r="C86" i="1" s="1"/>
  <c r="I70" i="1" l="1"/>
  <c r="C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<sst xmlns="http://schemas.openxmlformats.org/spreadsheetml/2006/main" count="702" uniqueCount="330">
  <si>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</si>
  <si>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</si>
  <si>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</si>
  <si>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</si>
  <si>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</si>
  <si>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</si>
  <si>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</si>
  <si>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</si>
  <si>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</si>
  <si>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</si>
  <si>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</si>
  <si>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</si>
  <si>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</si>
  <si>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</si>
  <si>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</si>
  <si>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</si>
  <si>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</si>
  <si>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</si>
  <si>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</si>
  <si>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</si>
  <si>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</si>
  <si>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</si>
  <si>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</si>
  <si>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</si>
  <si>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</si>
  <si>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</si>
  <si>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</si>
  <si>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</si>
  <si>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</si>
  <si>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</si>
  <si>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</si>
  <si>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</si>
  <si>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</si>
  <si>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</si>
  <si>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</si>
  <si>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</si>
  <si>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</si>
  <si>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</si>
  <si>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</si>
  <si>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</si>
  <si>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</si>
  <si>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</si>
  <si>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</si>
  <si>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</si>
  <si>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</si>
  <si>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</si>
  <si>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</si>
  <si>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</si>
  <si>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</si>
  <si>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</si>
  <si>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</si>
  <si>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</si>
  <si>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</si>
  <si>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</si>
  <si>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</si>
  <si>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</si>
  <si>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</si>
  <si>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</si>
  <si>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</si>
  <si>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</si>
  <si>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</si>
  <si>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</si>
  <si>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</si>
  <si>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</si>
  <si>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</si>
  <si>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</si>
  <si>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</si>
  <si>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</si>
  <si>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</si>
  <si>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</si>
  <si>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</si>
  <si>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</si>
  <si>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</si>
  <si>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</si>
  <si>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</si>
  <si>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</si>
  <si>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</si>
  <si>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</si>
  <si>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</si>
  <si>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</si>
  <si>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</si>
  <si>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</si>
  <si>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</si>
  <si>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</si>
  <si>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</si>
  <si>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</si>
  <si>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</si>
  <si>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</si>
  <si>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</si>
  <si>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</si>
  <si>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</si>
  <si>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</si>
  <si>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</si>
  <si>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</si>
  <si>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</si>
  <si>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</si>
  <si>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</si>
  <si>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</si>
  <si>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</si>
  <si>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</si>
  <si>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</si>
  <si>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</si>
  <si>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</si>
  <si>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</si>
  <si>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</si>
  <si>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</si>
  <si>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</si>
  <si>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</si>
  <si>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</si>
  <si>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</si>
  <si>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</si>
  <si>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</si>
  <si>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</si>
  <si>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</si>
  <si>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</si>
  <si>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</si>
  <si>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</si>
  <si>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</si>
  <si>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</si>
  <si>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</si>
  <si>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</si>
  <si>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</si>
  <si>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</si>
  <si>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</si>
  <si>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</si>
  <si>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</si>
  <si>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</si>
  <si>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</si>
  <si>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</si>
  <si>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</si>
  <si>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</si>
  <si>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</si>
  <si>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</si>
  <si>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</si>
  <si>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</si>
  <si>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</si>
  <si>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</si>
  <si>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</si>
  <si>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</si>
  <si>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</si>
  <si>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</si>
  <si>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</si>
  <si>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</si>
  <si>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</si>
  <si>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</si>
  <si>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</si>
  <si>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</si>
  <si>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</si>
  <si>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</si>
  <si>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</si>
  <si>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</si>
  <si>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</si>
  <si>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</si>
  <si>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</si>
  <si>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</si>
  <si>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</si>
  <si>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</si>
  <si>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</si>
  <si>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</si>
  <si>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</si>
  <si>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</si>
  <si>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</si>
  <si>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</si>
  <si>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</si>
  <si>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</si>
  <si>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</si>
  <si>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</si>
  <si>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</si>
  <si>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</si>
  <si>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</si>
  <si>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</si>
  <si>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</si>
  <si>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</si>
  <si>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</si>
  <si>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</si>
  <si>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</si>
  <si>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</si>
  <si>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</si>
  <si>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</si>
  <si>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</si>
  <si>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</si>
  <si>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</si>
  <si>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</si>
  <si>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</si>
  <si>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</si>
  <si>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</si>
  <si>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</si>
  <si>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</si>
  <si>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</si>
  <si>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</si>
  <si>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</si>
  <si>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</si>
  <si>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</si>
  <si>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</si>
  <si>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</si>
  <si>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</si>
  <si>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</si>
  <si>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</si>
  <si>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</si>
  <si>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</si>
  <si>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</si>
  <si>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</si>
  <si>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</si>
  <si>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</si>
  <si>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</si>
  <si>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</si>
  <si>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</si>
  <si>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</si>
  <si>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</si>
  <si>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</si>
  <si>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</si>
  <si>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</si>
  <si>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</si>
  <si>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</si>
  <si>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</si>
  <si>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</si>
  <si>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</si>
  <si>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</si>
  <si>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</si>
  <si>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</si>
  <si>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</si>
  <si>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</si>
  <si>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</si>
  <si>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</si>
  <si>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</si>
  <si>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</si>
  <si>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</si>
  <si>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</si>
  <si>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</si>
  <si>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Tanishka Reality LLP</t>
  </si>
  <si>
    <t>Tanishkaa Vikrant</t>
  </si>
  <si>
    <t>Approved Plans, CC, Cost Sheet</t>
  </si>
  <si>
    <t>P51800052284</t>
  </si>
  <si>
    <t>Vikrant</t>
  </si>
  <si>
    <t>Sindhu Wadi</t>
  </si>
  <si>
    <t>Ghatkopar</t>
  </si>
  <si>
    <t>Mayfair Mystic</t>
  </si>
  <si>
    <t>Vidyavihar East</t>
  </si>
  <si>
    <t>2.8 KM from Vidyavihar Railway Station</t>
  </si>
  <si>
    <t>Tilak Road/Sai-Vaibhav Co-operative Housing Society</t>
  </si>
  <si>
    <t xml:space="preserve">Other Plot </t>
  </si>
  <si>
    <t>https://maps.app.goo.gl/DnoPNoRhHnp3Bz2Y8</t>
  </si>
  <si>
    <t>19.074780,72.904760</t>
  </si>
  <si>
    <t>05 Buildings</t>
  </si>
  <si>
    <t xml:space="preserve">Slum Rehabilitation Authority (SRA)
</t>
  </si>
  <si>
    <t>SRA/ENG/N/PVT/0105/20220613/AP/S</t>
  </si>
  <si>
    <t>Plot Bearing F.P No</t>
  </si>
  <si>
    <t>As per RERA - 30/06/2029</t>
  </si>
  <si>
    <t>Children's Play Area, Indoor Games, Power Backup, Lift(s), 24x7 Security, Sewage Treatment Plant, 24X7 Water Supply, Landscaping &amp; Tree Planting, Electrification(Transformer, Solar Energy etc),Water Conservation, Rain water Harvesting, Storm Water Drains, Solid Waste Management And Disposal, Closed Car Parking, Fire Sprinklers etc.</t>
  </si>
  <si>
    <t>https://housing.com/in/buy/projects/page/305248-tanishkaa-vikrant-by-tanishka-reality-llp-in-mankur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</si>
  <si>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</si>
  <si>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Shop</t>
  </si>
  <si>
    <t>Wing A</t>
  </si>
  <si>
    <t>Wing A To E</t>
  </si>
  <si>
    <t>Wing A &amp; B</t>
  </si>
  <si>
    <t>Wing C To E</t>
  </si>
  <si>
    <t>Ground Floor For Commercial  Meter Room, Entrance Lobby, O.W.C &amp; Parking</t>
  </si>
  <si>
    <t>Office</t>
  </si>
  <si>
    <t>1st Podium Floor For Commercial &amp; Parking</t>
  </si>
  <si>
    <t>2nd Podium Floor For Commercial &amp; Parking</t>
  </si>
  <si>
    <t>3rd Podium Floor For Commercial &amp; Parking</t>
  </si>
  <si>
    <t>4th Podium Floor For Parking</t>
  </si>
  <si>
    <t>5th Podium Floor For Society Office, Fitness Center &amp; Parking</t>
  </si>
  <si>
    <t>4BHK</t>
  </si>
  <si>
    <t>6BHK</t>
  </si>
  <si>
    <t>-</t>
  </si>
  <si>
    <t>8th (Part Refuge Area)</t>
  </si>
  <si>
    <t>Refuge Area</t>
  </si>
  <si>
    <t>15th (Part Refuge Area)</t>
  </si>
  <si>
    <t>16th &amp; 17th Floor</t>
  </si>
  <si>
    <t>Wing B</t>
  </si>
  <si>
    <t>8th Floor (Part Refuge Area)</t>
  </si>
  <si>
    <t>Part Refuge Area</t>
  </si>
  <si>
    <t>5BHK</t>
  </si>
  <si>
    <t>6.5BHK</t>
  </si>
  <si>
    <t>15th Floor (Part Refuge Area)</t>
  </si>
  <si>
    <t>Wing C</t>
  </si>
  <si>
    <t>Wing D</t>
  </si>
  <si>
    <t>Wing E</t>
  </si>
  <si>
    <t>6th &amp; 7th Floor For Residential</t>
  </si>
  <si>
    <t>2BHK</t>
  </si>
  <si>
    <t>3BHK</t>
  </si>
  <si>
    <t>14th &amp; 16th Floor</t>
  </si>
  <si>
    <t>17th &amp; 18th  Floor</t>
  </si>
  <si>
    <t>We considered Gross carpet area = Net carpet + Balcony</t>
  </si>
  <si>
    <t>s</t>
  </si>
  <si>
    <t>Ground Floor For Commercial, Meter Room, Lobby &amp; Parking</t>
  </si>
  <si>
    <t>Shop Duplex With 1st Podium Floor</t>
  </si>
  <si>
    <t xml:space="preserve">Commercial Area Details : </t>
  </si>
  <si>
    <t>6th, 7th, 9th to 14th Floor For Residential</t>
  </si>
  <si>
    <t>19th &amp; 20th Floor</t>
  </si>
  <si>
    <t>12th &amp; 13th Floor</t>
  </si>
  <si>
    <t>RB Mehta Road</t>
  </si>
  <si>
    <t>RB Mehat Road</t>
  </si>
  <si>
    <t>Barrister Nath Pai Road</t>
  </si>
  <si>
    <t>18.30 M W. Road</t>
  </si>
  <si>
    <t>Existing Road</t>
  </si>
  <si>
    <t>27.45 M. W. Road</t>
  </si>
  <si>
    <t>6, C.T.S No.5987(Pt) Redevlopement of " Lokhit CHSL, Vikrant"</t>
  </si>
  <si>
    <t xml:space="preserve">A Wing = Gr + 1P to 5P + 6th to 20th Floor
B Wing = Gr + 1P to 5P + 6th to 20th Floor
C Wing = Gr + 1P to 5P + 6th to 20th Floor
D Wing = Gr + 1P to 5P + 6th to 20th Floor
E Wing = Gr + 1P to 5P + 6th to 20th Floor
</t>
  </si>
  <si>
    <t>B Wing = Gr + 1P to 5P + 6th to 20th Floor</t>
  </si>
  <si>
    <t>C Wing = Gr + 1P to 5P + 6th to 20th Floor</t>
  </si>
  <si>
    <t>D Wing = Gr + 1P to 5P + 6th to 20th Floor</t>
  </si>
  <si>
    <t>E Wing = Gr + 1P to 5P + 6th to 20th Floor</t>
  </si>
  <si>
    <t>A to E Wing = Gr + 1P to 5P + 6th to 20th Floor</t>
  </si>
  <si>
    <t>19 &amp; 20</t>
  </si>
  <si>
    <t>1st Podium Floor For Commercial, Meter Room, Lobby &amp; Parking</t>
  </si>
  <si>
    <t>Shop Duplex With Ground Floor</t>
  </si>
  <si>
    <t>13A</t>
  </si>
  <si>
    <t>18th to 20th Floor</t>
  </si>
  <si>
    <t>6th, 7th, 9th to 14th &amp; 16th to 20th Floor For Residential</t>
  </si>
  <si>
    <t>6th, 7th, 9th to 12th Floor For Residential</t>
  </si>
  <si>
    <t>13th, 14th, 16th to 20th Floor</t>
  </si>
  <si>
    <t>9th to 11th Floor</t>
  </si>
  <si>
    <t xml:space="preserve">As the project is redevelopement project but rehab statement or rehab flats is not mentioned in the approved layout plan &amp; floor plan.
</t>
  </si>
  <si>
    <t>Advance Maintenance Charges for 24 months</t>
  </si>
  <si>
    <t>Sinking Fund</t>
  </si>
  <si>
    <t>Wing A, B, C, D &amp; E</t>
  </si>
  <si>
    <t>Flats - 185, Shops - 33, Offices - 10</t>
  </si>
  <si>
    <t>N/PVT/0105/20220613/AP/S</t>
  </si>
  <si>
    <t>This CC is further extended upto full ht with OHWT+LMR in form of RCC framework for wing A to E of sale bldg as per last approved amended plans dtd.28/04/2023.
This Commencement Certificate/Building Permit is granted subject to compliance of mentioned in LOI
U/R No. N/PVT/0105/20220613/LOI dt 24/04/2023
IOA/U/R No. N/PVT/0105/20220613/AP/S dt 28/04/2023</t>
  </si>
  <si>
    <t>We have updated latest CC from Rera (On 23/07/2024).</t>
  </si>
  <si>
    <t>Akash Kadam</t>
  </si>
  <si>
    <t>As per Approved Floor Plan, In C to E wing on Ground floor Shop No. 19 &amp; 20 are merged into single shop.</t>
  </si>
  <si>
    <t>A Wing = Gr + 1P to 5P + 6th to 20th Floor</t>
  </si>
  <si>
    <t>Mr.Arvind 9004419810</t>
  </si>
  <si>
    <t>28/04/2023.</t>
  </si>
  <si>
    <t>07/05/2024.</t>
  </si>
  <si>
    <t xml:space="preserve">Construction work is in process at the time of Visit (labour found).
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</si>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</sst>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0000000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9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Protection="1"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0" xfId="1" applyFont="1" applyFill="1"/>
    <xf numFmtId="0" fontId="15" fillId="0" borderId="0" xfId="1" applyFont="1" applyFill="1"/>
    <xf numFmtId="0" fontId="6" fillId="0" borderId="1" xfId="1" applyFont="1" applyFill="1" applyBorder="1" applyAlignment="1" applyProtection="1">
      <alignment vertical="top" wrapText="1"/>
      <protection locked="0"/>
    </xf>
    <xf numFmtId="0" fontId="12" fillId="0" borderId="0" xfId="1" applyFont="1" applyFill="1"/>
    <xf numFmtId="0" fontId="8" fillId="0" borderId="1" xfId="1" applyFont="1" applyFill="1" applyBorder="1" applyAlignment="1" applyProtection="1">
      <alignment vertical="top"/>
      <protection locked="0"/>
    </xf>
    <xf numFmtId="1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24" fillId="0" borderId="30" xfId="0" applyFont="1" applyFill="1" applyBorder="1"/>
    <xf numFmtId="0" fontId="25" fillId="0" borderId="31" xfId="0" applyFont="1" applyFill="1" applyBorder="1"/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7" fillId="0" borderId="5" xfId="1" applyFont="1" applyFill="1" applyBorder="1" applyAlignment="1" applyProtection="1">
      <alignment horizontal="center" vertical="top"/>
      <protection locked="0"/>
    </xf>
    <xf numFmtId="0" fontId="25" fillId="0" borderId="1" xfId="0" applyFont="1" applyFill="1" applyBorder="1"/>
    <xf numFmtId="0" fontId="25" fillId="0" borderId="5" xfId="0" applyFont="1" applyFill="1" applyBorder="1"/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Protection="1">
      <protection hidden="1"/>
    </xf>
    <xf numFmtId="0" fontId="7" fillId="0" borderId="10" xfId="1" applyFont="1" applyFill="1" applyBorder="1"/>
    <xf numFmtId="0" fontId="17" fillId="0" borderId="10" xfId="0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17" fillId="0" borderId="11" xfId="0" applyFont="1" applyFill="1" applyBorder="1" applyProtection="1">
      <protection hidden="1"/>
    </xf>
    <xf numFmtId="1" fontId="0" fillId="0" borderId="12" xfId="0" applyNumberFormat="1" applyFill="1" applyBorder="1"/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>
      <alignment horizontal="center"/>
    </xf>
    <xf numFmtId="0" fontId="7" fillId="0" borderId="0" xfId="1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1" fontId="7" fillId="0" borderId="0" xfId="1" applyNumberFormat="1" applyFont="1" applyFill="1" applyBorder="1" applyAlignment="1">
      <alignment horizontal="left" vertical="center" indent="4"/>
    </xf>
    <xf numFmtId="168" fontId="7" fillId="0" borderId="0" xfId="1" applyNumberFormat="1" applyFont="1" applyFill="1" applyAlignment="1">
      <alignment horizontal="center" vertical="center"/>
    </xf>
    <xf numFmtId="1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0" xfId="1" applyNumberFormat="1" applyFont="1" applyFill="1" applyBorder="1" applyAlignment="1" applyProtection="1">
      <alignment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8" fillId="0" borderId="0" xfId="1" applyNumberFormat="1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Fill="1" applyBorder="1"/>
    <xf numFmtId="0" fontId="25" fillId="0" borderId="9" xfId="0" applyFont="1" applyFill="1" applyBorder="1"/>
    <xf numFmtId="1" fontId="7" fillId="0" borderId="9" xfId="1" applyNumberFormat="1" applyFont="1" applyFill="1" applyBorder="1" applyAlignment="1">
      <alignment horizontal="center" vertical="center"/>
    </xf>
    <xf numFmtId="1" fontId="8" fillId="0" borderId="8" xfId="1" applyNumberFormat="1" applyFont="1" applyFill="1" applyBorder="1" applyAlignment="1" applyProtection="1">
      <alignment horizontal="center" wrapText="1"/>
      <protection locked="0"/>
    </xf>
    <xf numFmtId="1" fontId="8" fillId="0" borderId="21" xfId="1" applyNumberFormat="1" applyFont="1" applyFill="1" applyBorder="1" applyAlignment="1" applyProtection="1">
      <alignment horizontal="center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8" xfId="0" applyNumberFormat="1" applyFont="1" applyFill="1" applyBorder="1" applyAlignment="1" applyProtection="1">
      <alignment horizontal="center" vertical="top" wrapText="1"/>
      <protection locked="0"/>
    </xf>
    <xf numFmtId="1" fontId="6" fillId="0" borderId="9" xfId="0" applyNumberFormat="1" applyFont="1" applyFill="1" applyBorder="1" applyAlignment="1" applyProtection="1">
      <alignment horizontal="center" vertical="top" wrapText="1"/>
      <protection locked="0"/>
    </xf>
    <xf numFmtId="1" fontId="6" fillId="0" borderId="8" xfId="0" applyNumberFormat="1" applyFont="1" applyFill="1" applyBorder="1" applyAlignment="1" applyProtection="1">
      <alignment horizontal="left" vertical="top" wrapText="1" indent="10"/>
      <protection locked="0"/>
    </xf>
    <xf numFmtId="1" fontId="6" fillId="0" borderId="9" xfId="0" applyNumberFormat="1" applyFont="1" applyFill="1" applyBorder="1" applyAlignment="1" applyProtection="1">
      <alignment horizontal="left" vertical="top" wrapText="1" indent="10"/>
      <protection locked="0"/>
    </xf>
    <xf numFmtId="1" fontId="10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7" fillId="0" borderId="25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1" fontId="10" fillId="0" borderId="8" xfId="0" applyNumberFormat="1" applyFont="1" applyFill="1" applyBorder="1" applyAlignment="1" applyProtection="1">
      <alignment vertical="top" wrapText="1"/>
      <protection locked="0"/>
    </xf>
    <xf numFmtId="1" fontId="10" fillId="0" borderId="21" xfId="0" applyNumberFormat="1" applyFont="1" applyFill="1" applyBorder="1" applyAlignment="1" applyProtection="1">
      <alignment vertical="top" wrapText="1"/>
      <protection locked="0"/>
    </xf>
    <xf numFmtId="1" fontId="10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/>
      <protection locked="0"/>
    </xf>
    <xf numFmtId="1" fontId="10" fillId="0" borderId="33" xfId="0" applyNumberFormat="1" applyFont="1" applyFill="1" applyBorder="1" applyAlignment="1" applyProtection="1">
      <alignment horizontal="center" vertical="top" wrapText="1"/>
      <protection locked="0"/>
    </xf>
    <xf numFmtId="1" fontId="8" fillId="0" borderId="33" xfId="0" applyNumberFormat="1" applyFont="1" applyFill="1" applyBorder="1" applyAlignment="1" applyProtection="1">
      <alignment horizontal="center" vertical="top" wrapText="1"/>
      <protection locked="0"/>
    </xf>
    <xf numFmtId="1" fontId="8" fillId="0" borderId="34" xfId="0" applyNumberFormat="1" applyFont="1" applyFill="1" applyBorder="1" applyAlignment="1" applyProtection="1">
      <alignment horizontal="center" vertical="top" wrapText="1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23" xfId="1" applyFont="1" applyFill="1" applyBorder="1" applyAlignment="1" applyProtection="1">
      <alignment horizontal="left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0" fontId="7" fillId="0" borderId="25" xfId="1" applyFont="1" applyFill="1" applyBorder="1" applyAlignment="1" applyProtection="1">
      <alignment horizontal="left" vertical="top"/>
      <protection locked="0"/>
    </xf>
    <xf numFmtId="0" fontId="7" fillId="0" borderId="0" xfId="1" applyFont="1" applyFill="1" applyBorder="1" applyAlignment="1" applyProtection="1">
      <alignment horizontal="left" vertical="top"/>
      <protection locked="0"/>
    </xf>
    <xf numFmtId="0" fontId="7" fillId="0" borderId="26" xfId="1" applyFont="1" applyFill="1" applyBorder="1" applyAlignment="1" applyProtection="1">
      <alignment horizontal="left" vertical="top"/>
      <protection locked="0"/>
    </xf>
    <xf numFmtId="0" fontId="7" fillId="0" borderId="17" xfId="1" applyFont="1" applyFill="1" applyBorder="1" applyAlignment="1" applyProtection="1">
      <alignment horizontal="left" vertical="top"/>
      <protection locked="0"/>
    </xf>
    <xf numFmtId="0" fontId="7" fillId="0" borderId="24" xfId="1" applyFont="1" applyFill="1" applyBorder="1" applyAlignment="1" applyProtection="1">
      <alignment horizontal="left" vertical="top"/>
      <protection locked="0"/>
    </xf>
    <xf numFmtId="0" fontId="7" fillId="0" borderId="18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1" fontId="10" fillId="0" borderId="3" xfId="0" applyNumberFormat="1" applyFont="1" applyFill="1" applyBorder="1" applyAlignment="1" applyProtection="1">
      <alignment horizontal="left" vertical="center" indent="10"/>
      <protection locked="0"/>
    </xf>
    <xf numFmtId="0" fontId="10" fillId="0" borderId="3" xfId="0" applyFont="1" applyFill="1" applyBorder="1" applyAlignment="1" applyProtection="1">
      <alignment horizontal="left" vertical="center" indent="10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26" fillId="0" borderId="0" xfId="10" applyFill="1" applyBorder="1" applyAlignment="1">
      <alignment horizontal="left"/>
    </xf>
    <xf numFmtId="0" fontId="7" fillId="0" borderId="0" xfId="1" applyFont="1" applyFill="1" applyAlignment="1">
      <alignment horizontal="left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1" fontId="10" fillId="0" borderId="3" xfId="0" applyNumberFormat="1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left" vertical="center" indent="10"/>
      <protection locked="0"/>
    </xf>
    <xf numFmtId="1" fontId="8" fillId="0" borderId="8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9" xfId="1" applyNumberFormat="1" applyFont="1" applyFill="1" applyBorder="1" applyAlignment="1" applyProtection="1">
      <alignment horizontal="center" vertical="top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/>
      <protection locked="0"/>
    </xf>
    <xf numFmtId="1" fontId="6" fillId="0" borderId="18" xfId="1" applyNumberFormat="1" applyFont="1" applyFill="1" applyBorder="1" applyAlignment="1" applyProtection="1">
      <alignment horizontal="center" vertical="center"/>
      <protection locked="0"/>
    </xf>
    <xf numFmtId="1" fontId="6" fillId="0" borderId="25" xfId="1" applyNumberFormat="1" applyFont="1" applyFill="1" applyBorder="1" applyAlignment="1" applyProtection="1">
      <alignment horizontal="center" vertical="center"/>
      <protection locked="0"/>
    </xf>
    <xf numFmtId="1" fontId="6" fillId="0" borderId="26" xfId="1" applyNumberFormat="1" applyFont="1" applyFill="1" applyBorder="1" applyAlignment="1" applyProtection="1">
      <alignment horizontal="center" vertical="center"/>
      <protection locked="0"/>
    </xf>
    <xf numFmtId="1" fontId="6" fillId="0" borderId="19" xfId="1" applyNumberFormat="1" applyFont="1" applyFill="1" applyBorder="1" applyAlignment="1" applyProtection="1">
      <alignment horizontal="center" vertical="center"/>
      <protection locked="0"/>
    </xf>
    <xf numFmtId="1" fontId="6" fillId="0" borderId="20" xfId="1" applyNumberFormat="1" applyFont="1" applyFill="1" applyBorder="1" applyAlignment="1" applyProtection="1">
      <alignment horizontal="center" vertical="center"/>
      <protection locked="0"/>
    </xf>
    <xf numFmtId="0" fontId="8" fillId="0" borderId="16" xfId="1" applyFont="1" applyFill="1" applyBorder="1" applyAlignment="1" applyProtection="1">
      <alignment horizontal="left" vertical="top"/>
      <protection locked="0"/>
    </xf>
    <xf numFmtId="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10" fillId="0" borderId="21" xfId="1" applyFont="1" applyFill="1" applyBorder="1" applyAlignment="1" applyProtection="1">
      <alignment horizontal="left" vertical="top"/>
      <protection locked="0"/>
    </xf>
    <xf numFmtId="0" fontId="10" fillId="0" borderId="9" xfId="1" applyFont="1" applyFill="1" applyBorder="1" applyAlignment="1" applyProtection="1">
      <alignment horizontal="left" vertical="top"/>
      <protection locked="0"/>
    </xf>
    <xf numFmtId="0" fontId="12" fillId="0" borderId="25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7" fillId="0" borderId="19" xfId="1" applyFont="1" applyFill="1" applyBorder="1" applyAlignment="1" applyProtection="1">
      <alignment horizontal="left" vertical="top"/>
      <protection locked="0"/>
    </xf>
    <xf numFmtId="0" fontId="7" fillId="0" borderId="2" xfId="1" applyFont="1" applyFill="1" applyBorder="1" applyAlignment="1" applyProtection="1">
      <alignment horizontal="left" vertical="top"/>
      <protection locked="0"/>
    </xf>
    <xf numFmtId="0" fontId="7" fillId="0" borderId="20" xfId="1" applyFont="1" applyFill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1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582706</xdr:colOff>
      <xdr:row>5</xdr:row>
      <xdr:rowOff>179295</xdr:rowOff>
    </xdr:from>
    <xdr:to>
      <xdr:col>13</xdr:col>
      <xdr:colOff>810506</xdr:colOff>
      <xdr:row>21</xdr:row>
      <xdr:rowOff>129539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0706" y="1580030"/>
          <a:ext cx="4642918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437029</xdr:colOff>
      <xdr:row>460</xdr:row>
      <xdr:rowOff>188388</xdr:rowOff>
    </xdr:from>
    <xdr:to>
      <xdr:col>6</xdr:col>
      <xdr:colOff>306155</xdr:colOff>
      <xdr:row>477</xdr:row>
      <xdr:rowOff>512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5058" y="66516006"/>
          <a:ext cx="4385097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437029</xdr:colOff>
      <xdr:row>444</xdr:row>
      <xdr:rowOff>56028</xdr:rowOff>
    </xdr:from>
    <xdr:to>
      <xdr:col>6</xdr:col>
      <xdr:colOff>306155</xdr:colOff>
      <xdr:row>460</xdr:row>
      <xdr:rowOff>68732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5058" y="63156352"/>
          <a:ext cx="4385097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302110</xdr:colOff>
      <xdr:row>464</xdr:row>
      <xdr:rowOff>72011</xdr:rowOff>
    </xdr:from>
    <xdr:to>
      <xdr:col>5</xdr:col>
      <xdr:colOff>48480</xdr:colOff>
      <xdr:row>471</xdr:row>
      <xdr:rowOff>50720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873860" y="99970211"/>
          <a:ext cx="1470395" cy="1378884"/>
          <a:chOff x="2890838" y="3322310"/>
          <a:chExt cx="655178" cy="559128"/>
        </a:xfrm>
      </xdr:grpSpPr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 flipH="1">
            <a:off x="2890838" y="3424238"/>
            <a:ext cx="85725" cy="45720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2890839" y="3881438"/>
            <a:ext cx="485774" cy="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H="1">
            <a:off x="3376613" y="3600225"/>
            <a:ext cx="38100" cy="281213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2979278" y="3433764"/>
            <a:ext cx="311610" cy="23811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 rot="10800000">
            <a:off x="3293603" y="3322310"/>
            <a:ext cx="252413" cy="280933"/>
          </a:xfrm>
          <a:prstGeom prst="arc">
            <a:avLst>
              <a:gd name="adj1" fmla="val 16290474"/>
              <a:gd name="adj2" fmla="val 0"/>
            </a:avLst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>
              <a:ln w="57150">
                <a:solidFill>
                  <a:schemeClr val="tx1"/>
                </a:solidFill>
              </a:ln>
            </a:endParaRPr>
          </a:p>
        </xdr:txBody>
      </xdr:sp>
    </xdr:grpSp>
    <xdr:clientData/>
  </xdr:twoCellAnchor>
  <xdr:twoCellAnchor>
    <xdr:from>
      <xdr:col>1</xdr:col>
      <xdr:colOff>308989</xdr:colOff>
      <xdr:row>431</xdr:row>
      <xdr:rowOff>171384</xdr:rowOff>
    </xdr:from>
    <xdr:to>
      <xdr:col>2</xdr:col>
      <xdr:colOff>730677</xdr:colOff>
      <xdr:row>433</xdr:row>
      <xdr:rowOff>142114</xdr:rowOff>
    </xdr:to>
    <xdr:sp macro="" textlink="">
      <xdr:nvSpPr>
        <xdr:cNvPr id="32" name="TextBox 5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250283" y="94793855"/>
          <a:ext cx="1194894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b="1">
            <a:solidFill>
              <a:srgbClr val="CC0000"/>
            </a:solidFill>
          </a:endParaRPr>
        </a:p>
      </xdr:txBody>
    </xdr:sp>
    <xdr:clientData/>
  </xdr:twoCellAnchor>
  <xdr:twoCellAnchor>
    <xdr:from>
      <xdr:col>3</xdr:col>
      <xdr:colOff>232794</xdr:colOff>
      <xdr:row>424</xdr:row>
      <xdr:rowOff>49946</xdr:rowOff>
    </xdr:from>
    <xdr:to>
      <xdr:col>4</xdr:col>
      <xdr:colOff>419159</xdr:colOff>
      <xdr:row>426</xdr:row>
      <xdr:rowOff>20675</xdr:rowOff>
    </xdr:to>
    <xdr:sp macro="" textlink="">
      <xdr:nvSpPr>
        <xdr:cNvPr id="35" name="TextBox 11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000647" y="93260475"/>
          <a:ext cx="1194894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>
            <a:solidFill>
              <a:srgbClr val="0066FF"/>
            </a:solidFill>
          </a:endParaRPr>
        </a:p>
      </xdr:txBody>
    </xdr:sp>
    <xdr:clientData/>
  </xdr:twoCellAnchor>
  <xdr:twoCellAnchor editAs="oneCell">
    <xdr:from>
      <xdr:col>1</xdr:col>
      <xdr:colOff>526674</xdr:colOff>
      <xdr:row>401</xdr:row>
      <xdr:rowOff>100850</xdr:rowOff>
    </xdr:from>
    <xdr:to>
      <xdr:col>6</xdr:col>
      <xdr:colOff>315191</xdr:colOff>
      <xdr:row>419</xdr:row>
      <xdr:rowOff>70145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7968" y="88672144"/>
          <a:ext cx="4304488" cy="360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819056</xdr:colOff>
      <xdr:row>404</xdr:row>
      <xdr:rowOff>92322</xdr:rowOff>
    </xdr:from>
    <xdr:to>
      <xdr:col>5</xdr:col>
      <xdr:colOff>707948</xdr:colOff>
      <xdr:row>405</xdr:row>
      <xdr:rowOff>79839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586909" y="89268734"/>
          <a:ext cx="1737863" cy="1892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190630</xdr:colOff>
      <xdr:row>403</xdr:row>
      <xdr:rowOff>113526</xdr:rowOff>
    </xdr:from>
    <xdr:to>
      <xdr:col>5</xdr:col>
      <xdr:colOff>797880</xdr:colOff>
      <xdr:row>417</xdr:row>
      <xdr:rowOff>193462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781305" y="87810201"/>
          <a:ext cx="3293300" cy="2880286"/>
          <a:chOff x="1860307" y="89077026"/>
          <a:chExt cx="3509574" cy="2903818"/>
        </a:xfrm>
      </xdr:grpSpPr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pSpPr/>
        </xdr:nvGrpSpPr>
        <xdr:grpSpPr>
          <a:xfrm>
            <a:off x="1860307" y="89077026"/>
            <a:ext cx="3190967" cy="2900395"/>
            <a:chOff x="901702" y="2499512"/>
            <a:chExt cx="4615614" cy="4288872"/>
          </a:xfrm>
        </xdr:grpSpPr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901702" y="4680044"/>
              <a:ext cx="1489077" cy="2108340"/>
              <a:chOff x="2463800" y="2597150"/>
              <a:chExt cx="2257424" cy="3886200"/>
            </a:xfrm>
          </xdr:grpSpPr>
          <xdr:cxnSp macro="">
            <xdr:nvCxnSpPr>
              <xdr:cNvPr id="75" name="Straight Connector 74">
                <a:extLst>
                  <a:ext uri="{FF2B5EF4-FFF2-40B4-BE49-F238E27FC236}">
                    <a16:creationId xmlns:a16="http://schemas.microsoft.com/office/drawing/2014/main" id="{00000000-0008-0000-0000-00004B000000}"/>
                  </a:ext>
                </a:extLst>
              </xdr:cNvPr>
              <xdr:cNvCxnSpPr/>
            </xdr:nvCxnSpPr>
            <xdr:spPr>
              <a:xfrm>
                <a:off x="4254500" y="5314950"/>
                <a:ext cx="463549" cy="6351"/>
              </a:xfrm>
              <a:prstGeom prst="line">
                <a:avLst/>
              </a:prstGeom>
              <a:ln w="28575">
                <a:solidFill>
                  <a:srgbClr val="CC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6" name="Straight Connector 75">
                <a:extLst>
                  <a:ext uri="{FF2B5EF4-FFF2-40B4-BE49-F238E27FC236}">
                    <a16:creationId xmlns:a16="http://schemas.microsoft.com/office/drawing/2014/main" id="{00000000-0008-0000-0000-00004C000000}"/>
                  </a:ext>
                </a:extLst>
              </xdr:cNvPr>
              <xdr:cNvCxnSpPr/>
            </xdr:nvCxnSpPr>
            <xdr:spPr>
              <a:xfrm>
                <a:off x="4076699" y="4072164"/>
                <a:ext cx="641350" cy="6351"/>
              </a:xfrm>
              <a:prstGeom prst="line">
                <a:avLst/>
              </a:prstGeom>
              <a:ln w="28575">
                <a:solidFill>
                  <a:srgbClr val="CC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77" name="Group 76">
                <a:extLst>
                  <a:ext uri="{FF2B5EF4-FFF2-40B4-BE49-F238E27FC236}">
                    <a16:creationId xmlns:a16="http://schemas.microsoft.com/office/drawing/2014/main" id="{00000000-0008-0000-0000-00004D000000}"/>
                  </a:ext>
                </a:extLst>
              </xdr:cNvPr>
              <xdr:cNvGrpSpPr/>
            </xdr:nvGrpSpPr>
            <xdr:grpSpPr>
              <a:xfrm>
                <a:off x="2463800" y="2597150"/>
                <a:ext cx="2257424" cy="3886200"/>
                <a:chOff x="2463800" y="2597150"/>
                <a:chExt cx="2257424" cy="3886200"/>
              </a:xfrm>
            </xdr:grpSpPr>
            <xdr:cxnSp macro="">
              <xdr:nvCxnSpPr>
                <xdr:cNvPr id="78" name="Straight Connector 77">
                  <a:extLst>
                    <a:ext uri="{FF2B5EF4-FFF2-40B4-BE49-F238E27FC236}">
                      <a16:creationId xmlns:a16="http://schemas.microsoft.com/office/drawing/2014/main" id="{00000000-0008-0000-0000-00004E000000}"/>
                    </a:ext>
                  </a:extLst>
                </xdr:cNvPr>
                <xdr:cNvCxnSpPr/>
              </xdr:nvCxnSpPr>
              <xdr:spPr>
                <a:xfrm>
                  <a:off x="2552699" y="2597150"/>
                  <a:ext cx="1524000" cy="25400"/>
                </a:xfrm>
                <a:prstGeom prst="line">
                  <a:avLst/>
                </a:prstGeom>
                <a:ln w="28575">
                  <a:solidFill>
                    <a:srgbClr val="CC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9" name="Straight Connector 78">
                  <a:extLst>
                    <a:ext uri="{FF2B5EF4-FFF2-40B4-BE49-F238E27FC236}">
                      <a16:creationId xmlns:a16="http://schemas.microsoft.com/office/drawing/2014/main" id="{00000000-0008-0000-0000-00004F000000}"/>
                    </a:ext>
                  </a:extLst>
                </xdr:cNvPr>
                <xdr:cNvCxnSpPr/>
              </xdr:nvCxnSpPr>
              <xdr:spPr>
                <a:xfrm flipV="1">
                  <a:off x="2463800" y="6428665"/>
                  <a:ext cx="1601790" cy="29287"/>
                </a:xfrm>
                <a:prstGeom prst="line">
                  <a:avLst/>
                </a:prstGeom>
                <a:ln w="28575">
                  <a:solidFill>
                    <a:srgbClr val="CC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0" name="Straight Connector 79">
                  <a:extLst>
                    <a:ext uri="{FF2B5EF4-FFF2-40B4-BE49-F238E27FC236}">
                      <a16:creationId xmlns:a16="http://schemas.microsoft.com/office/drawing/2014/main" id="{00000000-0008-0000-0000-000050000000}"/>
                    </a:ext>
                  </a:extLst>
                </xdr:cNvPr>
                <xdr:cNvCxnSpPr/>
              </xdr:nvCxnSpPr>
              <xdr:spPr>
                <a:xfrm flipH="1">
                  <a:off x="2463802" y="2597150"/>
                  <a:ext cx="88899" cy="3860800"/>
                </a:xfrm>
                <a:prstGeom prst="line">
                  <a:avLst/>
                </a:prstGeom>
                <a:ln w="28575">
                  <a:solidFill>
                    <a:srgbClr val="CC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1" name="Straight Connector 80">
                  <a:extLst>
                    <a:ext uri="{FF2B5EF4-FFF2-40B4-BE49-F238E27FC236}">
                      <a16:creationId xmlns:a16="http://schemas.microsoft.com/office/drawing/2014/main" id="{00000000-0008-0000-0000-000051000000}"/>
                    </a:ext>
                  </a:extLst>
                </xdr:cNvPr>
                <xdr:cNvCxnSpPr/>
              </xdr:nvCxnSpPr>
              <xdr:spPr>
                <a:xfrm>
                  <a:off x="4076699" y="2609849"/>
                  <a:ext cx="0" cy="1468663"/>
                </a:xfrm>
                <a:prstGeom prst="line">
                  <a:avLst/>
                </a:prstGeom>
                <a:ln w="28575">
                  <a:solidFill>
                    <a:srgbClr val="CC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2" name="Straight Connector 81">
                  <a:extLst>
                    <a:ext uri="{FF2B5EF4-FFF2-40B4-BE49-F238E27FC236}">
                      <a16:creationId xmlns:a16="http://schemas.microsoft.com/office/drawing/2014/main" id="{00000000-0008-0000-0000-000052000000}"/>
                    </a:ext>
                  </a:extLst>
                </xdr:cNvPr>
                <xdr:cNvCxnSpPr/>
              </xdr:nvCxnSpPr>
              <xdr:spPr>
                <a:xfrm>
                  <a:off x="4025900" y="5099051"/>
                  <a:ext cx="20641" cy="1384299"/>
                </a:xfrm>
                <a:prstGeom prst="line">
                  <a:avLst/>
                </a:prstGeom>
                <a:ln w="28575">
                  <a:solidFill>
                    <a:srgbClr val="CC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3" name="Straight Connector 82">
                  <a:extLst>
                    <a:ext uri="{FF2B5EF4-FFF2-40B4-BE49-F238E27FC236}">
                      <a16:creationId xmlns:a16="http://schemas.microsoft.com/office/drawing/2014/main" id="{00000000-0008-0000-0000-000053000000}"/>
                    </a:ext>
                  </a:extLst>
                </xdr:cNvPr>
                <xdr:cNvCxnSpPr/>
              </xdr:nvCxnSpPr>
              <xdr:spPr>
                <a:xfrm>
                  <a:off x="4006851" y="5099051"/>
                  <a:ext cx="247651" cy="0"/>
                </a:xfrm>
                <a:prstGeom prst="line">
                  <a:avLst/>
                </a:prstGeom>
                <a:ln w="28575">
                  <a:solidFill>
                    <a:srgbClr val="CC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4" name="Straight Connector 83">
                  <a:extLst>
                    <a:ext uri="{FF2B5EF4-FFF2-40B4-BE49-F238E27FC236}">
                      <a16:creationId xmlns:a16="http://schemas.microsoft.com/office/drawing/2014/main" id="{00000000-0008-0000-0000-000054000000}"/>
                    </a:ext>
                  </a:extLst>
                </xdr:cNvPr>
                <xdr:cNvCxnSpPr/>
              </xdr:nvCxnSpPr>
              <xdr:spPr>
                <a:xfrm>
                  <a:off x="4254500" y="5086349"/>
                  <a:ext cx="0" cy="228600"/>
                </a:xfrm>
                <a:prstGeom prst="line">
                  <a:avLst/>
                </a:prstGeom>
                <a:ln w="28575">
                  <a:solidFill>
                    <a:srgbClr val="CC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5" name="Straight Connector 84">
                  <a:extLst>
                    <a:ext uri="{FF2B5EF4-FFF2-40B4-BE49-F238E27FC236}">
                      <a16:creationId xmlns:a16="http://schemas.microsoft.com/office/drawing/2014/main" id="{00000000-0008-0000-0000-000055000000}"/>
                    </a:ext>
                  </a:extLst>
                </xdr:cNvPr>
                <xdr:cNvCxnSpPr/>
              </xdr:nvCxnSpPr>
              <xdr:spPr>
                <a:xfrm flipH="1">
                  <a:off x="4699002" y="4078515"/>
                  <a:ext cx="22222" cy="1242786"/>
                </a:xfrm>
                <a:prstGeom prst="line">
                  <a:avLst/>
                </a:prstGeom>
                <a:ln w="28575">
                  <a:solidFill>
                    <a:srgbClr val="CC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grpSp>
          <xdr:nvGrpSpPr>
            <xdr:cNvPr id="31" name="Group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pSpPr/>
          </xdr:nvGrpSpPr>
          <xdr:grpSpPr>
            <a:xfrm>
              <a:off x="2233701" y="5548092"/>
              <a:ext cx="2168565" cy="1240058"/>
              <a:chOff x="2228175" y="5548092"/>
              <a:chExt cx="2168565" cy="1240058"/>
            </a:xfrm>
          </xdr:grpSpPr>
          <xdr:cxnSp macro="">
            <xdr:nvCxnSpPr>
              <xdr:cNvPr id="65" name="Straight Connector 64">
                <a:extLst>
                  <a:ext uri="{FF2B5EF4-FFF2-40B4-BE49-F238E27FC236}">
                    <a16:creationId xmlns:a16="http://schemas.microsoft.com/office/drawing/2014/main" id="{00000000-0008-0000-0000-000041000000}"/>
                  </a:ext>
                </a:extLst>
              </xdr:cNvPr>
              <xdr:cNvCxnSpPr/>
            </xdr:nvCxnSpPr>
            <xdr:spPr>
              <a:xfrm flipV="1">
                <a:off x="2228175" y="6154311"/>
                <a:ext cx="812204" cy="13779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6" name="Straight Connector 65">
                <a:extLst>
                  <a:ext uri="{FF2B5EF4-FFF2-40B4-BE49-F238E27FC236}">
                    <a16:creationId xmlns:a16="http://schemas.microsoft.com/office/drawing/2014/main" id="{00000000-0008-0000-0000-000042000000}"/>
                  </a:ext>
                </a:extLst>
              </xdr:cNvPr>
              <xdr:cNvCxnSpPr/>
            </xdr:nvCxnSpPr>
            <xdr:spPr>
              <a:xfrm flipV="1">
                <a:off x="3040379" y="5727160"/>
                <a:ext cx="0" cy="427152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7" name="Straight Connector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CxnSpPr/>
            </xdr:nvCxnSpPr>
            <xdr:spPr>
              <a:xfrm flipH="1" flipV="1">
                <a:off x="4389120" y="6154311"/>
                <a:ext cx="7620" cy="620060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8" name="Straight Connector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CxnSpPr/>
            </xdr:nvCxnSpPr>
            <xdr:spPr>
              <a:xfrm flipH="1" flipV="1">
                <a:off x="2228175" y="6168090"/>
                <a:ext cx="7620" cy="620060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9" name="Straight Connector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CxnSpPr/>
            </xdr:nvCxnSpPr>
            <xdr:spPr>
              <a:xfrm flipV="1">
                <a:off x="2228175" y="6774373"/>
                <a:ext cx="2168565" cy="6889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0" name="Straight Connector 69">
                <a:extLst>
                  <a:ext uri="{FF2B5EF4-FFF2-40B4-BE49-F238E27FC236}">
                    <a16:creationId xmlns:a16="http://schemas.microsoft.com/office/drawing/2014/main" id="{00000000-0008-0000-0000-000046000000}"/>
                  </a:ext>
                </a:extLst>
              </xdr:cNvPr>
              <xdr:cNvCxnSpPr/>
            </xdr:nvCxnSpPr>
            <xdr:spPr>
              <a:xfrm>
                <a:off x="3569978" y="6147424"/>
                <a:ext cx="826762" cy="6888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1" name="Straight Connector 70">
                <a:extLst>
                  <a:ext uri="{FF2B5EF4-FFF2-40B4-BE49-F238E27FC236}">
                    <a16:creationId xmlns:a16="http://schemas.microsoft.com/office/drawing/2014/main" id="{00000000-0008-0000-0000-000047000000}"/>
                  </a:ext>
                </a:extLst>
              </xdr:cNvPr>
              <xdr:cNvCxnSpPr/>
            </xdr:nvCxnSpPr>
            <xdr:spPr>
              <a:xfrm flipV="1">
                <a:off x="3569978" y="5554982"/>
                <a:ext cx="0" cy="599333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2" name="Straight Connector 71">
                <a:extLst>
                  <a:ext uri="{FF2B5EF4-FFF2-40B4-BE49-F238E27FC236}">
                    <a16:creationId xmlns:a16="http://schemas.microsoft.com/office/drawing/2014/main" id="{00000000-0008-0000-0000-000048000000}"/>
                  </a:ext>
                </a:extLst>
              </xdr:cNvPr>
              <xdr:cNvCxnSpPr/>
            </xdr:nvCxnSpPr>
            <xdr:spPr>
              <a:xfrm flipV="1">
                <a:off x="3040379" y="5716062"/>
                <a:ext cx="180978" cy="4210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3" name="Straight Connector 72">
                <a:extLst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xdr:cNvPr>
              <xdr:cNvCxnSpPr/>
            </xdr:nvCxnSpPr>
            <xdr:spPr>
              <a:xfrm>
                <a:off x="3221359" y="5554980"/>
                <a:ext cx="348619" cy="0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4" name="Straight Connector 73">
                <a:extLst>
                  <a:ext uri="{FF2B5EF4-FFF2-40B4-BE49-F238E27FC236}">
                    <a16:creationId xmlns:a16="http://schemas.microsoft.com/office/drawing/2014/main" id="{00000000-0008-0000-0000-00004A000000}"/>
                  </a:ext>
                </a:extLst>
              </xdr:cNvPr>
              <xdr:cNvCxnSpPr/>
            </xdr:nvCxnSpPr>
            <xdr:spPr>
              <a:xfrm flipV="1">
                <a:off x="3221359" y="5548092"/>
                <a:ext cx="0" cy="179069"/>
              </a:xfrm>
              <a:prstGeom prst="line">
                <a:avLst/>
              </a:prstGeom>
              <a:ln w="28575">
                <a:solidFill>
                  <a:srgbClr val="FFFF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7" name="Group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GrpSpPr/>
          </xdr:nvGrpSpPr>
          <xdr:grpSpPr>
            <a:xfrm>
              <a:off x="4105103" y="4659854"/>
              <a:ext cx="1412213" cy="2112411"/>
              <a:chOff x="4105103" y="4659854"/>
              <a:chExt cx="1412213" cy="2112411"/>
            </a:xfrm>
          </xdr:grpSpPr>
          <xdr:cxnSp macro="">
            <xdr:nvCxnSpPr>
              <xdr:cNvPr id="56" name="Straight Connector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CxnSpPr/>
            </xdr:nvCxnSpPr>
            <xdr:spPr>
              <a:xfrm flipH="1">
                <a:off x="4105103" y="6147423"/>
                <a:ext cx="297166" cy="6886"/>
              </a:xfrm>
              <a:prstGeom prst="line">
                <a:avLst/>
              </a:prstGeom>
              <a:ln w="28575">
                <a:solidFill>
                  <a:srgbClr val="7030A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57" name="Group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GrpSpPr/>
            </xdr:nvGrpSpPr>
            <xdr:grpSpPr>
              <a:xfrm>
                <a:off x="4113979" y="4659854"/>
                <a:ext cx="1403337" cy="2112411"/>
                <a:chOff x="4105102" y="4675740"/>
                <a:chExt cx="1403337" cy="2112411"/>
              </a:xfrm>
            </xdr:grpSpPr>
            <xdr:cxnSp macro="">
              <xdr:nvCxnSpPr>
                <xdr:cNvPr id="58" name="Straight Connector 57">
                  <a:extLst>
                    <a:ext uri="{FF2B5EF4-FFF2-40B4-BE49-F238E27FC236}">
                      <a16:creationId xmlns:a16="http://schemas.microsoft.com/office/drawing/2014/main" id="{00000000-0008-0000-0000-00003A000000}"/>
                    </a:ext>
                  </a:extLst>
                </xdr:cNvPr>
                <xdr:cNvCxnSpPr/>
              </xdr:nvCxnSpPr>
              <xdr:spPr>
                <a:xfrm>
                  <a:off x="4402266" y="6147422"/>
                  <a:ext cx="0" cy="626948"/>
                </a:xfrm>
                <a:prstGeom prst="line">
                  <a:avLst/>
                </a:prstGeom>
                <a:ln w="28575">
                  <a:solidFill>
                    <a:srgbClr val="7030A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9" name="Straight Connector 58">
                  <a:extLst>
                    <a:ext uri="{FF2B5EF4-FFF2-40B4-BE49-F238E27FC236}">
                      <a16:creationId xmlns:a16="http://schemas.microsoft.com/office/drawing/2014/main" id="{00000000-0008-0000-0000-00003B000000}"/>
                    </a:ext>
                  </a:extLst>
                </xdr:cNvPr>
                <xdr:cNvCxnSpPr/>
              </xdr:nvCxnSpPr>
              <xdr:spPr>
                <a:xfrm flipH="1">
                  <a:off x="4619626" y="4679950"/>
                  <a:ext cx="888812" cy="6889"/>
                </a:xfrm>
                <a:prstGeom prst="line">
                  <a:avLst/>
                </a:prstGeom>
                <a:ln w="28575">
                  <a:solidFill>
                    <a:srgbClr val="7030A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0" name="Straight Connector 59">
                  <a:extLst>
                    <a:ext uri="{FF2B5EF4-FFF2-40B4-BE49-F238E27FC236}">
                      <a16:creationId xmlns:a16="http://schemas.microsoft.com/office/drawing/2014/main" id="{00000000-0008-0000-0000-00003C000000}"/>
                    </a:ext>
                  </a:extLst>
                </xdr:cNvPr>
                <xdr:cNvCxnSpPr/>
              </xdr:nvCxnSpPr>
              <xdr:spPr>
                <a:xfrm flipH="1">
                  <a:off x="4394646" y="6767478"/>
                  <a:ext cx="1092701" cy="20673"/>
                </a:xfrm>
                <a:prstGeom prst="line">
                  <a:avLst/>
                </a:prstGeom>
                <a:ln w="28575">
                  <a:solidFill>
                    <a:srgbClr val="7030A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1" name="Straight Connector 60">
                  <a:extLst>
                    <a:ext uri="{FF2B5EF4-FFF2-40B4-BE49-F238E27FC236}">
                      <a16:creationId xmlns:a16="http://schemas.microsoft.com/office/drawing/2014/main" id="{00000000-0008-0000-0000-00003D000000}"/>
                    </a:ext>
                  </a:extLst>
                </xdr:cNvPr>
                <xdr:cNvCxnSpPr/>
              </xdr:nvCxnSpPr>
              <xdr:spPr>
                <a:xfrm flipH="1">
                  <a:off x="5466259" y="4675740"/>
                  <a:ext cx="42180" cy="2080641"/>
                </a:xfrm>
                <a:prstGeom prst="line">
                  <a:avLst/>
                </a:prstGeom>
                <a:ln w="28575">
                  <a:solidFill>
                    <a:srgbClr val="7030A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2" name="Straight Connector 61">
                  <a:extLst>
                    <a:ext uri="{FF2B5EF4-FFF2-40B4-BE49-F238E27FC236}">
                      <a16:creationId xmlns:a16="http://schemas.microsoft.com/office/drawing/2014/main" id="{00000000-0008-0000-0000-00003E000000}"/>
                    </a:ext>
                  </a:extLst>
                </xdr:cNvPr>
                <xdr:cNvCxnSpPr/>
              </xdr:nvCxnSpPr>
              <xdr:spPr>
                <a:xfrm>
                  <a:off x="4105102" y="5410841"/>
                  <a:ext cx="0" cy="736579"/>
                </a:xfrm>
                <a:prstGeom prst="line">
                  <a:avLst/>
                </a:prstGeom>
                <a:ln w="28575">
                  <a:solidFill>
                    <a:srgbClr val="7030A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3" name="Straight Connector 62">
                  <a:extLst>
                    <a:ext uri="{FF2B5EF4-FFF2-40B4-BE49-F238E27FC236}">
                      <a16:creationId xmlns:a16="http://schemas.microsoft.com/office/drawing/2014/main" id="{00000000-0008-0000-0000-00003F000000}"/>
                    </a:ext>
                  </a:extLst>
                </xdr:cNvPr>
                <xdr:cNvCxnSpPr/>
              </xdr:nvCxnSpPr>
              <xdr:spPr>
                <a:xfrm flipH="1">
                  <a:off x="4105103" y="5390173"/>
                  <a:ext cx="504271" cy="6886"/>
                </a:xfrm>
                <a:prstGeom prst="line">
                  <a:avLst/>
                </a:prstGeom>
                <a:ln w="28575">
                  <a:solidFill>
                    <a:srgbClr val="7030A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4" name="Straight Connector 63">
                  <a:extLst>
                    <a:ext uri="{FF2B5EF4-FFF2-40B4-BE49-F238E27FC236}">
                      <a16:creationId xmlns:a16="http://schemas.microsoft.com/office/drawing/2014/main" id="{00000000-0008-0000-0000-000040000000}"/>
                    </a:ext>
                  </a:extLst>
                </xdr:cNvPr>
                <xdr:cNvCxnSpPr/>
              </xdr:nvCxnSpPr>
              <xdr:spPr>
                <a:xfrm>
                  <a:off x="4619624" y="4693729"/>
                  <a:ext cx="1086" cy="696445"/>
                </a:xfrm>
                <a:prstGeom prst="line">
                  <a:avLst/>
                </a:prstGeom>
                <a:ln w="28575">
                  <a:solidFill>
                    <a:srgbClr val="7030A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grpSp>
          <xdr:nvGrpSpPr>
            <xdr:cNvPr id="38" name="Group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GrpSpPr/>
          </xdr:nvGrpSpPr>
          <xdr:grpSpPr>
            <a:xfrm>
              <a:off x="1496783" y="2499512"/>
              <a:ext cx="1078777" cy="1793343"/>
              <a:chOff x="2463800" y="2597150"/>
              <a:chExt cx="1572023" cy="3886200"/>
            </a:xfrm>
          </xdr:grpSpPr>
          <xdr:cxnSp macro="">
            <xdr:nvCxnSpPr>
              <xdr:cNvPr id="47" name="Straight Connector 46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CxnSpPr/>
            </xdr:nvCxnSpPr>
            <xdr:spPr>
              <a:xfrm flipV="1">
                <a:off x="3507440" y="5194832"/>
                <a:ext cx="525322" cy="4153"/>
              </a:xfrm>
              <a:prstGeom prst="line">
                <a:avLst/>
              </a:prstGeom>
              <a:ln w="28575">
                <a:solidFill>
                  <a:srgbClr val="00206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48" name="Group 47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GrpSpPr/>
            </xdr:nvGrpSpPr>
            <xdr:grpSpPr>
              <a:xfrm>
                <a:off x="2463800" y="2597150"/>
                <a:ext cx="1572023" cy="3886200"/>
                <a:chOff x="2463800" y="2597150"/>
                <a:chExt cx="1572023" cy="3886200"/>
              </a:xfrm>
            </xdr:grpSpPr>
            <xdr:cxnSp macro="">
              <xdr:nvCxnSpPr>
                <xdr:cNvPr id="49" name="Straight Connector 48">
                  <a:extLst>
                    <a:ext uri="{FF2B5EF4-FFF2-40B4-BE49-F238E27FC236}">
                      <a16:creationId xmlns:a16="http://schemas.microsoft.com/office/drawing/2014/main" id="{00000000-0008-0000-0000-000031000000}"/>
                    </a:ext>
                  </a:extLst>
                </xdr:cNvPr>
                <xdr:cNvCxnSpPr/>
              </xdr:nvCxnSpPr>
              <xdr:spPr>
                <a:xfrm>
                  <a:off x="2552700" y="2597150"/>
                  <a:ext cx="1192488" cy="71375"/>
                </a:xfrm>
                <a:prstGeom prst="line">
                  <a:avLst/>
                </a:prstGeom>
                <a:ln w="28575">
                  <a:solidFill>
                    <a:srgbClr val="00206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0" name="Straight Connector 49">
                  <a:extLst>
                    <a:ext uri="{FF2B5EF4-FFF2-40B4-BE49-F238E27FC236}">
                      <a16:creationId xmlns:a16="http://schemas.microsoft.com/office/drawing/2014/main" id="{00000000-0008-0000-0000-000032000000}"/>
                    </a:ext>
                  </a:extLst>
                </xdr:cNvPr>
                <xdr:cNvCxnSpPr/>
              </xdr:nvCxnSpPr>
              <xdr:spPr>
                <a:xfrm>
                  <a:off x="2463800" y="6457949"/>
                  <a:ext cx="1054129" cy="14933"/>
                </a:xfrm>
                <a:prstGeom prst="line">
                  <a:avLst/>
                </a:prstGeom>
                <a:ln w="28575">
                  <a:solidFill>
                    <a:srgbClr val="00206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1" name="Straight Connector 50">
                  <a:extLst>
                    <a:ext uri="{FF2B5EF4-FFF2-40B4-BE49-F238E27FC236}">
                      <a16:creationId xmlns:a16="http://schemas.microsoft.com/office/drawing/2014/main" id="{00000000-0008-0000-0000-000033000000}"/>
                    </a:ext>
                  </a:extLst>
                </xdr:cNvPr>
                <xdr:cNvCxnSpPr/>
              </xdr:nvCxnSpPr>
              <xdr:spPr>
                <a:xfrm flipH="1">
                  <a:off x="2463800" y="2597150"/>
                  <a:ext cx="88900" cy="3860799"/>
                </a:xfrm>
                <a:prstGeom prst="line">
                  <a:avLst/>
                </a:prstGeom>
                <a:ln w="28575">
                  <a:solidFill>
                    <a:srgbClr val="00206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2" name="Straight Connector 51">
                  <a:extLst>
                    <a:ext uri="{FF2B5EF4-FFF2-40B4-BE49-F238E27FC236}">
                      <a16:creationId xmlns:a16="http://schemas.microsoft.com/office/drawing/2014/main" id="{00000000-0008-0000-0000-000034000000}"/>
                    </a:ext>
                  </a:extLst>
                </xdr:cNvPr>
                <xdr:cNvCxnSpPr/>
              </xdr:nvCxnSpPr>
              <xdr:spPr>
                <a:xfrm flipH="1">
                  <a:off x="3701233" y="2692420"/>
                  <a:ext cx="12042" cy="1372208"/>
                </a:xfrm>
                <a:prstGeom prst="line">
                  <a:avLst/>
                </a:prstGeom>
                <a:ln w="28575">
                  <a:solidFill>
                    <a:srgbClr val="00206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3" name="Straight Connector 52">
                  <a:extLst>
                    <a:ext uri="{FF2B5EF4-FFF2-40B4-BE49-F238E27FC236}">
                      <a16:creationId xmlns:a16="http://schemas.microsoft.com/office/drawing/2014/main" id="{00000000-0008-0000-0000-000035000000}"/>
                    </a:ext>
                  </a:extLst>
                </xdr:cNvPr>
                <xdr:cNvCxnSpPr/>
              </xdr:nvCxnSpPr>
              <xdr:spPr>
                <a:xfrm flipH="1">
                  <a:off x="3498204" y="5188410"/>
                  <a:ext cx="19727" cy="1294940"/>
                </a:xfrm>
                <a:prstGeom prst="line">
                  <a:avLst/>
                </a:prstGeom>
                <a:ln w="28575">
                  <a:solidFill>
                    <a:srgbClr val="00206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4" name="Straight Connector 53">
                  <a:extLst>
                    <a:ext uri="{FF2B5EF4-FFF2-40B4-BE49-F238E27FC236}">
                      <a16:creationId xmlns:a16="http://schemas.microsoft.com/office/drawing/2014/main" id="{00000000-0008-0000-0000-000036000000}"/>
                    </a:ext>
                  </a:extLst>
                </xdr:cNvPr>
                <xdr:cNvCxnSpPr/>
              </xdr:nvCxnSpPr>
              <xdr:spPr>
                <a:xfrm flipV="1">
                  <a:off x="3701231" y="4064628"/>
                  <a:ext cx="331531" cy="1503"/>
                </a:xfrm>
                <a:prstGeom prst="line">
                  <a:avLst/>
                </a:prstGeom>
                <a:ln w="28575">
                  <a:solidFill>
                    <a:srgbClr val="00206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55" name="Straight Connector 54">
                  <a:extLst>
                    <a:ext uri="{FF2B5EF4-FFF2-40B4-BE49-F238E27FC236}">
                      <a16:creationId xmlns:a16="http://schemas.microsoft.com/office/drawing/2014/main" id="{00000000-0008-0000-0000-000037000000}"/>
                    </a:ext>
                  </a:extLst>
                </xdr:cNvPr>
                <xdr:cNvCxnSpPr/>
              </xdr:nvCxnSpPr>
              <xdr:spPr>
                <a:xfrm>
                  <a:off x="4032765" y="4072171"/>
                  <a:ext cx="3058" cy="1133165"/>
                </a:xfrm>
                <a:prstGeom prst="line">
                  <a:avLst/>
                </a:prstGeom>
                <a:ln w="28575">
                  <a:solidFill>
                    <a:srgbClr val="00206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grpSp>
          <xdr:nvGrpSpPr>
            <xdr:cNvPr id="39" name="Group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pSpPr/>
          </xdr:nvGrpSpPr>
          <xdr:grpSpPr>
            <a:xfrm>
              <a:off x="2345952" y="2518532"/>
              <a:ext cx="2911849" cy="1769238"/>
              <a:chOff x="2345952" y="2548098"/>
              <a:chExt cx="2911849" cy="1769238"/>
            </a:xfrm>
          </xdr:grpSpPr>
          <xdr:grpSp>
            <xdr:nvGrpSpPr>
              <xdr:cNvPr id="40" name="Group 39">
                <a:extLst>
                  <a:ext uri="{FF2B5EF4-FFF2-40B4-BE49-F238E27FC236}">
                    <a16:creationId xmlns:a16="http://schemas.microsoft.com/office/drawing/2014/main" id="{00000000-0008-0000-0000-000028000000}"/>
                  </a:ext>
                </a:extLst>
              </xdr:cNvPr>
              <xdr:cNvGrpSpPr/>
            </xdr:nvGrpSpPr>
            <xdr:grpSpPr>
              <a:xfrm>
                <a:off x="2345952" y="2548098"/>
                <a:ext cx="2911848" cy="1769232"/>
                <a:chOff x="251279" y="2402382"/>
                <a:chExt cx="5609739" cy="4142321"/>
              </a:xfrm>
            </xdr:grpSpPr>
            <xdr:cxnSp macro="">
              <xdr:nvCxnSpPr>
                <xdr:cNvPr id="42" name="Straight Connector 41">
                  <a:extLst>
                    <a:ext uri="{FF2B5EF4-FFF2-40B4-BE49-F238E27FC236}">
                      <a16:creationId xmlns:a16="http://schemas.microsoft.com/office/drawing/2014/main" id="{00000000-0008-0000-0000-00002A000000}"/>
                    </a:ext>
                  </a:extLst>
                </xdr:cNvPr>
                <xdr:cNvCxnSpPr/>
              </xdr:nvCxnSpPr>
              <xdr:spPr>
                <a:xfrm>
                  <a:off x="251279" y="2402382"/>
                  <a:ext cx="3406143" cy="139736"/>
                </a:xfrm>
                <a:prstGeom prst="line">
                  <a:avLst/>
                </a:prstGeom>
                <a:ln w="38100">
                  <a:solidFill>
                    <a:srgbClr val="0066FF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3" name="Straight Connector 42">
                  <a:extLst>
                    <a:ext uri="{FF2B5EF4-FFF2-40B4-BE49-F238E27FC236}">
                      <a16:creationId xmlns:a16="http://schemas.microsoft.com/office/drawing/2014/main" id="{00000000-0008-0000-0000-00002B000000}"/>
                    </a:ext>
                  </a:extLst>
                </xdr:cNvPr>
                <xdr:cNvCxnSpPr/>
              </xdr:nvCxnSpPr>
              <xdr:spPr>
                <a:xfrm>
                  <a:off x="689579" y="4751885"/>
                  <a:ext cx="2495399" cy="0"/>
                </a:xfrm>
                <a:prstGeom prst="line">
                  <a:avLst/>
                </a:prstGeom>
                <a:ln w="38100">
                  <a:solidFill>
                    <a:srgbClr val="0066FF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4" name="Straight Connector 43">
                  <a:extLst>
                    <a:ext uri="{FF2B5EF4-FFF2-40B4-BE49-F238E27FC236}">
                      <a16:creationId xmlns:a16="http://schemas.microsoft.com/office/drawing/2014/main" id="{00000000-0008-0000-0000-00002C000000}"/>
                    </a:ext>
                  </a:extLst>
                </xdr:cNvPr>
                <xdr:cNvCxnSpPr/>
              </xdr:nvCxnSpPr>
              <xdr:spPr>
                <a:xfrm>
                  <a:off x="251279" y="2402382"/>
                  <a:ext cx="7959" cy="1471369"/>
                </a:xfrm>
                <a:prstGeom prst="line">
                  <a:avLst/>
                </a:prstGeom>
                <a:ln w="38100">
                  <a:solidFill>
                    <a:srgbClr val="0066FF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5" name="Straight Connector 44">
                  <a:extLst>
                    <a:ext uri="{FF2B5EF4-FFF2-40B4-BE49-F238E27FC236}">
                      <a16:creationId xmlns:a16="http://schemas.microsoft.com/office/drawing/2014/main" id="{00000000-0008-0000-0000-00002D000000}"/>
                    </a:ext>
                  </a:extLst>
                </xdr:cNvPr>
                <xdr:cNvCxnSpPr/>
              </xdr:nvCxnSpPr>
              <xdr:spPr>
                <a:xfrm>
                  <a:off x="3159580" y="4751885"/>
                  <a:ext cx="1489081" cy="1792818"/>
                </a:xfrm>
                <a:prstGeom prst="line">
                  <a:avLst/>
                </a:prstGeom>
                <a:ln w="38100">
                  <a:solidFill>
                    <a:srgbClr val="0066FF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46" name="Straight Connector 45">
                  <a:extLst>
                    <a:ext uri="{FF2B5EF4-FFF2-40B4-BE49-F238E27FC236}">
                      <a16:creationId xmlns:a16="http://schemas.microsoft.com/office/drawing/2014/main" id="{00000000-0008-0000-0000-00002E000000}"/>
                    </a:ext>
                  </a:extLst>
                </xdr:cNvPr>
                <xdr:cNvCxnSpPr/>
              </xdr:nvCxnSpPr>
              <xdr:spPr>
                <a:xfrm>
                  <a:off x="3657422" y="2534778"/>
                  <a:ext cx="2203596" cy="2622261"/>
                </a:xfrm>
                <a:prstGeom prst="line">
                  <a:avLst/>
                </a:prstGeom>
                <a:ln w="38100">
                  <a:solidFill>
                    <a:srgbClr val="0066FF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41" name="Straight Connector 40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CxnSpPr/>
            </xdr:nvCxnSpPr>
            <xdr:spPr>
              <a:xfrm flipH="1">
                <a:off x="4618252" y="3724647"/>
                <a:ext cx="639549" cy="592689"/>
              </a:xfrm>
              <a:prstGeom prst="line">
                <a:avLst/>
              </a:prstGeom>
              <a:ln w="38100">
                <a:solidFill>
                  <a:srgbClr val="0066FF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24" name="TextBox 59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866608" y="91028675"/>
            <a:ext cx="11948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CC0000"/>
                </a:solidFill>
              </a:rPr>
              <a:t>Wing A</a:t>
            </a:r>
            <a:endParaRPr lang="en-IN" b="1">
              <a:solidFill>
                <a:srgbClr val="CC0000"/>
              </a:solidFill>
            </a:endParaRPr>
          </a:p>
        </xdr:txBody>
      </xdr:sp>
      <xdr:sp macro="" textlink="">
        <xdr:nvSpPr>
          <xdr:cNvPr id="25" name="TextBox 113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993888" y="91611512"/>
            <a:ext cx="11948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solidFill>
                  <a:srgbClr val="FFFF00"/>
                </a:solidFill>
              </a:rPr>
              <a:t>Wing B</a:t>
            </a:r>
            <a:endParaRPr lang="en-IN"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solidFill>
                <a:srgbClr val="FFFF00"/>
              </a:solidFill>
            </a:endParaRPr>
          </a:p>
        </xdr:txBody>
      </xdr:sp>
      <xdr:sp macro="" textlink="">
        <xdr:nvSpPr>
          <xdr:cNvPr id="26" name="TextBox 116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4174987" y="91204285"/>
            <a:ext cx="11948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7030A0"/>
                </a:solidFill>
              </a:rPr>
              <a:t>Wing C</a:t>
            </a:r>
            <a:endParaRPr lang="en-IN">
              <a:solidFill>
                <a:srgbClr val="7030A0"/>
              </a:solidFill>
            </a:endParaRPr>
          </a:p>
        </xdr:txBody>
      </xdr:sp>
      <xdr:sp macro="" textlink="">
        <xdr:nvSpPr>
          <xdr:cNvPr id="27" name="TextBox 117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3598493" y="89458781"/>
            <a:ext cx="11948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0066FF"/>
                </a:solidFill>
              </a:rPr>
              <a:t>Wing E</a:t>
            </a:r>
            <a:endParaRPr lang="en-IN">
              <a:solidFill>
                <a:srgbClr val="0066FF"/>
              </a:solidFill>
            </a:endParaRPr>
          </a:p>
        </xdr:txBody>
      </xdr:sp>
      <xdr:sp macro="" textlink="">
        <xdr:nvSpPr>
          <xdr:cNvPr id="28" name="TextBox 11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2227557" y="89496914"/>
            <a:ext cx="11948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002060"/>
                </a:solidFill>
              </a:rPr>
              <a:t>Wing D</a:t>
            </a:r>
            <a:endParaRPr lang="en-IN">
              <a:solidFill>
                <a:srgbClr val="002060"/>
              </a:solidFill>
            </a:endParaRPr>
          </a:p>
        </xdr:txBody>
      </xdr:sp>
    </xdr:grpSp>
    <xdr:clientData/>
  </xdr:twoCellAnchor>
  <xdr:twoCellAnchor editAs="oneCell">
    <xdr:from>
      <xdr:col>2</xdr:col>
      <xdr:colOff>33617</xdr:colOff>
      <xdr:row>420</xdr:row>
      <xdr:rowOff>44824</xdr:rowOff>
    </xdr:from>
    <xdr:to>
      <xdr:col>6</xdr:col>
      <xdr:colOff>30079</xdr:colOff>
      <xdr:row>437</xdr:row>
      <xdr:rowOff>158674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8117" y="92448530"/>
          <a:ext cx="3739227" cy="354285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402022</xdr:colOff>
      <xdr:row>386</xdr:row>
      <xdr:rowOff>158562</xdr:rowOff>
    </xdr:from>
    <xdr:to>
      <xdr:col>16</xdr:col>
      <xdr:colOff>66656</xdr:colOff>
      <xdr:row>399</xdr:row>
      <xdr:rowOff>25978</xdr:rowOff>
    </xdr:to>
    <xdr:pic>
      <xdr:nvPicPr>
        <xdr:cNvPr id="101" name="Picture 100" descr="https://vsjcllp.vsjadon.com/upload/insp-203800-843.jp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52704" y="83519630"/>
          <a:ext cx="1941975" cy="245648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243093</xdr:colOff>
      <xdr:row>386</xdr:row>
      <xdr:rowOff>167221</xdr:rowOff>
    </xdr:from>
    <xdr:to>
      <xdr:col>10</xdr:col>
      <xdr:colOff>262750</xdr:colOff>
      <xdr:row>399</xdr:row>
      <xdr:rowOff>34637</xdr:rowOff>
    </xdr:to>
    <xdr:pic>
      <xdr:nvPicPr>
        <xdr:cNvPr id="102" name="Picture 101" descr="https://vsjcllp.vsjadon.com/upload/insp-203800-845.jp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80707" y="83528289"/>
          <a:ext cx="1941975" cy="245648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463108</xdr:colOff>
      <xdr:row>386</xdr:row>
      <xdr:rowOff>158562</xdr:rowOff>
    </xdr:from>
    <xdr:to>
      <xdr:col>13</xdr:col>
      <xdr:colOff>214333</xdr:colOff>
      <xdr:row>399</xdr:row>
      <xdr:rowOff>25978</xdr:rowOff>
    </xdr:to>
    <xdr:pic>
      <xdr:nvPicPr>
        <xdr:cNvPr id="103" name="Picture 102" descr="https://vsjcllp.vsjadon.com/upload/insp-203800-844.jp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3040" y="83519630"/>
          <a:ext cx="1941975" cy="245648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336687</xdr:colOff>
      <xdr:row>373</xdr:row>
      <xdr:rowOff>50099</xdr:rowOff>
    </xdr:from>
    <xdr:to>
      <xdr:col>14</xdr:col>
      <xdr:colOff>650753</xdr:colOff>
      <xdr:row>386</xdr:row>
      <xdr:rowOff>53031</xdr:rowOff>
    </xdr:to>
    <xdr:pic>
      <xdr:nvPicPr>
        <xdr:cNvPr id="104" name="Picture 103" descr="https://vsjcllp.vsjadon.com/upload/insp-203800-847.jp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9392" y="80822099"/>
          <a:ext cx="1941975" cy="2592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538674</xdr:colOff>
      <xdr:row>358</xdr:row>
      <xdr:rowOff>43296</xdr:rowOff>
    </xdr:from>
    <xdr:to>
      <xdr:col>14</xdr:col>
      <xdr:colOff>530765</xdr:colOff>
      <xdr:row>372</xdr:row>
      <xdr:rowOff>143728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01379" y="77836569"/>
          <a:ext cx="16200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443553</xdr:colOff>
      <xdr:row>358</xdr:row>
      <xdr:rowOff>43296</xdr:rowOff>
    </xdr:from>
    <xdr:to>
      <xdr:col>10</xdr:col>
      <xdr:colOff>141235</xdr:colOff>
      <xdr:row>372</xdr:row>
      <xdr:rowOff>143728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1167" y="77836569"/>
          <a:ext cx="16200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242454</xdr:colOff>
      <xdr:row>373</xdr:row>
      <xdr:rowOff>58758</xdr:rowOff>
    </xdr:from>
    <xdr:to>
      <xdr:col>12</xdr:col>
      <xdr:colOff>297681</xdr:colOff>
      <xdr:row>386</xdr:row>
      <xdr:rowOff>61690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02386" y="80830758"/>
          <a:ext cx="1458000" cy="259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480462</xdr:colOff>
      <xdr:row>373</xdr:row>
      <xdr:rowOff>34637</xdr:rowOff>
    </xdr:from>
    <xdr:to>
      <xdr:col>10</xdr:col>
      <xdr:colOff>76894</xdr:colOff>
      <xdr:row>386</xdr:row>
      <xdr:rowOff>145569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18076" y="80806637"/>
          <a:ext cx="1518750" cy="27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241126</xdr:colOff>
      <xdr:row>358</xdr:row>
      <xdr:rowOff>43296</xdr:rowOff>
    </xdr:from>
    <xdr:to>
      <xdr:col>12</xdr:col>
      <xdr:colOff>458353</xdr:colOff>
      <xdr:row>372</xdr:row>
      <xdr:rowOff>143728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01058" y="77836569"/>
          <a:ext cx="16200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671747</xdr:colOff>
      <xdr:row>368</xdr:row>
      <xdr:rowOff>92818</xdr:rowOff>
    </xdr:from>
    <xdr:to>
      <xdr:col>9</xdr:col>
      <xdr:colOff>439888</xdr:colOff>
      <xdr:row>370</xdr:row>
      <xdr:rowOff>63832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7209361" y="79869023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12</xdr:col>
      <xdr:colOff>753965</xdr:colOff>
      <xdr:row>360</xdr:row>
      <xdr:rowOff>50576</xdr:rowOff>
    </xdr:from>
    <xdr:to>
      <xdr:col>14</xdr:col>
      <xdr:colOff>36883</xdr:colOff>
      <xdr:row>362</xdr:row>
      <xdr:rowOff>30249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10616670" y="78242167"/>
          <a:ext cx="910827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 Wing </a:t>
          </a:r>
        </a:p>
      </xdr:txBody>
    </xdr:sp>
    <xdr:clientData/>
  </xdr:twoCellAnchor>
  <xdr:twoCellAnchor>
    <xdr:from>
      <xdr:col>10</xdr:col>
      <xdr:colOff>591705</xdr:colOff>
      <xdr:row>369</xdr:row>
      <xdr:rowOff>82377</xdr:rowOff>
    </xdr:from>
    <xdr:to>
      <xdr:col>12</xdr:col>
      <xdr:colOff>107773</xdr:colOff>
      <xdr:row>371</xdr:row>
      <xdr:rowOff>53391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9051637" y="80057741"/>
          <a:ext cx="91884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8</xdr:col>
      <xdr:colOff>486553</xdr:colOff>
      <xdr:row>373</xdr:row>
      <xdr:rowOff>4277</xdr:rowOff>
    </xdr:from>
    <xdr:to>
      <xdr:col>9</xdr:col>
      <xdr:colOff>261106</xdr:colOff>
      <xdr:row>374</xdr:row>
      <xdr:rowOff>174450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7024167" y="80776277"/>
          <a:ext cx="93487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D Wing </a:t>
          </a:r>
        </a:p>
      </xdr:txBody>
    </xdr:sp>
    <xdr:clientData/>
  </xdr:twoCellAnchor>
  <xdr:twoCellAnchor>
    <xdr:from>
      <xdr:col>10</xdr:col>
      <xdr:colOff>534516</xdr:colOff>
      <xdr:row>381</xdr:row>
      <xdr:rowOff>196427</xdr:rowOff>
    </xdr:from>
    <xdr:to>
      <xdr:col>12</xdr:col>
      <xdr:colOff>32952</xdr:colOff>
      <xdr:row>383</xdr:row>
      <xdr:rowOff>167441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8994448" y="82561700"/>
          <a:ext cx="90120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E Wing </a:t>
          </a:r>
        </a:p>
      </xdr:txBody>
    </xdr:sp>
    <xdr:clientData/>
  </xdr:twoCellAnchor>
  <xdr:twoCellAnchor>
    <xdr:from>
      <xdr:col>8</xdr:col>
      <xdr:colOff>508000</xdr:colOff>
      <xdr:row>358</xdr:row>
      <xdr:rowOff>6350</xdr:rowOff>
    </xdr:from>
    <xdr:to>
      <xdr:col>15</xdr:col>
      <xdr:colOff>462541</xdr:colOff>
      <xdr:row>397</xdr:row>
      <xdr:rowOff>172885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051675" y="78711425"/>
          <a:ext cx="5574291" cy="7957985"/>
          <a:chOff x="469900" y="77724000"/>
          <a:chExt cx="5863216" cy="7834160"/>
        </a:xfrm>
      </xdr:grpSpPr>
      <xdr:pic>
        <xdr:nvPicPr>
          <xdr:cNvPr id="119" name="Picture 118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8715" y="83398160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0" name="Picture 119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45269" y="77724000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1" name="Picture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900" y="77724000"/>
            <a:ext cx="151875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2" name="Picture 121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08116" y="77724000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3" name="Picture 122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2313" y="80537441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4" name="Picture 123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68639" y="80561080"/>
            <a:ext cx="151875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5" name="Picture 124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6137" y="83398160"/>
            <a:ext cx="384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6" name="Picture 125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8715" y="80537441"/>
            <a:ext cx="151875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27" name="Rectangle 126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/>
        </xdr:nvSpPr>
        <xdr:spPr>
          <a:xfrm>
            <a:off x="1022351" y="78854300"/>
            <a:ext cx="781050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129" name="Rectangle 128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SpPr/>
        </xdr:nvSpPr>
        <xdr:spPr>
          <a:xfrm>
            <a:off x="2939019" y="79343250"/>
            <a:ext cx="781050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  <xdr:sp macro="" textlink="">
        <xdr:nvSpPr>
          <xdr:cNvPr id="130" name="Rectangle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/>
        </xdr:nvSpPr>
        <xdr:spPr>
          <a:xfrm>
            <a:off x="4752616" y="79463900"/>
            <a:ext cx="781050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 </a:t>
            </a:r>
          </a:p>
        </xdr:txBody>
      </xdr:sp>
      <xdr:sp macro="" textlink="">
        <xdr:nvSpPr>
          <xdr:cNvPr id="131" name="Rectangle 130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/>
        </xdr:nvSpPr>
        <xdr:spPr>
          <a:xfrm>
            <a:off x="1183963" y="80721591"/>
            <a:ext cx="781050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 </a:t>
            </a:r>
          </a:p>
        </xdr:txBody>
      </xdr:sp>
      <xdr:sp macro="" textlink="">
        <xdr:nvSpPr>
          <xdr:cNvPr id="132" name="Rectangle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/>
        </xdr:nvSpPr>
        <xdr:spPr>
          <a:xfrm>
            <a:off x="3694139" y="82218430"/>
            <a:ext cx="781050" cy="311496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 </a:t>
            </a:r>
          </a:p>
        </xdr:txBody>
      </xdr:sp>
      <xdr:sp macro="" textlink="">
        <xdr:nvSpPr>
          <xdr:cNvPr id="133" name="Rectangle 132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/>
        </xdr:nvSpPr>
        <xdr:spPr>
          <a:xfrm>
            <a:off x="4542365" y="80905741"/>
            <a:ext cx="594785" cy="26456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 </a:t>
            </a:r>
          </a:p>
        </xdr:txBody>
      </xdr:sp>
      <xdr:sp macro="" textlink="">
        <xdr:nvSpPr>
          <xdr:cNvPr id="134" name="Rectangle 133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/>
        </xdr:nvSpPr>
        <xdr:spPr>
          <a:xfrm>
            <a:off x="5183715" y="80785091"/>
            <a:ext cx="594785" cy="26456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 </a:t>
            </a:r>
          </a:p>
        </xdr:txBody>
      </xdr:sp>
    </xdr:grpSp>
    <xdr:clientData/>
  </xdr:twoCellAnchor>
  <xdr:twoCellAnchor>
    <xdr:from>
      <xdr:col>0</xdr:col>
      <xdr:colOff>495300</xdr:colOff>
      <xdr:row>358</xdr:row>
      <xdr:rowOff>85725</xdr:rowOff>
    </xdr:from>
    <xdr:to>
      <xdr:col>7</xdr:col>
      <xdr:colOff>60428</xdr:colOff>
      <xdr:row>398</xdr:row>
      <xdr:rowOff>161925</xdr:rowOff>
    </xdr:to>
    <xdr:grpSp>
      <xdr:nvGrpSpPr>
        <xdr:cNvPr id="105" name="Group 104">
          <a:extLst>
            <a:ext uri="{FF2B5EF4-FFF2-40B4-BE49-F238E27FC236}">
              <a16:creationId xmlns:a16="http://schemas.microsoft.com/office/drawing/2014/main" id="{52C15934-E268-4E14-9A33-D8D87736EFC1}"/>
            </a:ext>
          </a:extLst>
        </xdr:cNvPr>
        <xdr:cNvGrpSpPr/>
      </xdr:nvGrpSpPr>
      <xdr:grpSpPr>
        <a:xfrm>
          <a:off x="495300" y="78790800"/>
          <a:ext cx="5403953" cy="8067675"/>
          <a:chOff x="727023" y="223176"/>
          <a:chExt cx="5403953" cy="8611792"/>
        </a:xfrm>
      </xdr:grpSpPr>
      <xdr:grpSp>
        <xdr:nvGrpSpPr>
          <xdr:cNvPr id="116" name="Group 115">
            <a:extLst>
              <a:ext uri="{FF2B5EF4-FFF2-40B4-BE49-F238E27FC236}">
                <a16:creationId xmlns:a16="http://schemas.microsoft.com/office/drawing/2014/main" id="{F99545F3-2510-4E1B-86CA-F1946C1D08F4}"/>
              </a:ext>
            </a:extLst>
          </xdr:cNvPr>
          <xdr:cNvGrpSpPr/>
        </xdr:nvGrpSpPr>
        <xdr:grpSpPr>
          <a:xfrm>
            <a:off x="727023" y="309032"/>
            <a:ext cx="5403953" cy="8525936"/>
            <a:chOff x="627526" y="448235"/>
            <a:chExt cx="5403953" cy="8525936"/>
          </a:xfrm>
        </xdr:grpSpPr>
        <xdr:pic>
          <xdr:nvPicPr>
            <xdr:cNvPr id="140" name="Picture 139">
              <a:extLst>
                <a:ext uri="{FF2B5EF4-FFF2-40B4-BE49-F238E27FC236}">
                  <a16:creationId xmlns:a16="http://schemas.microsoft.com/office/drawing/2014/main" id="{F146FBE0-0874-4D27-9C03-1758FD21A8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27526" y="448235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1" name="Picture 140">
              <a:extLst>
                <a:ext uri="{FF2B5EF4-FFF2-40B4-BE49-F238E27FC236}">
                  <a16:creationId xmlns:a16="http://schemas.microsoft.com/office/drawing/2014/main" id="{12CBF6AE-08A9-4D28-8671-DC046434A9B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71479" y="448235"/>
              <a:ext cx="336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2" name="Picture 141">
              <a:extLst>
                <a:ext uri="{FF2B5EF4-FFF2-40B4-BE49-F238E27FC236}">
                  <a16:creationId xmlns:a16="http://schemas.microsoft.com/office/drawing/2014/main" id="{2B6B1C44-812E-4EBD-8D11-2C882224A32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62526" y="3137647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3" name="Picture 142">
              <a:extLst>
                <a:ext uri="{FF2B5EF4-FFF2-40B4-BE49-F238E27FC236}">
                  <a16:creationId xmlns:a16="http://schemas.microsoft.com/office/drawing/2014/main" id="{3EA86ECD-E7B3-47C1-A334-86884EFAEDF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73451" y="3137647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4" name="Picture 143">
              <a:extLst>
                <a:ext uri="{FF2B5EF4-FFF2-40B4-BE49-F238E27FC236}">
                  <a16:creationId xmlns:a16="http://schemas.microsoft.com/office/drawing/2014/main" id="{EC6F30E4-E342-41B8-93D6-A798F2F0CE7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84376" y="3137647"/>
              <a:ext cx="162000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5" name="Picture 144">
              <a:extLst>
                <a:ext uri="{FF2B5EF4-FFF2-40B4-BE49-F238E27FC236}">
                  <a16:creationId xmlns:a16="http://schemas.microsoft.com/office/drawing/2014/main" id="{4552830A-8002-4600-A287-B1264BA510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65918" y="5431911"/>
              <a:ext cx="1485000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6" name="Picture 145">
              <a:extLst>
                <a:ext uri="{FF2B5EF4-FFF2-40B4-BE49-F238E27FC236}">
                  <a16:creationId xmlns:a16="http://schemas.microsoft.com/office/drawing/2014/main" id="{5539082F-D51F-4C5E-A568-3B304B7447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24594" y="5431911"/>
              <a:ext cx="1485000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7" name="Picture 146">
              <a:extLst>
                <a:ext uri="{FF2B5EF4-FFF2-40B4-BE49-F238E27FC236}">
                  <a16:creationId xmlns:a16="http://schemas.microsoft.com/office/drawing/2014/main" id="{94EA9435-3CE9-4776-9DEC-CF9CAEBA552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08047" y="5431911"/>
              <a:ext cx="1485000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8" name="Picture 147">
              <a:extLst>
                <a:ext uri="{FF2B5EF4-FFF2-40B4-BE49-F238E27FC236}">
                  <a16:creationId xmlns:a16="http://schemas.microsoft.com/office/drawing/2014/main" id="{10962DDA-14E1-4BCC-831A-246C9C41FC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87094" y="7534171"/>
              <a:ext cx="2560000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17" name="TextBox 47">
            <a:extLst>
              <a:ext uri="{FF2B5EF4-FFF2-40B4-BE49-F238E27FC236}">
                <a16:creationId xmlns:a16="http://schemas.microsoft.com/office/drawing/2014/main" id="{FE0C9726-AD79-490E-9849-2C56382D18C7}"/>
              </a:ext>
            </a:extLst>
          </xdr:cNvPr>
          <xdr:cNvSpPr txBox="1"/>
        </xdr:nvSpPr>
        <xdr:spPr>
          <a:xfrm>
            <a:off x="1352197" y="346144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18" name="TextBox 48">
            <a:extLst>
              <a:ext uri="{FF2B5EF4-FFF2-40B4-BE49-F238E27FC236}">
                <a16:creationId xmlns:a16="http://schemas.microsoft.com/office/drawing/2014/main" id="{BD1184C0-829F-4B35-AC6F-E18189557A00}"/>
              </a:ext>
            </a:extLst>
          </xdr:cNvPr>
          <xdr:cNvSpPr txBox="1"/>
        </xdr:nvSpPr>
        <xdr:spPr>
          <a:xfrm rot="21022800">
            <a:off x="4416769" y="468972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28" name="TextBox 49">
            <a:extLst>
              <a:ext uri="{FF2B5EF4-FFF2-40B4-BE49-F238E27FC236}">
                <a16:creationId xmlns:a16="http://schemas.microsoft.com/office/drawing/2014/main" id="{BE7321A1-CC0D-4742-9AE6-200E3C2391C9}"/>
              </a:ext>
            </a:extLst>
          </xdr:cNvPr>
          <xdr:cNvSpPr txBox="1"/>
        </xdr:nvSpPr>
        <xdr:spPr>
          <a:xfrm>
            <a:off x="3762974" y="223176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5" name="TextBox 50">
            <a:extLst>
              <a:ext uri="{FF2B5EF4-FFF2-40B4-BE49-F238E27FC236}">
                <a16:creationId xmlns:a16="http://schemas.microsoft.com/office/drawing/2014/main" id="{968A1F86-5453-41A2-B6B2-9C22688688A8}"/>
              </a:ext>
            </a:extLst>
          </xdr:cNvPr>
          <xdr:cNvSpPr txBox="1"/>
        </xdr:nvSpPr>
        <xdr:spPr>
          <a:xfrm>
            <a:off x="1143164" y="2963296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6" name="TextBox 51">
            <a:extLst>
              <a:ext uri="{FF2B5EF4-FFF2-40B4-BE49-F238E27FC236}">
                <a16:creationId xmlns:a16="http://schemas.microsoft.com/office/drawing/2014/main" id="{4113B651-9491-42B5-8983-E9139B25553B}"/>
              </a:ext>
            </a:extLst>
          </xdr:cNvPr>
          <xdr:cNvSpPr txBox="1"/>
        </xdr:nvSpPr>
        <xdr:spPr>
          <a:xfrm>
            <a:off x="3045167" y="2951292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E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7" name="TextBox 52">
            <a:extLst>
              <a:ext uri="{FF2B5EF4-FFF2-40B4-BE49-F238E27FC236}">
                <a16:creationId xmlns:a16="http://schemas.microsoft.com/office/drawing/2014/main" id="{5B09C7FB-D6F4-41AC-8217-9083410AE30C}"/>
              </a:ext>
            </a:extLst>
          </xdr:cNvPr>
          <xdr:cNvSpPr txBox="1"/>
        </xdr:nvSpPr>
        <xdr:spPr>
          <a:xfrm>
            <a:off x="4651282" y="2876184"/>
            <a:ext cx="36740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8" name="TextBox 53">
            <a:extLst>
              <a:ext uri="{FF2B5EF4-FFF2-40B4-BE49-F238E27FC236}">
                <a16:creationId xmlns:a16="http://schemas.microsoft.com/office/drawing/2014/main" id="{B48A243B-948E-4A0C-A8B7-FC938B9D64AD}"/>
              </a:ext>
            </a:extLst>
          </xdr:cNvPr>
          <xdr:cNvSpPr txBox="1"/>
        </xdr:nvSpPr>
        <xdr:spPr>
          <a:xfrm>
            <a:off x="5050041" y="3240025"/>
            <a:ext cx="37702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139" name="TextBox 54">
            <a:extLst>
              <a:ext uri="{FF2B5EF4-FFF2-40B4-BE49-F238E27FC236}">
                <a16:creationId xmlns:a16="http://schemas.microsoft.com/office/drawing/2014/main" id="{67A40647-5745-46E4-B091-80DEFC1C206D}"/>
              </a:ext>
            </a:extLst>
          </xdr:cNvPr>
          <xdr:cNvSpPr txBox="1"/>
        </xdr:nvSpPr>
        <xdr:spPr>
          <a:xfrm>
            <a:off x="5427067" y="3147962"/>
            <a:ext cx="33054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D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305248-tanishkaa-vikrant-by-tanishka-reality-llp-in-mankur" TargetMode="External"/><Relationship Id="rId1" Type="http://schemas.openxmlformats.org/officeDocument/2006/relationships/hyperlink" Target="https://maps.app.goo.gl/DnoPNoRhHnp3Bz2Y8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486"/>
  <sheetViews>
    <sheetView tabSelected="1" view="pageBreakPreview" zoomScaleNormal="100" zoomScaleSheetLayoutView="100" zoomScalePageLayoutView="85" workbookViewId="0">
      <selection activeCell="I2" sqref="I2"/>
    </sheetView>
  </sheetViews>
  <sheetFormatPr defaultColWidth="9.140625" defaultRowHeight="15.75" x14ac:dyDescent="0.25"/>
  <cols>
    <col min="1" max="1" width="13.140625" style="23" customWidth="1"/>
    <col min="2" max="2" width="10.7109375" style="23" customWidth="1"/>
    <col min="3" max="3" width="14.7109375" style="23" customWidth="1"/>
    <col min="4" max="4" width="14.140625" style="23" customWidth="1"/>
    <col min="5" max="6" width="11.7109375" style="23" customWidth="1"/>
    <col min="7" max="7" width="11.42578125" style="23" customWidth="1"/>
    <col min="8" max="8" width="10.5703125" style="23" customWidth="1"/>
    <col min="9" max="9" width="17.42578125" style="16" customWidth="1"/>
    <col min="10" max="10" width="11.42578125" style="16" customWidth="1"/>
    <col min="11" max="11" width="10.5703125" style="16" bestFit="1" customWidth="1"/>
    <col min="12" max="12" width="10.5703125" style="16" customWidth="1"/>
    <col min="13" max="13" width="11.85546875" style="16" customWidth="1"/>
    <col min="14" max="14" width="12.5703125" style="16" customWidth="1"/>
    <col min="15" max="15" width="9.85546875" style="16" customWidth="1"/>
    <col min="16" max="16" width="11.7109375" style="16" customWidth="1"/>
    <col min="17" max="247" width="9.140625" style="16"/>
    <col min="248" max="248" width="8.7109375" style="16" customWidth="1"/>
    <col min="249" max="249" width="9.85546875" style="16" customWidth="1"/>
    <col min="250" max="250" width="14.42578125" style="16" customWidth="1"/>
    <col min="251" max="251" width="7.28515625" style="16" customWidth="1"/>
    <col min="252" max="252" width="5.5703125" style="16" customWidth="1"/>
    <col min="253" max="253" width="9" style="16" customWidth="1"/>
    <col min="254" max="255" width="9.85546875" style="16" customWidth="1"/>
    <col min="256" max="256" width="11.140625" style="16" customWidth="1"/>
    <col min="257" max="257" width="2.85546875" style="16" customWidth="1"/>
    <col min="258" max="258" width="3.5703125" style="16" customWidth="1"/>
    <col min="259" max="503" width="9.140625" style="16"/>
    <col min="504" max="504" width="8.7109375" style="16" customWidth="1"/>
    <col min="505" max="505" width="9.85546875" style="16" customWidth="1"/>
    <col min="506" max="506" width="14.42578125" style="16" customWidth="1"/>
    <col min="507" max="507" width="7.28515625" style="16" customWidth="1"/>
    <col min="508" max="508" width="5.5703125" style="16" customWidth="1"/>
    <col min="509" max="509" width="9" style="16" customWidth="1"/>
    <col min="510" max="511" width="9.85546875" style="16" customWidth="1"/>
    <col min="512" max="512" width="11.140625" style="16" customWidth="1"/>
    <col min="513" max="513" width="2.85546875" style="16" customWidth="1"/>
    <col min="514" max="514" width="3.5703125" style="16" customWidth="1"/>
    <col min="515" max="759" width="9.140625" style="16"/>
    <col min="760" max="760" width="8.7109375" style="16" customWidth="1"/>
    <col min="761" max="761" width="9.85546875" style="16" customWidth="1"/>
    <col min="762" max="762" width="14.42578125" style="16" customWidth="1"/>
    <col min="763" max="763" width="7.28515625" style="16" customWidth="1"/>
    <col min="764" max="764" width="5.5703125" style="16" customWidth="1"/>
    <col min="765" max="765" width="9" style="16" customWidth="1"/>
    <col min="766" max="767" width="9.85546875" style="16" customWidth="1"/>
    <col min="768" max="768" width="11.140625" style="16" customWidth="1"/>
    <col min="769" max="769" width="2.85546875" style="16" customWidth="1"/>
    <col min="770" max="770" width="3.5703125" style="16" customWidth="1"/>
    <col min="771" max="1015" width="9.140625" style="16"/>
    <col min="1016" max="1016" width="8.7109375" style="16" customWidth="1"/>
    <col min="1017" max="1017" width="9.85546875" style="16" customWidth="1"/>
    <col min="1018" max="1018" width="14.42578125" style="16" customWidth="1"/>
    <col min="1019" max="1019" width="7.28515625" style="16" customWidth="1"/>
    <col min="1020" max="1020" width="5.5703125" style="16" customWidth="1"/>
    <col min="1021" max="1021" width="9" style="16" customWidth="1"/>
    <col min="1022" max="1023" width="9.85546875" style="16" customWidth="1"/>
    <col min="1024" max="1024" width="11.140625" style="16" customWidth="1"/>
    <col min="1025" max="1025" width="2.85546875" style="16" customWidth="1"/>
    <col min="1026" max="1026" width="3.5703125" style="16" customWidth="1"/>
    <col min="1027" max="1271" width="9.140625" style="16"/>
    <col min="1272" max="1272" width="8.7109375" style="16" customWidth="1"/>
    <col min="1273" max="1273" width="9.85546875" style="16" customWidth="1"/>
    <col min="1274" max="1274" width="14.42578125" style="16" customWidth="1"/>
    <col min="1275" max="1275" width="7.28515625" style="16" customWidth="1"/>
    <col min="1276" max="1276" width="5.5703125" style="16" customWidth="1"/>
    <col min="1277" max="1277" width="9" style="16" customWidth="1"/>
    <col min="1278" max="1279" width="9.85546875" style="16" customWidth="1"/>
    <col min="1280" max="1280" width="11.140625" style="16" customWidth="1"/>
    <col min="1281" max="1281" width="2.85546875" style="16" customWidth="1"/>
    <col min="1282" max="1282" width="3.5703125" style="16" customWidth="1"/>
    <col min="1283" max="1527" width="9.140625" style="16"/>
    <col min="1528" max="1528" width="8.7109375" style="16" customWidth="1"/>
    <col min="1529" max="1529" width="9.85546875" style="16" customWidth="1"/>
    <col min="1530" max="1530" width="14.42578125" style="16" customWidth="1"/>
    <col min="1531" max="1531" width="7.28515625" style="16" customWidth="1"/>
    <col min="1532" max="1532" width="5.5703125" style="16" customWidth="1"/>
    <col min="1533" max="1533" width="9" style="16" customWidth="1"/>
    <col min="1534" max="1535" width="9.85546875" style="16" customWidth="1"/>
    <col min="1536" max="1536" width="11.140625" style="16" customWidth="1"/>
    <col min="1537" max="1537" width="2.85546875" style="16" customWidth="1"/>
    <col min="1538" max="1538" width="3.5703125" style="16" customWidth="1"/>
    <col min="1539" max="1783" width="9.140625" style="16"/>
    <col min="1784" max="1784" width="8.7109375" style="16" customWidth="1"/>
    <col min="1785" max="1785" width="9.85546875" style="16" customWidth="1"/>
    <col min="1786" max="1786" width="14.42578125" style="16" customWidth="1"/>
    <col min="1787" max="1787" width="7.28515625" style="16" customWidth="1"/>
    <col min="1788" max="1788" width="5.5703125" style="16" customWidth="1"/>
    <col min="1789" max="1789" width="9" style="16" customWidth="1"/>
    <col min="1790" max="1791" width="9.85546875" style="16" customWidth="1"/>
    <col min="1792" max="1792" width="11.140625" style="16" customWidth="1"/>
    <col min="1793" max="1793" width="2.85546875" style="16" customWidth="1"/>
    <col min="1794" max="1794" width="3.5703125" style="16" customWidth="1"/>
    <col min="1795" max="2039" width="9.140625" style="16"/>
    <col min="2040" max="2040" width="8.7109375" style="16" customWidth="1"/>
    <col min="2041" max="2041" width="9.85546875" style="16" customWidth="1"/>
    <col min="2042" max="2042" width="14.42578125" style="16" customWidth="1"/>
    <col min="2043" max="2043" width="7.28515625" style="16" customWidth="1"/>
    <col min="2044" max="2044" width="5.5703125" style="16" customWidth="1"/>
    <col min="2045" max="2045" width="9" style="16" customWidth="1"/>
    <col min="2046" max="2047" width="9.85546875" style="16" customWidth="1"/>
    <col min="2048" max="2048" width="11.140625" style="16" customWidth="1"/>
    <col min="2049" max="2049" width="2.85546875" style="16" customWidth="1"/>
    <col min="2050" max="2050" width="3.5703125" style="16" customWidth="1"/>
    <col min="2051" max="2295" width="9.140625" style="16"/>
    <col min="2296" max="2296" width="8.7109375" style="16" customWidth="1"/>
    <col min="2297" max="2297" width="9.85546875" style="16" customWidth="1"/>
    <col min="2298" max="2298" width="14.42578125" style="16" customWidth="1"/>
    <col min="2299" max="2299" width="7.28515625" style="16" customWidth="1"/>
    <col min="2300" max="2300" width="5.5703125" style="16" customWidth="1"/>
    <col min="2301" max="2301" width="9" style="16" customWidth="1"/>
    <col min="2302" max="2303" width="9.85546875" style="16" customWidth="1"/>
    <col min="2304" max="2304" width="11.140625" style="16" customWidth="1"/>
    <col min="2305" max="2305" width="2.85546875" style="16" customWidth="1"/>
    <col min="2306" max="2306" width="3.5703125" style="16" customWidth="1"/>
    <col min="2307" max="2551" width="9.140625" style="16"/>
    <col min="2552" max="2552" width="8.7109375" style="16" customWidth="1"/>
    <col min="2553" max="2553" width="9.85546875" style="16" customWidth="1"/>
    <col min="2554" max="2554" width="14.42578125" style="16" customWidth="1"/>
    <col min="2555" max="2555" width="7.28515625" style="16" customWidth="1"/>
    <col min="2556" max="2556" width="5.5703125" style="16" customWidth="1"/>
    <col min="2557" max="2557" width="9" style="16" customWidth="1"/>
    <col min="2558" max="2559" width="9.85546875" style="16" customWidth="1"/>
    <col min="2560" max="2560" width="11.140625" style="16" customWidth="1"/>
    <col min="2561" max="2561" width="2.85546875" style="16" customWidth="1"/>
    <col min="2562" max="2562" width="3.5703125" style="16" customWidth="1"/>
    <col min="2563" max="2807" width="9.140625" style="16"/>
    <col min="2808" max="2808" width="8.7109375" style="16" customWidth="1"/>
    <col min="2809" max="2809" width="9.85546875" style="16" customWidth="1"/>
    <col min="2810" max="2810" width="14.42578125" style="16" customWidth="1"/>
    <col min="2811" max="2811" width="7.28515625" style="16" customWidth="1"/>
    <col min="2812" max="2812" width="5.5703125" style="16" customWidth="1"/>
    <col min="2813" max="2813" width="9" style="16" customWidth="1"/>
    <col min="2814" max="2815" width="9.85546875" style="16" customWidth="1"/>
    <col min="2816" max="2816" width="11.140625" style="16" customWidth="1"/>
    <col min="2817" max="2817" width="2.85546875" style="16" customWidth="1"/>
    <col min="2818" max="2818" width="3.5703125" style="16" customWidth="1"/>
    <col min="2819" max="3063" width="9.140625" style="16"/>
    <col min="3064" max="3064" width="8.7109375" style="16" customWidth="1"/>
    <col min="3065" max="3065" width="9.85546875" style="16" customWidth="1"/>
    <col min="3066" max="3066" width="14.42578125" style="16" customWidth="1"/>
    <col min="3067" max="3067" width="7.28515625" style="16" customWidth="1"/>
    <col min="3068" max="3068" width="5.5703125" style="16" customWidth="1"/>
    <col min="3069" max="3069" width="9" style="16" customWidth="1"/>
    <col min="3070" max="3071" width="9.85546875" style="16" customWidth="1"/>
    <col min="3072" max="3072" width="11.140625" style="16" customWidth="1"/>
    <col min="3073" max="3073" width="2.85546875" style="16" customWidth="1"/>
    <col min="3074" max="3074" width="3.5703125" style="16" customWidth="1"/>
    <col min="3075" max="3319" width="9.140625" style="16"/>
    <col min="3320" max="3320" width="8.7109375" style="16" customWidth="1"/>
    <col min="3321" max="3321" width="9.85546875" style="16" customWidth="1"/>
    <col min="3322" max="3322" width="14.42578125" style="16" customWidth="1"/>
    <col min="3323" max="3323" width="7.28515625" style="16" customWidth="1"/>
    <col min="3324" max="3324" width="5.5703125" style="16" customWidth="1"/>
    <col min="3325" max="3325" width="9" style="16" customWidth="1"/>
    <col min="3326" max="3327" width="9.85546875" style="16" customWidth="1"/>
    <col min="3328" max="3328" width="11.140625" style="16" customWidth="1"/>
    <col min="3329" max="3329" width="2.85546875" style="16" customWidth="1"/>
    <col min="3330" max="3330" width="3.5703125" style="16" customWidth="1"/>
    <col min="3331" max="3575" width="9.140625" style="16"/>
    <col min="3576" max="3576" width="8.7109375" style="16" customWidth="1"/>
    <col min="3577" max="3577" width="9.85546875" style="16" customWidth="1"/>
    <col min="3578" max="3578" width="14.42578125" style="16" customWidth="1"/>
    <col min="3579" max="3579" width="7.28515625" style="16" customWidth="1"/>
    <col min="3580" max="3580" width="5.5703125" style="16" customWidth="1"/>
    <col min="3581" max="3581" width="9" style="16" customWidth="1"/>
    <col min="3582" max="3583" width="9.85546875" style="16" customWidth="1"/>
    <col min="3584" max="3584" width="11.140625" style="16" customWidth="1"/>
    <col min="3585" max="3585" width="2.85546875" style="16" customWidth="1"/>
    <col min="3586" max="3586" width="3.5703125" style="16" customWidth="1"/>
    <col min="3587" max="3831" width="9.140625" style="16"/>
    <col min="3832" max="3832" width="8.7109375" style="16" customWidth="1"/>
    <col min="3833" max="3833" width="9.85546875" style="16" customWidth="1"/>
    <col min="3834" max="3834" width="14.42578125" style="16" customWidth="1"/>
    <col min="3835" max="3835" width="7.28515625" style="16" customWidth="1"/>
    <col min="3836" max="3836" width="5.5703125" style="16" customWidth="1"/>
    <col min="3837" max="3837" width="9" style="16" customWidth="1"/>
    <col min="3838" max="3839" width="9.85546875" style="16" customWidth="1"/>
    <col min="3840" max="3840" width="11.140625" style="16" customWidth="1"/>
    <col min="3841" max="3841" width="2.85546875" style="16" customWidth="1"/>
    <col min="3842" max="3842" width="3.5703125" style="16" customWidth="1"/>
    <col min="3843" max="4087" width="9.140625" style="16"/>
    <col min="4088" max="4088" width="8.7109375" style="16" customWidth="1"/>
    <col min="4089" max="4089" width="9.85546875" style="16" customWidth="1"/>
    <col min="4090" max="4090" width="14.42578125" style="16" customWidth="1"/>
    <col min="4091" max="4091" width="7.28515625" style="16" customWidth="1"/>
    <col min="4092" max="4092" width="5.5703125" style="16" customWidth="1"/>
    <col min="4093" max="4093" width="9" style="16" customWidth="1"/>
    <col min="4094" max="4095" width="9.85546875" style="16" customWidth="1"/>
    <col min="4096" max="4096" width="11.140625" style="16" customWidth="1"/>
    <col min="4097" max="4097" width="2.85546875" style="16" customWidth="1"/>
    <col min="4098" max="4098" width="3.5703125" style="16" customWidth="1"/>
    <col min="4099" max="4343" width="9.140625" style="16"/>
    <col min="4344" max="4344" width="8.7109375" style="16" customWidth="1"/>
    <col min="4345" max="4345" width="9.85546875" style="16" customWidth="1"/>
    <col min="4346" max="4346" width="14.42578125" style="16" customWidth="1"/>
    <col min="4347" max="4347" width="7.28515625" style="16" customWidth="1"/>
    <col min="4348" max="4348" width="5.5703125" style="16" customWidth="1"/>
    <col min="4349" max="4349" width="9" style="16" customWidth="1"/>
    <col min="4350" max="4351" width="9.85546875" style="16" customWidth="1"/>
    <col min="4352" max="4352" width="11.140625" style="16" customWidth="1"/>
    <col min="4353" max="4353" width="2.85546875" style="16" customWidth="1"/>
    <col min="4354" max="4354" width="3.5703125" style="16" customWidth="1"/>
    <col min="4355" max="4599" width="9.140625" style="16"/>
    <col min="4600" max="4600" width="8.7109375" style="16" customWidth="1"/>
    <col min="4601" max="4601" width="9.85546875" style="16" customWidth="1"/>
    <col min="4602" max="4602" width="14.42578125" style="16" customWidth="1"/>
    <col min="4603" max="4603" width="7.28515625" style="16" customWidth="1"/>
    <col min="4604" max="4604" width="5.5703125" style="16" customWidth="1"/>
    <col min="4605" max="4605" width="9" style="16" customWidth="1"/>
    <col min="4606" max="4607" width="9.85546875" style="16" customWidth="1"/>
    <col min="4608" max="4608" width="11.140625" style="16" customWidth="1"/>
    <col min="4609" max="4609" width="2.85546875" style="16" customWidth="1"/>
    <col min="4610" max="4610" width="3.5703125" style="16" customWidth="1"/>
    <col min="4611" max="4855" width="9.140625" style="16"/>
    <col min="4856" max="4856" width="8.7109375" style="16" customWidth="1"/>
    <col min="4857" max="4857" width="9.85546875" style="16" customWidth="1"/>
    <col min="4858" max="4858" width="14.42578125" style="16" customWidth="1"/>
    <col min="4859" max="4859" width="7.28515625" style="16" customWidth="1"/>
    <col min="4860" max="4860" width="5.5703125" style="16" customWidth="1"/>
    <col min="4861" max="4861" width="9" style="16" customWidth="1"/>
    <col min="4862" max="4863" width="9.85546875" style="16" customWidth="1"/>
    <col min="4864" max="4864" width="11.140625" style="16" customWidth="1"/>
    <col min="4865" max="4865" width="2.85546875" style="16" customWidth="1"/>
    <col min="4866" max="4866" width="3.5703125" style="16" customWidth="1"/>
    <col min="4867" max="5111" width="9.140625" style="16"/>
    <col min="5112" max="5112" width="8.7109375" style="16" customWidth="1"/>
    <col min="5113" max="5113" width="9.85546875" style="16" customWidth="1"/>
    <col min="5114" max="5114" width="14.42578125" style="16" customWidth="1"/>
    <col min="5115" max="5115" width="7.28515625" style="16" customWidth="1"/>
    <col min="5116" max="5116" width="5.5703125" style="16" customWidth="1"/>
    <col min="5117" max="5117" width="9" style="16" customWidth="1"/>
    <col min="5118" max="5119" width="9.85546875" style="16" customWidth="1"/>
    <col min="5120" max="5120" width="11.140625" style="16" customWidth="1"/>
    <col min="5121" max="5121" width="2.85546875" style="16" customWidth="1"/>
    <col min="5122" max="5122" width="3.5703125" style="16" customWidth="1"/>
    <col min="5123" max="5367" width="9.140625" style="16"/>
    <col min="5368" max="5368" width="8.7109375" style="16" customWidth="1"/>
    <col min="5369" max="5369" width="9.85546875" style="16" customWidth="1"/>
    <col min="5370" max="5370" width="14.42578125" style="16" customWidth="1"/>
    <col min="5371" max="5371" width="7.28515625" style="16" customWidth="1"/>
    <col min="5372" max="5372" width="5.5703125" style="16" customWidth="1"/>
    <col min="5373" max="5373" width="9" style="16" customWidth="1"/>
    <col min="5374" max="5375" width="9.85546875" style="16" customWidth="1"/>
    <col min="5376" max="5376" width="11.140625" style="16" customWidth="1"/>
    <col min="5377" max="5377" width="2.85546875" style="16" customWidth="1"/>
    <col min="5378" max="5378" width="3.5703125" style="16" customWidth="1"/>
    <col min="5379" max="5623" width="9.140625" style="16"/>
    <col min="5624" max="5624" width="8.7109375" style="16" customWidth="1"/>
    <col min="5625" max="5625" width="9.85546875" style="16" customWidth="1"/>
    <col min="5626" max="5626" width="14.42578125" style="16" customWidth="1"/>
    <col min="5627" max="5627" width="7.28515625" style="16" customWidth="1"/>
    <col min="5628" max="5628" width="5.5703125" style="16" customWidth="1"/>
    <col min="5629" max="5629" width="9" style="16" customWidth="1"/>
    <col min="5630" max="5631" width="9.85546875" style="16" customWidth="1"/>
    <col min="5632" max="5632" width="11.140625" style="16" customWidth="1"/>
    <col min="5633" max="5633" width="2.85546875" style="16" customWidth="1"/>
    <col min="5634" max="5634" width="3.5703125" style="16" customWidth="1"/>
    <col min="5635" max="5879" width="9.140625" style="16"/>
    <col min="5880" max="5880" width="8.7109375" style="16" customWidth="1"/>
    <col min="5881" max="5881" width="9.85546875" style="16" customWidth="1"/>
    <col min="5882" max="5882" width="14.42578125" style="16" customWidth="1"/>
    <col min="5883" max="5883" width="7.28515625" style="16" customWidth="1"/>
    <col min="5884" max="5884" width="5.5703125" style="16" customWidth="1"/>
    <col min="5885" max="5885" width="9" style="16" customWidth="1"/>
    <col min="5886" max="5887" width="9.85546875" style="16" customWidth="1"/>
    <col min="5888" max="5888" width="11.140625" style="16" customWidth="1"/>
    <col min="5889" max="5889" width="2.85546875" style="16" customWidth="1"/>
    <col min="5890" max="5890" width="3.5703125" style="16" customWidth="1"/>
    <col min="5891" max="6135" width="9.140625" style="16"/>
    <col min="6136" max="6136" width="8.7109375" style="16" customWidth="1"/>
    <col min="6137" max="6137" width="9.85546875" style="16" customWidth="1"/>
    <col min="6138" max="6138" width="14.42578125" style="16" customWidth="1"/>
    <col min="6139" max="6139" width="7.28515625" style="16" customWidth="1"/>
    <col min="6140" max="6140" width="5.5703125" style="16" customWidth="1"/>
    <col min="6141" max="6141" width="9" style="16" customWidth="1"/>
    <col min="6142" max="6143" width="9.85546875" style="16" customWidth="1"/>
    <col min="6144" max="6144" width="11.140625" style="16" customWidth="1"/>
    <col min="6145" max="6145" width="2.85546875" style="16" customWidth="1"/>
    <col min="6146" max="6146" width="3.5703125" style="16" customWidth="1"/>
    <col min="6147" max="6391" width="9.140625" style="16"/>
    <col min="6392" max="6392" width="8.7109375" style="16" customWidth="1"/>
    <col min="6393" max="6393" width="9.85546875" style="16" customWidth="1"/>
    <col min="6394" max="6394" width="14.42578125" style="16" customWidth="1"/>
    <col min="6395" max="6395" width="7.28515625" style="16" customWidth="1"/>
    <col min="6396" max="6396" width="5.5703125" style="16" customWidth="1"/>
    <col min="6397" max="6397" width="9" style="16" customWidth="1"/>
    <col min="6398" max="6399" width="9.85546875" style="16" customWidth="1"/>
    <col min="6400" max="6400" width="11.140625" style="16" customWidth="1"/>
    <col min="6401" max="6401" width="2.85546875" style="16" customWidth="1"/>
    <col min="6402" max="6402" width="3.5703125" style="16" customWidth="1"/>
    <col min="6403" max="6647" width="9.140625" style="16"/>
    <col min="6648" max="6648" width="8.7109375" style="16" customWidth="1"/>
    <col min="6649" max="6649" width="9.85546875" style="16" customWidth="1"/>
    <col min="6650" max="6650" width="14.42578125" style="16" customWidth="1"/>
    <col min="6651" max="6651" width="7.28515625" style="16" customWidth="1"/>
    <col min="6652" max="6652" width="5.5703125" style="16" customWidth="1"/>
    <col min="6653" max="6653" width="9" style="16" customWidth="1"/>
    <col min="6654" max="6655" width="9.85546875" style="16" customWidth="1"/>
    <col min="6656" max="6656" width="11.140625" style="16" customWidth="1"/>
    <col min="6657" max="6657" width="2.85546875" style="16" customWidth="1"/>
    <col min="6658" max="6658" width="3.5703125" style="16" customWidth="1"/>
    <col min="6659" max="6903" width="9.140625" style="16"/>
    <col min="6904" max="6904" width="8.7109375" style="16" customWidth="1"/>
    <col min="6905" max="6905" width="9.85546875" style="16" customWidth="1"/>
    <col min="6906" max="6906" width="14.42578125" style="16" customWidth="1"/>
    <col min="6907" max="6907" width="7.28515625" style="16" customWidth="1"/>
    <col min="6908" max="6908" width="5.5703125" style="16" customWidth="1"/>
    <col min="6909" max="6909" width="9" style="16" customWidth="1"/>
    <col min="6910" max="6911" width="9.85546875" style="16" customWidth="1"/>
    <col min="6912" max="6912" width="11.140625" style="16" customWidth="1"/>
    <col min="6913" max="6913" width="2.85546875" style="16" customWidth="1"/>
    <col min="6914" max="6914" width="3.5703125" style="16" customWidth="1"/>
    <col min="6915" max="7159" width="9.140625" style="16"/>
    <col min="7160" max="7160" width="8.7109375" style="16" customWidth="1"/>
    <col min="7161" max="7161" width="9.85546875" style="16" customWidth="1"/>
    <col min="7162" max="7162" width="14.42578125" style="16" customWidth="1"/>
    <col min="7163" max="7163" width="7.28515625" style="16" customWidth="1"/>
    <col min="7164" max="7164" width="5.5703125" style="16" customWidth="1"/>
    <col min="7165" max="7165" width="9" style="16" customWidth="1"/>
    <col min="7166" max="7167" width="9.85546875" style="16" customWidth="1"/>
    <col min="7168" max="7168" width="11.140625" style="16" customWidth="1"/>
    <col min="7169" max="7169" width="2.85546875" style="16" customWidth="1"/>
    <col min="7170" max="7170" width="3.5703125" style="16" customWidth="1"/>
    <col min="7171" max="7415" width="9.140625" style="16"/>
    <col min="7416" max="7416" width="8.7109375" style="16" customWidth="1"/>
    <col min="7417" max="7417" width="9.85546875" style="16" customWidth="1"/>
    <col min="7418" max="7418" width="14.42578125" style="16" customWidth="1"/>
    <col min="7419" max="7419" width="7.28515625" style="16" customWidth="1"/>
    <col min="7420" max="7420" width="5.5703125" style="16" customWidth="1"/>
    <col min="7421" max="7421" width="9" style="16" customWidth="1"/>
    <col min="7422" max="7423" width="9.85546875" style="16" customWidth="1"/>
    <col min="7424" max="7424" width="11.140625" style="16" customWidth="1"/>
    <col min="7425" max="7425" width="2.85546875" style="16" customWidth="1"/>
    <col min="7426" max="7426" width="3.5703125" style="16" customWidth="1"/>
    <col min="7427" max="7671" width="9.140625" style="16"/>
    <col min="7672" max="7672" width="8.7109375" style="16" customWidth="1"/>
    <col min="7673" max="7673" width="9.85546875" style="16" customWidth="1"/>
    <col min="7674" max="7674" width="14.42578125" style="16" customWidth="1"/>
    <col min="7675" max="7675" width="7.28515625" style="16" customWidth="1"/>
    <col min="7676" max="7676" width="5.5703125" style="16" customWidth="1"/>
    <col min="7677" max="7677" width="9" style="16" customWidth="1"/>
    <col min="7678" max="7679" width="9.85546875" style="16" customWidth="1"/>
    <col min="7680" max="7680" width="11.140625" style="16" customWidth="1"/>
    <col min="7681" max="7681" width="2.85546875" style="16" customWidth="1"/>
    <col min="7682" max="7682" width="3.5703125" style="16" customWidth="1"/>
    <col min="7683" max="7927" width="9.140625" style="16"/>
    <col min="7928" max="7928" width="8.7109375" style="16" customWidth="1"/>
    <col min="7929" max="7929" width="9.85546875" style="16" customWidth="1"/>
    <col min="7930" max="7930" width="14.42578125" style="16" customWidth="1"/>
    <col min="7931" max="7931" width="7.28515625" style="16" customWidth="1"/>
    <col min="7932" max="7932" width="5.5703125" style="16" customWidth="1"/>
    <col min="7933" max="7933" width="9" style="16" customWidth="1"/>
    <col min="7934" max="7935" width="9.85546875" style="16" customWidth="1"/>
    <col min="7936" max="7936" width="11.140625" style="16" customWidth="1"/>
    <col min="7937" max="7937" width="2.85546875" style="16" customWidth="1"/>
    <col min="7938" max="7938" width="3.5703125" style="16" customWidth="1"/>
    <col min="7939" max="8183" width="9.140625" style="16"/>
    <col min="8184" max="8184" width="8.7109375" style="16" customWidth="1"/>
    <col min="8185" max="8185" width="9.85546875" style="16" customWidth="1"/>
    <col min="8186" max="8186" width="14.42578125" style="16" customWidth="1"/>
    <col min="8187" max="8187" width="7.28515625" style="16" customWidth="1"/>
    <col min="8188" max="8188" width="5.5703125" style="16" customWidth="1"/>
    <col min="8189" max="8189" width="9" style="16" customWidth="1"/>
    <col min="8190" max="8191" width="9.85546875" style="16" customWidth="1"/>
    <col min="8192" max="8192" width="11.140625" style="16" customWidth="1"/>
    <col min="8193" max="8193" width="2.85546875" style="16" customWidth="1"/>
    <col min="8194" max="8194" width="3.5703125" style="16" customWidth="1"/>
    <col min="8195" max="8439" width="9.140625" style="16"/>
    <col min="8440" max="8440" width="8.7109375" style="16" customWidth="1"/>
    <col min="8441" max="8441" width="9.85546875" style="16" customWidth="1"/>
    <col min="8442" max="8442" width="14.42578125" style="16" customWidth="1"/>
    <col min="8443" max="8443" width="7.28515625" style="16" customWidth="1"/>
    <col min="8444" max="8444" width="5.5703125" style="16" customWidth="1"/>
    <col min="8445" max="8445" width="9" style="16" customWidth="1"/>
    <col min="8446" max="8447" width="9.85546875" style="16" customWidth="1"/>
    <col min="8448" max="8448" width="11.140625" style="16" customWidth="1"/>
    <col min="8449" max="8449" width="2.85546875" style="16" customWidth="1"/>
    <col min="8450" max="8450" width="3.5703125" style="16" customWidth="1"/>
    <col min="8451" max="8695" width="9.140625" style="16"/>
    <col min="8696" max="8696" width="8.7109375" style="16" customWidth="1"/>
    <col min="8697" max="8697" width="9.85546875" style="16" customWidth="1"/>
    <col min="8698" max="8698" width="14.42578125" style="16" customWidth="1"/>
    <col min="8699" max="8699" width="7.28515625" style="16" customWidth="1"/>
    <col min="8700" max="8700" width="5.5703125" style="16" customWidth="1"/>
    <col min="8701" max="8701" width="9" style="16" customWidth="1"/>
    <col min="8702" max="8703" width="9.85546875" style="16" customWidth="1"/>
    <col min="8704" max="8704" width="11.140625" style="16" customWidth="1"/>
    <col min="8705" max="8705" width="2.85546875" style="16" customWidth="1"/>
    <col min="8706" max="8706" width="3.5703125" style="16" customWidth="1"/>
    <col min="8707" max="8951" width="9.140625" style="16"/>
    <col min="8952" max="8952" width="8.7109375" style="16" customWidth="1"/>
    <col min="8953" max="8953" width="9.85546875" style="16" customWidth="1"/>
    <col min="8954" max="8954" width="14.42578125" style="16" customWidth="1"/>
    <col min="8955" max="8955" width="7.28515625" style="16" customWidth="1"/>
    <col min="8956" max="8956" width="5.5703125" style="16" customWidth="1"/>
    <col min="8957" max="8957" width="9" style="16" customWidth="1"/>
    <col min="8958" max="8959" width="9.85546875" style="16" customWidth="1"/>
    <col min="8960" max="8960" width="11.140625" style="16" customWidth="1"/>
    <col min="8961" max="8961" width="2.85546875" style="16" customWidth="1"/>
    <col min="8962" max="8962" width="3.5703125" style="16" customWidth="1"/>
    <col min="8963" max="9207" width="9.140625" style="16"/>
    <col min="9208" max="9208" width="8.7109375" style="16" customWidth="1"/>
    <col min="9209" max="9209" width="9.85546875" style="16" customWidth="1"/>
    <col min="9210" max="9210" width="14.42578125" style="16" customWidth="1"/>
    <col min="9211" max="9211" width="7.28515625" style="16" customWidth="1"/>
    <col min="9212" max="9212" width="5.5703125" style="16" customWidth="1"/>
    <col min="9213" max="9213" width="9" style="16" customWidth="1"/>
    <col min="9214" max="9215" width="9.85546875" style="16" customWidth="1"/>
    <col min="9216" max="9216" width="11.140625" style="16" customWidth="1"/>
    <col min="9217" max="9217" width="2.85546875" style="16" customWidth="1"/>
    <col min="9218" max="9218" width="3.5703125" style="16" customWidth="1"/>
    <col min="9219" max="9463" width="9.140625" style="16"/>
    <col min="9464" max="9464" width="8.7109375" style="16" customWidth="1"/>
    <col min="9465" max="9465" width="9.85546875" style="16" customWidth="1"/>
    <col min="9466" max="9466" width="14.42578125" style="16" customWidth="1"/>
    <col min="9467" max="9467" width="7.28515625" style="16" customWidth="1"/>
    <col min="9468" max="9468" width="5.5703125" style="16" customWidth="1"/>
    <col min="9469" max="9469" width="9" style="16" customWidth="1"/>
    <col min="9470" max="9471" width="9.85546875" style="16" customWidth="1"/>
    <col min="9472" max="9472" width="11.140625" style="16" customWidth="1"/>
    <col min="9473" max="9473" width="2.85546875" style="16" customWidth="1"/>
    <col min="9474" max="9474" width="3.5703125" style="16" customWidth="1"/>
    <col min="9475" max="9719" width="9.140625" style="16"/>
    <col min="9720" max="9720" width="8.7109375" style="16" customWidth="1"/>
    <col min="9721" max="9721" width="9.85546875" style="16" customWidth="1"/>
    <col min="9722" max="9722" width="14.42578125" style="16" customWidth="1"/>
    <col min="9723" max="9723" width="7.28515625" style="16" customWidth="1"/>
    <col min="9724" max="9724" width="5.5703125" style="16" customWidth="1"/>
    <col min="9725" max="9725" width="9" style="16" customWidth="1"/>
    <col min="9726" max="9727" width="9.85546875" style="16" customWidth="1"/>
    <col min="9728" max="9728" width="11.140625" style="16" customWidth="1"/>
    <col min="9729" max="9729" width="2.85546875" style="16" customWidth="1"/>
    <col min="9730" max="9730" width="3.5703125" style="16" customWidth="1"/>
    <col min="9731" max="9975" width="9.140625" style="16"/>
    <col min="9976" max="9976" width="8.7109375" style="16" customWidth="1"/>
    <col min="9977" max="9977" width="9.85546875" style="16" customWidth="1"/>
    <col min="9978" max="9978" width="14.42578125" style="16" customWidth="1"/>
    <col min="9979" max="9979" width="7.28515625" style="16" customWidth="1"/>
    <col min="9980" max="9980" width="5.5703125" style="16" customWidth="1"/>
    <col min="9981" max="9981" width="9" style="16" customWidth="1"/>
    <col min="9982" max="9983" width="9.85546875" style="16" customWidth="1"/>
    <col min="9984" max="9984" width="11.140625" style="16" customWidth="1"/>
    <col min="9985" max="9985" width="2.85546875" style="16" customWidth="1"/>
    <col min="9986" max="9986" width="3.5703125" style="16" customWidth="1"/>
    <col min="9987" max="10231" width="9.140625" style="16"/>
    <col min="10232" max="10232" width="8.7109375" style="16" customWidth="1"/>
    <col min="10233" max="10233" width="9.85546875" style="16" customWidth="1"/>
    <col min="10234" max="10234" width="14.42578125" style="16" customWidth="1"/>
    <col min="10235" max="10235" width="7.28515625" style="16" customWidth="1"/>
    <col min="10236" max="10236" width="5.5703125" style="16" customWidth="1"/>
    <col min="10237" max="10237" width="9" style="16" customWidth="1"/>
    <col min="10238" max="10239" width="9.85546875" style="16" customWidth="1"/>
    <col min="10240" max="10240" width="11.140625" style="16" customWidth="1"/>
    <col min="10241" max="10241" width="2.85546875" style="16" customWidth="1"/>
    <col min="10242" max="10242" width="3.5703125" style="16" customWidth="1"/>
    <col min="10243" max="10487" width="9.140625" style="16"/>
    <col min="10488" max="10488" width="8.7109375" style="16" customWidth="1"/>
    <col min="10489" max="10489" width="9.85546875" style="16" customWidth="1"/>
    <col min="10490" max="10490" width="14.42578125" style="16" customWidth="1"/>
    <col min="10491" max="10491" width="7.28515625" style="16" customWidth="1"/>
    <col min="10492" max="10492" width="5.5703125" style="16" customWidth="1"/>
    <col min="10493" max="10493" width="9" style="16" customWidth="1"/>
    <col min="10494" max="10495" width="9.85546875" style="16" customWidth="1"/>
    <col min="10496" max="10496" width="11.140625" style="16" customWidth="1"/>
    <col min="10497" max="10497" width="2.85546875" style="16" customWidth="1"/>
    <col min="10498" max="10498" width="3.5703125" style="16" customWidth="1"/>
    <col min="10499" max="10743" width="9.140625" style="16"/>
    <col min="10744" max="10744" width="8.7109375" style="16" customWidth="1"/>
    <col min="10745" max="10745" width="9.85546875" style="16" customWidth="1"/>
    <col min="10746" max="10746" width="14.42578125" style="16" customWidth="1"/>
    <col min="10747" max="10747" width="7.28515625" style="16" customWidth="1"/>
    <col min="10748" max="10748" width="5.5703125" style="16" customWidth="1"/>
    <col min="10749" max="10749" width="9" style="16" customWidth="1"/>
    <col min="10750" max="10751" width="9.85546875" style="16" customWidth="1"/>
    <col min="10752" max="10752" width="11.140625" style="16" customWidth="1"/>
    <col min="10753" max="10753" width="2.85546875" style="16" customWidth="1"/>
    <col min="10754" max="10754" width="3.5703125" style="16" customWidth="1"/>
    <col min="10755" max="10999" width="9.140625" style="16"/>
    <col min="11000" max="11000" width="8.7109375" style="16" customWidth="1"/>
    <col min="11001" max="11001" width="9.85546875" style="16" customWidth="1"/>
    <col min="11002" max="11002" width="14.42578125" style="16" customWidth="1"/>
    <col min="11003" max="11003" width="7.28515625" style="16" customWidth="1"/>
    <col min="11004" max="11004" width="5.5703125" style="16" customWidth="1"/>
    <col min="11005" max="11005" width="9" style="16" customWidth="1"/>
    <col min="11006" max="11007" width="9.85546875" style="16" customWidth="1"/>
    <col min="11008" max="11008" width="11.140625" style="16" customWidth="1"/>
    <col min="11009" max="11009" width="2.85546875" style="16" customWidth="1"/>
    <col min="11010" max="11010" width="3.5703125" style="16" customWidth="1"/>
    <col min="11011" max="11255" width="9.140625" style="16"/>
    <col min="11256" max="11256" width="8.7109375" style="16" customWidth="1"/>
    <col min="11257" max="11257" width="9.85546875" style="16" customWidth="1"/>
    <col min="11258" max="11258" width="14.42578125" style="16" customWidth="1"/>
    <col min="11259" max="11259" width="7.28515625" style="16" customWidth="1"/>
    <col min="11260" max="11260" width="5.5703125" style="16" customWidth="1"/>
    <col min="11261" max="11261" width="9" style="16" customWidth="1"/>
    <col min="11262" max="11263" width="9.85546875" style="16" customWidth="1"/>
    <col min="11264" max="11264" width="11.140625" style="16" customWidth="1"/>
    <col min="11265" max="11265" width="2.85546875" style="16" customWidth="1"/>
    <col min="11266" max="11266" width="3.5703125" style="16" customWidth="1"/>
    <col min="11267" max="11511" width="9.140625" style="16"/>
    <col min="11512" max="11512" width="8.7109375" style="16" customWidth="1"/>
    <col min="11513" max="11513" width="9.85546875" style="16" customWidth="1"/>
    <col min="11514" max="11514" width="14.42578125" style="16" customWidth="1"/>
    <col min="11515" max="11515" width="7.28515625" style="16" customWidth="1"/>
    <col min="11516" max="11516" width="5.5703125" style="16" customWidth="1"/>
    <col min="11517" max="11517" width="9" style="16" customWidth="1"/>
    <col min="11518" max="11519" width="9.85546875" style="16" customWidth="1"/>
    <col min="11520" max="11520" width="11.140625" style="16" customWidth="1"/>
    <col min="11521" max="11521" width="2.85546875" style="16" customWidth="1"/>
    <col min="11522" max="11522" width="3.5703125" style="16" customWidth="1"/>
    <col min="11523" max="11767" width="9.140625" style="16"/>
    <col min="11768" max="11768" width="8.7109375" style="16" customWidth="1"/>
    <col min="11769" max="11769" width="9.85546875" style="16" customWidth="1"/>
    <col min="11770" max="11770" width="14.42578125" style="16" customWidth="1"/>
    <col min="11771" max="11771" width="7.28515625" style="16" customWidth="1"/>
    <col min="11772" max="11772" width="5.5703125" style="16" customWidth="1"/>
    <col min="11773" max="11773" width="9" style="16" customWidth="1"/>
    <col min="11774" max="11775" width="9.85546875" style="16" customWidth="1"/>
    <col min="11776" max="11776" width="11.140625" style="16" customWidth="1"/>
    <col min="11777" max="11777" width="2.85546875" style="16" customWidth="1"/>
    <col min="11778" max="11778" width="3.5703125" style="16" customWidth="1"/>
    <col min="11779" max="12023" width="9.140625" style="16"/>
    <col min="12024" max="12024" width="8.7109375" style="16" customWidth="1"/>
    <col min="12025" max="12025" width="9.85546875" style="16" customWidth="1"/>
    <col min="12026" max="12026" width="14.42578125" style="16" customWidth="1"/>
    <col min="12027" max="12027" width="7.28515625" style="16" customWidth="1"/>
    <col min="12028" max="12028" width="5.5703125" style="16" customWidth="1"/>
    <col min="12029" max="12029" width="9" style="16" customWidth="1"/>
    <col min="12030" max="12031" width="9.85546875" style="16" customWidth="1"/>
    <col min="12032" max="12032" width="11.140625" style="16" customWidth="1"/>
    <col min="12033" max="12033" width="2.85546875" style="16" customWidth="1"/>
    <col min="12034" max="12034" width="3.5703125" style="16" customWidth="1"/>
    <col min="12035" max="12279" width="9.140625" style="16"/>
    <col min="12280" max="12280" width="8.7109375" style="16" customWidth="1"/>
    <col min="12281" max="12281" width="9.85546875" style="16" customWidth="1"/>
    <col min="12282" max="12282" width="14.42578125" style="16" customWidth="1"/>
    <col min="12283" max="12283" width="7.28515625" style="16" customWidth="1"/>
    <col min="12284" max="12284" width="5.5703125" style="16" customWidth="1"/>
    <col min="12285" max="12285" width="9" style="16" customWidth="1"/>
    <col min="12286" max="12287" width="9.85546875" style="16" customWidth="1"/>
    <col min="12288" max="12288" width="11.140625" style="16" customWidth="1"/>
    <col min="12289" max="12289" width="2.85546875" style="16" customWidth="1"/>
    <col min="12290" max="12290" width="3.5703125" style="16" customWidth="1"/>
    <col min="12291" max="12535" width="9.140625" style="16"/>
    <col min="12536" max="12536" width="8.7109375" style="16" customWidth="1"/>
    <col min="12537" max="12537" width="9.85546875" style="16" customWidth="1"/>
    <col min="12538" max="12538" width="14.42578125" style="16" customWidth="1"/>
    <col min="12539" max="12539" width="7.28515625" style="16" customWidth="1"/>
    <col min="12540" max="12540" width="5.5703125" style="16" customWidth="1"/>
    <col min="12541" max="12541" width="9" style="16" customWidth="1"/>
    <col min="12542" max="12543" width="9.85546875" style="16" customWidth="1"/>
    <col min="12544" max="12544" width="11.140625" style="16" customWidth="1"/>
    <col min="12545" max="12545" width="2.85546875" style="16" customWidth="1"/>
    <col min="12546" max="12546" width="3.5703125" style="16" customWidth="1"/>
    <col min="12547" max="12791" width="9.140625" style="16"/>
    <col min="12792" max="12792" width="8.7109375" style="16" customWidth="1"/>
    <col min="12793" max="12793" width="9.85546875" style="16" customWidth="1"/>
    <col min="12794" max="12794" width="14.42578125" style="16" customWidth="1"/>
    <col min="12795" max="12795" width="7.28515625" style="16" customWidth="1"/>
    <col min="12796" max="12796" width="5.5703125" style="16" customWidth="1"/>
    <col min="12797" max="12797" width="9" style="16" customWidth="1"/>
    <col min="12798" max="12799" width="9.85546875" style="16" customWidth="1"/>
    <col min="12800" max="12800" width="11.140625" style="16" customWidth="1"/>
    <col min="12801" max="12801" width="2.85546875" style="16" customWidth="1"/>
    <col min="12802" max="12802" width="3.5703125" style="16" customWidth="1"/>
    <col min="12803" max="13047" width="9.140625" style="16"/>
    <col min="13048" max="13048" width="8.7109375" style="16" customWidth="1"/>
    <col min="13049" max="13049" width="9.85546875" style="16" customWidth="1"/>
    <col min="13050" max="13050" width="14.42578125" style="16" customWidth="1"/>
    <col min="13051" max="13051" width="7.28515625" style="16" customWidth="1"/>
    <col min="13052" max="13052" width="5.5703125" style="16" customWidth="1"/>
    <col min="13053" max="13053" width="9" style="16" customWidth="1"/>
    <col min="13054" max="13055" width="9.85546875" style="16" customWidth="1"/>
    <col min="13056" max="13056" width="11.140625" style="16" customWidth="1"/>
    <col min="13057" max="13057" width="2.85546875" style="16" customWidth="1"/>
    <col min="13058" max="13058" width="3.5703125" style="16" customWidth="1"/>
    <col min="13059" max="13303" width="9.140625" style="16"/>
    <col min="13304" max="13304" width="8.7109375" style="16" customWidth="1"/>
    <col min="13305" max="13305" width="9.85546875" style="16" customWidth="1"/>
    <col min="13306" max="13306" width="14.42578125" style="16" customWidth="1"/>
    <col min="13307" max="13307" width="7.28515625" style="16" customWidth="1"/>
    <col min="13308" max="13308" width="5.5703125" style="16" customWidth="1"/>
    <col min="13309" max="13309" width="9" style="16" customWidth="1"/>
    <col min="13310" max="13311" width="9.85546875" style="16" customWidth="1"/>
    <col min="13312" max="13312" width="11.140625" style="16" customWidth="1"/>
    <col min="13313" max="13313" width="2.85546875" style="16" customWidth="1"/>
    <col min="13314" max="13314" width="3.5703125" style="16" customWidth="1"/>
    <col min="13315" max="13559" width="9.140625" style="16"/>
    <col min="13560" max="13560" width="8.7109375" style="16" customWidth="1"/>
    <col min="13561" max="13561" width="9.85546875" style="16" customWidth="1"/>
    <col min="13562" max="13562" width="14.42578125" style="16" customWidth="1"/>
    <col min="13563" max="13563" width="7.28515625" style="16" customWidth="1"/>
    <col min="13564" max="13564" width="5.5703125" style="16" customWidth="1"/>
    <col min="13565" max="13565" width="9" style="16" customWidth="1"/>
    <col min="13566" max="13567" width="9.85546875" style="16" customWidth="1"/>
    <col min="13568" max="13568" width="11.140625" style="16" customWidth="1"/>
    <col min="13569" max="13569" width="2.85546875" style="16" customWidth="1"/>
    <col min="13570" max="13570" width="3.5703125" style="16" customWidth="1"/>
    <col min="13571" max="13815" width="9.140625" style="16"/>
    <col min="13816" max="13816" width="8.7109375" style="16" customWidth="1"/>
    <col min="13817" max="13817" width="9.85546875" style="16" customWidth="1"/>
    <col min="13818" max="13818" width="14.42578125" style="16" customWidth="1"/>
    <col min="13819" max="13819" width="7.28515625" style="16" customWidth="1"/>
    <col min="13820" max="13820" width="5.5703125" style="16" customWidth="1"/>
    <col min="13821" max="13821" width="9" style="16" customWidth="1"/>
    <col min="13822" max="13823" width="9.85546875" style="16" customWidth="1"/>
    <col min="13824" max="13824" width="11.140625" style="16" customWidth="1"/>
    <col min="13825" max="13825" width="2.85546875" style="16" customWidth="1"/>
    <col min="13826" max="13826" width="3.5703125" style="16" customWidth="1"/>
    <col min="13827" max="14071" width="9.140625" style="16"/>
    <col min="14072" max="14072" width="8.7109375" style="16" customWidth="1"/>
    <col min="14073" max="14073" width="9.85546875" style="16" customWidth="1"/>
    <col min="14074" max="14074" width="14.42578125" style="16" customWidth="1"/>
    <col min="14075" max="14075" width="7.28515625" style="16" customWidth="1"/>
    <col min="14076" max="14076" width="5.5703125" style="16" customWidth="1"/>
    <col min="14077" max="14077" width="9" style="16" customWidth="1"/>
    <col min="14078" max="14079" width="9.85546875" style="16" customWidth="1"/>
    <col min="14080" max="14080" width="11.140625" style="16" customWidth="1"/>
    <col min="14081" max="14081" width="2.85546875" style="16" customWidth="1"/>
    <col min="14082" max="14082" width="3.5703125" style="16" customWidth="1"/>
    <col min="14083" max="14327" width="9.140625" style="16"/>
    <col min="14328" max="14328" width="8.7109375" style="16" customWidth="1"/>
    <col min="14329" max="14329" width="9.85546875" style="16" customWidth="1"/>
    <col min="14330" max="14330" width="14.42578125" style="16" customWidth="1"/>
    <col min="14331" max="14331" width="7.28515625" style="16" customWidth="1"/>
    <col min="14332" max="14332" width="5.5703125" style="16" customWidth="1"/>
    <col min="14333" max="14333" width="9" style="16" customWidth="1"/>
    <col min="14334" max="14335" width="9.85546875" style="16" customWidth="1"/>
    <col min="14336" max="14336" width="11.140625" style="16" customWidth="1"/>
    <col min="14337" max="14337" width="2.85546875" style="16" customWidth="1"/>
    <col min="14338" max="14338" width="3.5703125" style="16" customWidth="1"/>
    <col min="14339" max="14583" width="9.140625" style="16"/>
    <col min="14584" max="14584" width="8.7109375" style="16" customWidth="1"/>
    <col min="14585" max="14585" width="9.85546875" style="16" customWidth="1"/>
    <col min="14586" max="14586" width="14.42578125" style="16" customWidth="1"/>
    <col min="14587" max="14587" width="7.28515625" style="16" customWidth="1"/>
    <col min="14588" max="14588" width="5.5703125" style="16" customWidth="1"/>
    <col min="14589" max="14589" width="9" style="16" customWidth="1"/>
    <col min="14590" max="14591" width="9.85546875" style="16" customWidth="1"/>
    <col min="14592" max="14592" width="11.140625" style="16" customWidth="1"/>
    <col min="14593" max="14593" width="2.85546875" style="16" customWidth="1"/>
    <col min="14594" max="14594" width="3.5703125" style="16" customWidth="1"/>
    <col min="14595" max="14839" width="9.140625" style="16"/>
    <col min="14840" max="14840" width="8.7109375" style="16" customWidth="1"/>
    <col min="14841" max="14841" width="9.85546875" style="16" customWidth="1"/>
    <col min="14842" max="14842" width="14.42578125" style="16" customWidth="1"/>
    <col min="14843" max="14843" width="7.28515625" style="16" customWidth="1"/>
    <col min="14844" max="14844" width="5.5703125" style="16" customWidth="1"/>
    <col min="14845" max="14845" width="9" style="16" customWidth="1"/>
    <col min="14846" max="14847" width="9.85546875" style="16" customWidth="1"/>
    <col min="14848" max="14848" width="11.140625" style="16" customWidth="1"/>
    <col min="14849" max="14849" width="2.85546875" style="16" customWidth="1"/>
    <col min="14850" max="14850" width="3.5703125" style="16" customWidth="1"/>
    <col min="14851" max="15095" width="9.140625" style="16"/>
    <col min="15096" max="15096" width="8.7109375" style="16" customWidth="1"/>
    <col min="15097" max="15097" width="9.85546875" style="16" customWidth="1"/>
    <col min="15098" max="15098" width="14.42578125" style="16" customWidth="1"/>
    <col min="15099" max="15099" width="7.28515625" style="16" customWidth="1"/>
    <col min="15100" max="15100" width="5.5703125" style="16" customWidth="1"/>
    <col min="15101" max="15101" width="9" style="16" customWidth="1"/>
    <col min="15102" max="15103" width="9.85546875" style="16" customWidth="1"/>
    <col min="15104" max="15104" width="11.140625" style="16" customWidth="1"/>
    <col min="15105" max="15105" width="2.85546875" style="16" customWidth="1"/>
    <col min="15106" max="15106" width="3.5703125" style="16" customWidth="1"/>
    <col min="15107" max="15351" width="9.140625" style="16"/>
    <col min="15352" max="15352" width="8.7109375" style="16" customWidth="1"/>
    <col min="15353" max="15353" width="9.85546875" style="16" customWidth="1"/>
    <col min="15354" max="15354" width="14.42578125" style="16" customWidth="1"/>
    <col min="15355" max="15355" width="7.28515625" style="16" customWidth="1"/>
    <col min="15356" max="15356" width="5.5703125" style="16" customWidth="1"/>
    <col min="15357" max="15357" width="9" style="16" customWidth="1"/>
    <col min="15358" max="15359" width="9.85546875" style="16" customWidth="1"/>
    <col min="15360" max="15360" width="11.140625" style="16" customWidth="1"/>
    <col min="15361" max="15361" width="2.85546875" style="16" customWidth="1"/>
    <col min="15362" max="15362" width="3.5703125" style="16" customWidth="1"/>
    <col min="15363" max="15607" width="9.140625" style="16"/>
    <col min="15608" max="15608" width="8.7109375" style="16" customWidth="1"/>
    <col min="15609" max="15609" width="9.85546875" style="16" customWidth="1"/>
    <col min="15610" max="15610" width="14.42578125" style="16" customWidth="1"/>
    <col min="15611" max="15611" width="7.28515625" style="16" customWidth="1"/>
    <col min="15612" max="15612" width="5.5703125" style="16" customWidth="1"/>
    <col min="15613" max="15613" width="9" style="16" customWidth="1"/>
    <col min="15614" max="15615" width="9.85546875" style="16" customWidth="1"/>
    <col min="15616" max="15616" width="11.140625" style="16" customWidth="1"/>
    <col min="15617" max="15617" width="2.85546875" style="16" customWidth="1"/>
    <col min="15618" max="15618" width="3.5703125" style="16" customWidth="1"/>
    <col min="15619" max="15863" width="9.140625" style="16"/>
    <col min="15864" max="15864" width="8.7109375" style="16" customWidth="1"/>
    <col min="15865" max="15865" width="9.85546875" style="16" customWidth="1"/>
    <col min="15866" max="15866" width="14.42578125" style="16" customWidth="1"/>
    <col min="15867" max="15867" width="7.28515625" style="16" customWidth="1"/>
    <col min="15868" max="15868" width="5.5703125" style="16" customWidth="1"/>
    <col min="15869" max="15869" width="9" style="16" customWidth="1"/>
    <col min="15870" max="15871" width="9.85546875" style="16" customWidth="1"/>
    <col min="15872" max="15872" width="11.140625" style="16" customWidth="1"/>
    <col min="15873" max="15873" width="2.85546875" style="16" customWidth="1"/>
    <col min="15874" max="15874" width="3.5703125" style="16" customWidth="1"/>
    <col min="15875" max="16119" width="9.140625" style="16"/>
    <col min="16120" max="16120" width="8.7109375" style="16" customWidth="1"/>
    <col min="16121" max="16121" width="9.85546875" style="16" customWidth="1"/>
    <col min="16122" max="16122" width="14.42578125" style="16" customWidth="1"/>
    <col min="16123" max="16123" width="7.28515625" style="16" customWidth="1"/>
    <col min="16124" max="16124" width="5.5703125" style="16" customWidth="1"/>
    <col min="16125" max="16125" width="9" style="16" customWidth="1"/>
    <col min="16126" max="16127" width="9.85546875" style="16" customWidth="1"/>
    <col min="16128" max="16128" width="11.140625" style="16" customWidth="1"/>
    <col min="16129" max="16129" width="2.85546875" style="16" customWidth="1"/>
    <col min="16130" max="16130" width="3.5703125" style="16" customWidth="1"/>
    <col min="16131" max="16384" width="9.140625" style="16"/>
  </cols>
  <sheetData>
    <row r="1" spans="1:26" ht="46.5" customHeight="1" x14ac:dyDescent="0.25">
      <c r="A1" s="220" t="s">
        <v>162</v>
      </c>
      <c r="B1" s="220"/>
      <c r="C1" s="220"/>
      <c r="D1" s="220"/>
      <c r="E1" s="220"/>
      <c r="F1" s="220"/>
      <c r="G1" s="220"/>
      <c r="H1" s="220"/>
      <c r="I1" s="30"/>
      <c r="J1" s="30"/>
      <c r="K1" s="30"/>
      <c r="L1" s="30"/>
      <c r="M1" s="30"/>
      <c r="N1" s="30"/>
      <c r="O1" s="30"/>
      <c r="P1" s="30"/>
    </row>
    <row r="2" spans="1:26" ht="16.5" customHeight="1" x14ac:dyDescent="0.25">
      <c r="A2" s="156" t="s">
        <v>0</v>
      </c>
      <c r="B2" s="156"/>
      <c r="C2" s="156"/>
      <c r="D2" s="156"/>
      <c r="E2" s="156"/>
      <c r="F2" s="156"/>
      <c r="G2" s="156"/>
      <c r="H2" s="156"/>
      <c r="I2" s="30"/>
      <c r="J2" s="30"/>
      <c r="K2" s="30"/>
      <c r="L2" s="30"/>
      <c r="M2" s="30"/>
      <c r="N2" s="30"/>
      <c r="O2" s="30"/>
      <c r="P2" s="30"/>
    </row>
    <row r="3" spans="1:26" x14ac:dyDescent="0.25">
      <c r="A3" s="188" t="s">
        <v>1</v>
      </c>
      <c r="B3" s="188"/>
      <c r="C3" s="188"/>
      <c r="D3" s="188"/>
      <c r="E3" s="188" t="str">
        <f ca="1">TEXT(TODAY(),"DD/MM/YYYY")</f>
        <v>15/07/2025</v>
      </c>
      <c r="F3" s="188"/>
      <c r="G3" s="188"/>
      <c r="H3" s="188"/>
      <c r="I3" s="30"/>
      <c r="J3" s="30"/>
      <c r="K3" s="30"/>
      <c r="L3" s="30"/>
      <c r="M3" s="30"/>
      <c r="N3" s="30"/>
      <c r="O3" s="30"/>
      <c r="P3" s="30"/>
    </row>
    <row r="4" spans="1:26" ht="15" customHeight="1" x14ac:dyDescent="0.25">
      <c r="A4" s="188" t="s">
        <v>2</v>
      </c>
      <c r="B4" s="188"/>
      <c r="C4" s="188"/>
      <c r="D4" s="188"/>
      <c r="E4" s="188" t="s">
        <v>168</v>
      </c>
      <c r="F4" s="188"/>
      <c r="G4" s="188"/>
      <c r="H4" s="188"/>
      <c r="I4" s="30"/>
      <c r="J4" s="30"/>
      <c r="K4" s="30"/>
      <c r="L4" s="30"/>
      <c r="M4" s="30"/>
      <c r="N4" s="30"/>
      <c r="O4" s="30"/>
      <c r="P4" s="30"/>
    </row>
    <row r="5" spans="1:26" x14ac:dyDescent="0.25">
      <c r="A5" s="188" t="s">
        <v>3</v>
      </c>
      <c r="B5" s="188"/>
      <c r="C5" s="188"/>
      <c r="D5" s="188"/>
      <c r="E5" s="222">
        <v>45847</v>
      </c>
      <c r="F5" s="188"/>
      <c r="G5" s="188"/>
      <c r="H5" s="188"/>
      <c r="I5" s="30"/>
      <c r="J5" s="30"/>
      <c r="K5" s="30"/>
      <c r="L5" s="30"/>
      <c r="M5" s="30"/>
      <c r="N5" s="30"/>
      <c r="O5" s="30"/>
      <c r="P5" s="30"/>
    </row>
    <row r="6" spans="1:26" ht="16.5" customHeight="1" x14ac:dyDescent="0.25">
      <c r="A6" s="188" t="s">
        <v>4</v>
      </c>
      <c r="B6" s="188"/>
      <c r="C6" s="188"/>
      <c r="D6" s="188"/>
      <c r="E6" s="188" t="s">
        <v>229</v>
      </c>
      <c r="F6" s="188"/>
      <c r="G6" s="188"/>
      <c r="H6" s="188"/>
      <c r="I6" s="30"/>
      <c r="J6" s="30"/>
      <c r="K6" s="30"/>
      <c r="L6" s="30"/>
      <c r="M6" s="30"/>
      <c r="N6" s="30"/>
      <c r="O6" s="30"/>
      <c r="P6" s="30"/>
    </row>
    <row r="7" spans="1:26" ht="15" customHeight="1" x14ac:dyDescent="0.25">
      <c r="A7" s="188" t="s">
        <v>5</v>
      </c>
      <c r="B7" s="188"/>
      <c r="C7" s="188"/>
      <c r="D7" s="188"/>
      <c r="E7" s="188" t="str">
        <f>E6</f>
        <v>Tanishka Reality LLP</v>
      </c>
      <c r="F7" s="188"/>
      <c r="G7" s="188"/>
      <c r="H7" s="188"/>
      <c r="I7" s="30"/>
      <c r="J7" s="30"/>
      <c r="K7" s="30"/>
      <c r="L7" s="30"/>
      <c r="M7" s="30"/>
      <c r="N7" s="30"/>
      <c r="O7" s="30"/>
      <c r="P7" s="30"/>
    </row>
    <row r="8" spans="1:26" x14ac:dyDescent="0.25">
      <c r="A8" s="188" t="s">
        <v>6</v>
      </c>
      <c r="B8" s="188"/>
      <c r="C8" s="188"/>
      <c r="D8" s="188"/>
      <c r="E8" s="221" t="s">
        <v>230</v>
      </c>
      <c r="F8" s="221"/>
      <c r="G8" s="221"/>
      <c r="H8" s="221"/>
      <c r="I8" s="30"/>
      <c r="J8" s="30"/>
      <c r="K8" s="30"/>
      <c r="L8" s="30"/>
      <c r="M8" s="30"/>
      <c r="N8" s="30"/>
      <c r="O8" s="30"/>
      <c r="P8" s="30"/>
    </row>
    <row r="9" spans="1:26" x14ac:dyDescent="0.25">
      <c r="A9" s="188" t="s">
        <v>165</v>
      </c>
      <c r="B9" s="188"/>
      <c r="C9" s="188"/>
      <c r="D9" s="188"/>
      <c r="E9" s="188">
        <v>9870630645</v>
      </c>
      <c r="F9" s="188"/>
      <c r="G9" s="188"/>
      <c r="H9" s="188"/>
      <c r="I9" s="30"/>
      <c r="J9" s="30"/>
      <c r="K9" s="30"/>
      <c r="L9" s="30"/>
      <c r="M9" s="30"/>
      <c r="N9" s="30"/>
      <c r="O9" s="30"/>
      <c r="P9" s="30"/>
    </row>
    <row r="10" spans="1:26" hidden="1" x14ac:dyDescent="0.25">
      <c r="A10" s="188" t="s">
        <v>166</v>
      </c>
      <c r="B10" s="188"/>
      <c r="C10" s="188"/>
      <c r="D10" s="188"/>
      <c r="E10" s="188" t="s">
        <v>325</v>
      </c>
      <c r="F10" s="188"/>
      <c r="G10" s="188"/>
      <c r="H10" s="188"/>
      <c r="I10" s="30"/>
      <c r="J10" s="30"/>
      <c r="K10" s="30"/>
      <c r="L10" s="30"/>
      <c r="M10" s="30"/>
      <c r="N10" s="30"/>
      <c r="O10" s="30"/>
      <c r="P10" s="30"/>
    </row>
    <row r="11" spans="1:26" x14ac:dyDescent="0.25">
      <c r="A11" s="188" t="s">
        <v>7</v>
      </c>
      <c r="B11" s="188"/>
      <c r="C11" s="188"/>
      <c r="D11" s="188"/>
      <c r="E11" s="188" t="s">
        <v>317</v>
      </c>
      <c r="F11" s="188"/>
      <c r="G11" s="188"/>
      <c r="H11" s="188"/>
      <c r="I11" s="30"/>
      <c r="J11" s="30"/>
      <c r="K11" s="30"/>
      <c r="L11" s="30"/>
      <c r="M11" s="30"/>
      <c r="N11" s="30"/>
      <c r="O11" s="30"/>
      <c r="P11" s="30"/>
    </row>
    <row r="12" spans="1:26" x14ac:dyDescent="0.25">
      <c r="A12" s="188" t="s">
        <v>169</v>
      </c>
      <c r="B12" s="188"/>
      <c r="C12" s="188"/>
      <c r="D12" s="188"/>
      <c r="E12" s="188" t="s">
        <v>233</v>
      </c>
      <c r="F12" s="188"/>
      <c r="G12" s="188"/>
      <c r="H12" s="188"/>
      <c r="I12" s="30"/>
      <c r="J12" s="30"/>
      <c r="K12" s="30"/>
      <c r="L12" s="30"/>
      <c r="M12" s="30"/>
      <c r="N12" s="30"/>
      <c r="O12" s="30"/>
      <c r="P12" s="30"/>
      <c r="S12" s="25" t="s">
        <v>176</v>
      </c>
      <c r="T12" s="25" t="s">
        <v>186</v>
      </c>
      <c r="U12" s="25" t="s">
        <v>170</v>
      </c>
      <c r="V12" s="25" t="s">
        <v>191</v>
      </c>
      <c r="W12" s="25" t="s">
        <v>209</v>
      </c>
      <c r="X12"/>
      <c r="Y12" t="s">
        <v>191</v>
      </c>
      <c r="Z12" t="e">
        <f ca="1">OFFSET($S$12,1,MATCH($G19,$S$12:$W$12,0)-1,15,1)</f>
        <v>#VALUE!</v>
      </c>
    </row>
    <row r="13" spans="1:26" x14ac:dyDescent="0.25">
      <c r="A13" s="158" t="s">
        <v>8</v>
      </c>
      <c r="B13" s="158"/>
      <c r="C13" s="158"/>
      <c r="D13" s="158"/>
      <c r="E13" s="167" t="s">
        <v>231</v>
      </c>
      <c r="F13" s="167"/>
      <c r="G13" s="167"/>
      <c r="H13" s="167"/>
      <c r="I13" s="30"/>
      <c r="J13" s="30"/>
      <c r="K13" s="30"/>
      <c r="L13" s="30"/>
      <c r="M13" s="30"/>
      <c r="N13" s="30"/>
      <c r="O13" s="30"/>
      <c r="P13" s="30"/>
      <c r="S13" s="25" t="s">
        <v>177</v>
      </c>
      <c r="T13" s="25" t="s">
        <v>184</v>
      </c>
      <c r="U13" s="25" t="s">
        <v>206</v>
      </c>
      <c r="V13" s="25" t="s">
        <v>192</v>
      </c>
      <c r="W13" s="25" t="s">
        <v>210</v>
      </c>
      <c r="X13"/>
      <c r="Y13"/>
      <c r="Z13"/>
    </row>
    <row r="14" spans="1:26" x14ac:dyDescent="0.25">
      <c r="A14" s="158" t="s">
        <v>9</v>
      </c>
      <c r="B14" s="158"/>
      <c r="C14" s="158"/>
      <c r="D14" s="158"/>
      <c r="E14" s="166" t="s">
        <v>232</v>
      </c>
      <c r="F14" s="188"/>
      <c r="G14" s="188"/>
      <c r="H14" s="188"/>
      <c r="I14" s="153" t="e">
        <f ca="1">OFFSET($D$4,1,MATCH($J12,$D$4:$H$4,0)-1,15,1)</f>
        <v>#N/A</v>
      </c>
      <c r="J14" s="154"/>
      <c r="K14" s="154"/>
      <c r="L14" s="154"/>
      <c r="M14" s="154"/>
      <c r="N14" s="154"/>
      <c r="O14" s="154"/>
      <c r="P14" s="154"/>
      <c r="S14" s="25" t="s">
        <v>178</v>
      </c>
      <c r="T14" s="25" t="s">
        <v>185</v>
      </c>
      <c r="U14" s="25" t="s">
        <v>207</v>
      </c>
      <c r="V14" s="25" t="s">
        <v>193</v>
      </c>
      <c r="W14" s="25" t="s">
        <v>223</v>
      </c>
      <c r="X14"/>
      <c r="Y14"/>
      <c r="Z14"/>
    </row>
    <row r="15" spans="1:26" ht="48.75" customHeight="1" x14ac:dyDescent="0.25">
      <c r="A15" s="164" t="s">
        <v>10</v>
      </c>
      <c r="B15" s="164"/>
      <c r="C15" s="16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Tanishkaa Vikrant, Plot Bearing F.P No.6, C.T.S No.5987(Pt) Redevlopement of " Lokhit CHSL, Vikrant", near Mayfair Mystic, RB Mehta Road, Sindhu Wadi, Ghatkopar, Vidyavihar East, Kurla, Mumbai - 400077.</v>
      </c>
      <c r="D15" s="164"/>
      <c r="E15" s="164"/>
      <c r="F15" s="164"/>
      <c r="G15" s="164"/>
      <c r="H15" s="164"/>
      <c r="I15" s="30"/>
      <c r="J15" s="30"/>
      <c r="K15" s="30"/>
      <c r="L15" s="30"/>
      <c r="M15" s="30"/>
      <c r="N15" s="30"/>
      <c r="O15" s="30"/>
      <c r="P15" s="30"/>
      <c r="S15" s="25" t="s">
        <v>179</v>
      </c>
      <c r="T15" s="25" t="s">
        <v>187</v>
      </c>
      <c r="U15" s="25" t="s">
        <v>208</v>
      </c>
      <c r="V15" s="25" t="s">
        <v>194</v>
      </c>
      <c r="W15" s="25" t="s">
        <v>211</v>
      </c>
      <c r="X15"/>
      <c r="Y15"/>
      <c r="Z15"/>
    </row>
    <row r="16" spans="1:26" x14ac:dyDescent="0.25">
      <c r="A16" s="167" t="s">
        <v>246</v>
      </c>
      <c r="B16" s="167"/>
      <c r="C16" s="167" t="s">
        <v>298</v>
      </c>
      <c r="D16" s="167"/>
      <c r="E16" s="167"/>
      <c r="F16" s="167"/>
      <c r="G16" s="167"/>
      <c r="H16" s="167"/>
      <c r="I16" s="30"/>
      <c r="J16" s="30"/>
      <c r="K16" s="30"/>
      <c r="L16" s="30"/>
      <c r="M16" s="30"/>
      <c r="N16" s="30"/>
      <c r="O16" s="30"/>
      <c r="P16" s="30"/>
      <c r="S16" s="25" t="s">
        <v>180</v>
      </c>
      <c r="T16" s="25" t="s">
        <v>188</v>
      </c>
      <c r="U16" s="25"/>
      <c r="V16" s="25" t="s">
        <v>195</v>
      </c>
      <c r="W16" s="25" t="s">
        <v>212</v>
      </c>
      <c r="X16"/>
      <c r="Y16"/>
      <c r="Z16"/>
    </row>
    <row r="17" spans="1:26" ht="15.75" customHeight="1" x14ac:dyDescent="0.25">
      <c r="A17" s="166" t="s">
        <v>160</v>
      </c>
      <c r="B17" s="166"/>
      <c r="C17" s="166" t="s">
        <v>234</v>
      </c>
      <c r="D17" s="166"/>
      <c r="E17" s="166"/>
      <c r="F17" s="166"/>
      <c r="G17" s="166"/>
      <c r="H17" s="166"/>
      <c r="I17" s="30"/>
      <c r="J17" s="30"/>
      <c r="K17" s="30"/>
      <c r="L17" s="30"/>
      <c r="M17" s="30"/>
      <c r="N17" s="30"/>
      <c r="O17" s="30"/>
      <c r="P17" s="30"/>
      <c r="S17" s="25" t="s">
        <v>181</v>
      </c>
      <c r="T17" s="25" t="s">
        <v>186</v>
      </c>
      <c r="U17" s="25"/>
      <c r="V17" s="25" t="s">
        <v>196</v>
      </c>
      <c r="W17" s="25" t="s">
        <v>213</v>
      </c>
      <c r="X17"/>
      <c r="Y17"/>
      <c r="Z17"/>
    </row>
    <row r="18" spans="1:26" ht="15.75" customHeight="1" x14ac:dyDescent="0.25">
      <c r="A18" s="164" t="s">
        <v>11</v>
      </c>
      <c r="B18" s="164"/>
      <c r="C18" s="188" t="s">
        <v>292</v>
      </c>
      <c r="D18" s="188"/>
      <c r="E18" s="164" t="s">
        <v>73</v>
      </c>
      <c r="F18" s="164"/>
      <c r="G18" s="166" t="s">
        <v>235</v>
      </c>
      <c r="H18" s="166"/>
      <c r="I18" s="30"/>
      <c r="J18" s="30"/>
      <c r="K18" s="30"/>
      <c r="L18" s="30"/>
      <c r="M18" s="30"/>
      <c r="N18" s="30"/>
      <c r="O18" s="30"/>
      <c r="P18" s="30"/>
      <c r="S18" s="25" t="s">
        <v>182</v>
      </c>
      <c r="T18" s="25" t="s">
        <v>189</v>
      </c>
      <c r="U18" s="25"/>
      <c r="V18" s="25" t="s">
        <v>197</v>
      </c>
      <c r="W18" s="25" t="s">
        <v>214</v>
      </c>
      <c r="X18"/>
      <c r="Y18"/>
      <c r="Z18"/>
    </row>
    <row r="19" spans="1:26" x14ac:dyDescent="0.25">
      <c r="A19" s="158" t="s">
        <v>13</v>
      </c>
      <c r="B19" s="158"/>
      <c r="C19" s="167" t="s">
        <v>237</v>
      </c>
      <c r="D19" s="167"/>
      <c r="E19" s="167" t="s">
        <v>12</v>
      </c>
      <c r="F19" s="167"/>
      <c r="G19" s="168" t="s">
        <v>170</v>
      </c>
      <c r="H19" s="168"/>
      <c r="I19" s="30"/>
      <c r="J19" s="30"/>
      <c r="K19" s="30"/>
      <c r="L19" s="30"/>
      <c r="M19" s="30"/>
      <c r="N19" s="30"/>
      <c r="O19" s="30"/>
      <c r="P19" s="30"/>
      <c r="S19" s="25" t="s">
        <v>183</v>
      </c>
      <c r="T19" s="25" t="s">
        <v>190</v>
      </c>
      <c r="U19" s="25"/>
      <c r="V19" s="25" t="s">
        <v>198</v>
      </c>
      <c r="W19" s="25" t="s">
        <v>215</v>
      </c>
      <c r="X19"/>
      <c r="Y19"/>
      <c r="Z19"/>
    </row>
    <row r="20" spans="1:26" x14ac:dyDescent="0.25">
      <c r="A20" s="158" t="s">
        <v>74</v>
      </c>
      <c r="B20" s="158"/>
      <c r="C20" s="167" t="s">
        <v>208</v>
      </c>
      <c r="D20" s="167"/>
      <c r="E20" s="167" t="s">
        <v>14</v>
      </c>
      <c r="F20" s="167"/>
      <c r="G20" s="167">
        <v>400077</v>
      </c>
      <c r="H20" s="167"/>
      <c r="I20" s="30"/>
      <c r="J20" s="30"/>
      <c r="K20" s="30"/>
      <c r="L20" s="30"/>
      <c r="M20" s="30"/>
      <c r="N20" s="30"/>
      <c r="O20" s="30"/>
      <c r="P20" s="30"/>
      <c r="S20" s="25"/>
      <c r="T20" s="25"/>
      <c r="U20" s="25"/>
      <c r="V20" s="25" t="s">
        <v>199</v>
      </c>
      <c r="W20" s="25" t="s">
        <v>216</v>
      </c>
      <c r="X20"/>
      <c r="Y20"/>
      <c r="Z20"/>
    </row>
    <row r="21" spans="1:26" ht="32.25" customHeight="1" x14ac:dyDescent="0.25">
      <c r="A21" s="158" t="s">
        <v>119</v>
      </c>
      <c r="B21" s="158"/>
      <c r="C21" s="166" t="s">
        <v>236</v>
      </c>
      <c r="D21" s="166"/>
      <c r="E21" s="164" t="s">
        <v>15</v>
      </c>
      <c r="F21" s="164"/>
      <c r="G21" s="167" t="s">
        <v>238</v>
      </c>
      <c r="H21" s="167"/>
      <c r="I21" s="30"/>
      <c r="J21" s="30"/>
      <c r="K21" s="30"/>
      <c r="L21" s="30"/>
      <c r="M21" s="30"/>
      <c r="N21" s="30"/>
      <c r="O21" s="30"/>
      <c r="P21" s="30"/>
      <c r="S21" s="25"/>
      <c r="T21" s="25"/>
      <c r="U21" s="25"/>
      <c r="V21" s="25" t="s">
        <v>200</v>
      </c>
      <c r="W21" s="25" t="s">
        <v>217</v>
      </c>
      <c r="X21"/>
      <c r="Y21"/>
      <c r="Z21"/>
    </row>
    <row r="22" spans="1:26" ht="15" customHeight="1" x14ac:dyDescent="0.25">
      <c r="A22" s="164" t="s">
        <v>75</v>
      </c>
      <c r="B22" s="164"/>
      <c r="C22" s="164"/>
      <c r="D22" s="164"/>
      <c r="E22" s="188" t="s">
        <v>16</v>
      </c>
      <c r="F22" s="188"/>
      <c r="G22" s="188"/>
      <c r="H22" s="188"/>
      <c r="I22" s="30"/>
      <c r="J22" s="30"/>
      <c r="K22" s="30"/>
      <c r="L22" s="30"/>
      <c r="M22" s="30"/>
      <c r="N22" s="30"/>
      <c r="O22" s="30"/>
      <c r="P22" s="30"/>
      <c r="S22" s="25"/>
      <c r="T22" s="25"/>
      <c r="U22" s="25"/>
      <c r="V22" s="25" t="s">
        <v>201</v>
      </c>
      <c r="W22" s="25" t="s">
        <v>218</v>
      </c>
      <c r="X22"/>
      <c r="Y22"/>
      <c r="Z22"/>
    </row>
    <row r="23" spans="1:26" ht="18.75" customHeight="1" x14ac:dyDescent="0.25">
      <c r="A23" s="164"/>
      <c r="B23" s="164"/>
      <c r="C23" s="164"/>
      <c r="D23" s="164"/>
      <c r="E23" s="188"/>
      <c r="F23" s="188"/>
      <c r="G23" s="188"/>
      <c r="H23" s="188"/>
      <c r="I23" s="30"/>
      <c r="J23" s="30"/>
      <c r="K23" s="30"/>
      <c r="L23" s="30"/>
      <c r="M23" s="30"/>
      <c r="N23" s="30"/>
      <c r="O23" s="30"/>
      <c r="P23" s="30"/>
      <c r="S23" s="25"/>
      <c r="T23" s="25"/>
      <c r="U23" s="25"/>
      <c r="V23" s="25" t="s">
        <v>202</v>
      </c>
      <c r="W23" s="25" t="s">
        <v>219</v>
      </c>
      <c r="X23"/>
      <c r="Y23"/>
      <c r="Z23"/>
    </row>
    <row r="24" spans="1:26" ht="15" customHeight="1" x14ac:dyDescent="0.25">
      <c r="A24" s="164" t="s">
        <v>17</v>
      </c>
      <c r="B24" s="164"/>
      <c r="C24" s="164"/>
      <c r="D24" s="164"/>
      <c r="E24" s="166" t="s">
        <v>18</v>
      </c>
      <c r="F24" s="166"/>
      <c r="G24" s="166"/>
      <c r="H24" s="166"/>
      <c r="I24" s="30"/>
      <c r="J24" s="30"/>
      <c r="K24" s="30"/>
      <c r="L24" s="30"/>
      <c r="M24" s="30"/>
      <c r="N24" s="30"/>
      <c r="O24" s="30"/>
      <c r="P24" s="30"/>
      <c r="S24" s="25"/>
      <c r="T24" s="25"/>
      <c r="U24" s="25"/>
      <c r="V24" s="25" t="s">
        <v>203</v>
      </c>
      <c r="W24" s="25" t="s">
        <v>220</v>
      </c>
      <c r="X24"/>
      <c r="Y24"/>
      <c r="Z24"/>
    </row>
    <row r="25" spans="1:26" ht="15" customHeight="1" x14ac:dyDescent="0.25">
      <c r="A25" s="158" t="s">
        <v>19</v>
      </c>
      <c r="B25" s="158"/>
      <c r="C25" s="158"/>
      <c r="D25" s="158"/>
      <c r="E25" s="166" t="str">
        <f>IF(AND(G19="Mumbai"),"Upper Class","Middle Class")</f>
        <v>Upper Class</v>
      </c>
      <c r="F25" s="166"/>
      <c r="G25" s="166"/>
      <c r="H25" s="166"/>
      <c r="I25" s="30"/>
      <c r="J25" s="30"/>
      <c r="K25" s="30"/>
      <c r="L25" s="30"/>
      <c r="M25" s="30"/>
      <c r="N25" s="30"/>
      <c r="O25" s="30"/>
      <c r="P25" s="30"/>
      <c r="S25" s="25"/>
      <c r="T25" s="25"/>
      <c r="U25" s="25"/>
      <c r="V25" s="25" t="s">
        <v>204</v>
      </c>
      <c r="W25" s="25" t="s">
        <v>221</v>
      </c>
      <c r="X25"/>
      <c r="Y25"/>
      <c r="Z25"/>
    </row>
    <row r="26" spans="1:26" x14ac:dyDescent="0.25">
      <c r="A26" s="158" t="s">
        <v>20</v>
      </c>
      <c r="B26" s="158"/>
      <c r="C26" s="158"/>
      <c r="D26" s="158"/>
      <c r="E26" s="166" t="s">
        <v>21</v>
      </c>
      <c r="F26" s="166"/>
      <c r="G26" s="166"/>
      <c r="H26" s="166"/>
      <c r="I26" s="30"/>
      <c r="J26" s="30"/>
      <c r="K26" s="30"/>
      <c r="L26" s="30"/>
      <c r="M26" s="30"/>
      <c r="N26" s="30"/>
      <c r="O26" s="30"/>
      <c r="P26" s="30"/>
      <c r="S26" s="25"/>
      <c r="T26" s="25"/>
      <c r="U26" s="25"/>
      <c r="V26" s="25" t="s">
        <v>205</v>
      </c>
      <c r="W26" s="25" t="s">
        <v>222</v>
      </c>
      <c r="X26"/>
      <c r="Y26"/>
      <c r="Z26"/>
    </row>
    <row r="27" spans="1:26" ht="15.75" customHeight="1" x14ac:dyDescent="0.25">
      <c r="A27" s="158" t="s">
        <v>22</v>
      </c>
      <c r="B27" s="158"/>
      <c r="C27" s="158"/>
      <c r="D27" s="158"/>
      <c r="E27" s="166" t="str">
        <f>IF(AND(G19="Mumbai"),"Developed","Developing")</f>
        <v>Developed</v>
      </c>
      <c r="F27" s="166"/>
      <c r="G27" s="166"/>
      <c r="H27" s="166"/>
      <c r="I27" s="30"/>
      <c r="J27" s="30"/>
      <c r="K27" s="30"/>
      <c r="L27" s="30"/>
      <c r="M27" s="30"/>
      <c r="N27" s="30"/>
      <c r="O27" s="30"/>
      <c r="P27" s="30"/>
    </row>
    <row r="28" spans="1:26" x14ac:dyDescent="0.25">
      <c r="A28" s="158" t="s">
        <v>23</v>
      </c>
      <c r="B28" s="158"/>
      <c r="C28" s="158"/>
      <c r="D28" s="158"/>
      <c r="E28" s="166" t="s">
        <v>24</v>
      </c>
      <c r="F28" s="166"/>
      <c r="G28" s="166"/>
      <c r="H28" s="166"/>
      <c r="I28" s="30"/>
      <c r="J28" s="30"/>
      <c r="K28" s="30"/>
      <c r="L28" s="30"/>
      <c r="M28" s="30"/>
      <c r="N28" s="30"/>
      <c r="O28" s="30"/>
      <c r="P28" s="30"/>
    </row>
    <row r="29" spans="1:26" ht="15.75" customHeight="1" x14ac:dyDescent="0.25">
      <c r="A29" s="158" t="s">
        <v>80</v>
      </c>
      <c r="B29" s="158"/>
      <c r="C29" s="158"/>
      <c r="D29" s="158"/>
      <c r="E29" s="166" t="s">
        <v>81</v>
      </c>
      <c r="F29" s="166"/>
      <c r="G29" s="166"/>
      <c r="H29" s="166"/>
      <c r="I29" s="30"/>
      <c r="J29" s="30"/>
      <c r="K29" s="30"/>
      <c r="L29" s="30"/>
      <c r="M29" s="30"/>
      <c r="N29" s="30"/>
      <c r="O29" s="30"/>
      <c r="P29" s="30"/>
    </row>
    <row r="30" spans="1:26" ht="15" customHeight="1" x14ac:dyDescent="0.25">
      <c r="A30" s="158" t="s">
        <v>32</v>
      </c>
      <c r="B30" s="158"/>
      <c r="C30" s="158"/>
      <c r="D30" s="158"/>
      <c r="E30" s="166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66"/>
      <c r="G30" s="166"/>
      <c r="H30" s="166"/>
      <c r="I30" s="30"/>
      <c r="J30" s="30"/>
      <c r="K30" s="30"/>
      <c r="L30" s="30"/>
      <c r="M30" s="30"/>
      <c r="N30" s="30"/>
      <c r="O30" s="30"/>
      <c r="P30" s="30"/>
    </row>
    <row r="31" spans="1:26" ht="15.75" customHeight="1" x14ac:dyDescent="0.25">
      <c r="A31" s="158" t="s">
        <v>92</v>
      </c>
      <c r="B31" s="158"/>
      <c r="C31" s="158"/>
      <c r="D31" s="158"/>
      <c r="E31" s="166" t="s">
        <v>33</v>
      </c>
      <c r="F31" s="166"/>
      <c r="G31" s="166"/>
      <c r="H31" s="166"/>
      <c r="I31" s="30"/>
      <c r="J31" s="30"/>
      <c r="K31" s="30"/>
      <c r="L31" s="30"/>
      <c r="M31" s="30"/>
      <c r="N31" s="30"/>
      <c r="O31" s="30"/>
      <c r="P31" s="30"/>
    </row>
    <row r="32" spans="1:26" s="17" customFormat="1" x14ac:dyDescent="0.25">
      <c r="A32" s="227" t="s">
        <v>93</v>
      </c>
      <c r="B32" s="227"/>
      <c r="C32" s="225" t="s">
        <v>171</v>
      </c>
      <c r="D32" s="225"/>
      <c r="E32" s="225"/>
      <c r="F32" s="225" t="s">
        <v>30</v>
      </c>
      <c r="G32" s="225"/>
      <c r="H32" s="225"/>
      <c r="I32" s="31"/>
      <c r="J32" s="31"/>
      <c r="K32" s="31"/>
      <c r="L32" s="31"/>
      <c r="M32" s="31"/>
      <c r="N32" s="31"/>
      <c r="O32" s="31"/>
      <c r="P32" s="31"/>
    </row>
    <row r="33" spans="1:16" s="17" customFormat="1" ht="35.25" customHeight="1" x14ac:dyDescent="0.25">
      <c r="A33" s="226" t="s">
        <v>25</v>
      </c>
      <c r="B33" s="226" t="s">
        <v>29</v>
      </c>
      <c r="C33" s="226" t="s">
        <v>295</v>
      </c>
      <c r="D33" s="226"/>
      <c r="E33" s="226"/>
      <c r="F33" s="223" t="s">
        <v>239</v>
      </c>
      <c r="G33" s="223"/>
      <c r="H33" s="223"/>
      <c r="I33" s="31"/>
      <c r="J33" s="31"/>
      <c r="K33" s="31"/>
      <c r="L33" s="31"/>
      <c r="M33" s="31"/>
      <c r="N33" s="31"/>
      <c r="O33" s="31"/>
      <c r="P33" s="31"/>
    </row>
    <row r="34" spans="1:16" x14ac:dyDescent="0.25">
      <c r="A34" s="224" t="s">
        <v>26</v>
      </c>
      <c r="B34" s="224" t="s">
        <v>29</v>
      </c>
      <c r="C34" s="165" t="s">
        <v>240</v>
      </c>
      <c r="D34" s="165"/>
      <c r="E34" s="165"/>
      <c r="F34" s="165" t="s">
        <v>236</v>
      </c>
      <c r="G34" s="165"/>
      <c r="H34" s="165"/>
      <c r="I34" s="30"/>
      <c r="J34" s="30"/>
      <c r="K34" s="30"/>
      <c r="L34" s="30"/>
      <c r="M34" s="30"/>
      <c r="N34" s="30"/>
      <c r="O34" s="30"/>
      <c r="P34" s="30"/>
    </row>
    <row r="35" spans="1:16" s="17" customFormat="1" x14ac:dyDescent="0.25">
      <c r="A35" s="224" t="s">
        <v>28</v>
      </c>
      <c r="B35" s="224" t="s">
        <v>29</v>
      </c>
      <c r="C35" s="165" t="s">
        <v>296</v>
      </c>
      <c r="D35" s="165"/>
      <c r="E35" s="165"/>
      <c r="F35" s="165" t="s">
        <v>293</v>
      </c>
      <c r="G35" s="165"/>
      <c r="H35" s="165"/>
      <c r="I35" s="31"/>
      <c r="J35" s="31"/>
      <c r="K35" s="31"/>
      <c r="L35" s="31"/>
      <c r="M35" s="31"/>
      <c r="N35" s="31"/>
      <c r="O35" s="31"/>
      <c r="P35" s="31"/>
    </row>
    <row r="36" spans="1:16" x14ac:dyDescent="0.25">
      <c r="A36" s="226" t="s">
        <v>27</v>
      </c>
      <c r="B36" s="226" t="s">
        <v>29</v>
      </c>
      <c r="C36" s="226" t="s">
        <v>297</v>
      </c>
      <c r="D36" s="226"/>
      <c r="E36" s="226"/>
      <c r="F36" s="223" t="s">
        <v>294</v>
      </c>
      <c r="G36" s="223"/>
      <c r="H36" s="223"/>
      <c r="I36" s="30"/>
      <c r="J36" s="30"/>
      <c r="K36" s="30"/>
      <c r="L36" s="30"/>
      <c r="M36" s="30"/>
      <c r="N36" s="30"/>
      <c r="O36" s="30"/>
      <c r="P36" s="30"/>
    </row>
    <row r="37" spans="1:16" x14ac:dyDescent="0.25">
      <c r="A37" s="158" t="s">
        <v>31</v>
      </c>
      <c r="B37" s="158"/>
      <c r="C37" s="158"/>
      <c r="D37" s="158"/>
      <c r="E37" s="158"/>
      <c r="F37" s="158"/>
      <c r="G37" s="158"/>
      <c r="H37" s="158"/>
      <c r="I37" s="30"/>
      <c r="J37" s="30"/>
      <c r="K37" s="30"/>
      <c r="L37" s="30"/>
      <c r="M37" s="30"/>
      <c r="N37" s="30"/>
      <c r="O37" s="30"/>
      <c r="P37" s="30"/>
    </row>
    <row r="38" spans="1:16" ht="15.75" customHeight="1" x14ac:dyDescent="0.25">
      <c r="A38" s="158" t="s">
        <v>163</v>
      </c>
      <c r="B38" s="158"/>
      <c r="C38" s="219" t="s">
        <v>242</v>
      </c>
      <c r="D38" s="219"/>
      <c r="E38" s="219"/>
      <c r="F38" s="219"/>
      <c r="G38" s="219"/>
      <c r="H38" s="219"/>
      <c r="I38" s="30"/>
      <c r="J38" s="30"/>
      <c r="K38" s="30"/>
      <c r="L38" s="30"/>
      <c r="M38" s="30"/>
      <c r="N38" s="30"/>
      <c r="O38" s="30"/>
      <c r="P38" s="30"/>
    </row>
    <row r="39" spans="1:16" x14ac:dyDescent="0.25">
      <c r="A39" s="158" t="s">
        <v>159</v>
      </c>
      <c r="B39" s="158"/>
      <c r="C39" s="251" t="s">
        <v>241</v>
      </c>
      <c r="D39" s="166"/>
      <c r="E39" s="166"/>
      <c r="F39" s="166"/>
      <c r="G39" s="166"/>
      <c r="H39" s="166"/>
      <c r="I39" s="30"/>
      <c r="J39" s="30"/>
      <c r="K39" s="30"/>
      <c r="L39" s="30"/>
      <c r="M39" s="30"/>
      <c r="N39" s="30"/>
      <c r="O39" s="30"/>
      <c r="P39" s="30"/>
    </row>
    <row r="40" spans="1:16" x14ac:dyDescent="0.25">
      <c r="A40" s="219" t="s">
        <v>34</v>
      </c>
      <c r="B40" s="219"/>
      <c r="C40" s="219"/>
      <c r="D40" s="219"/>
      <c r="E40" s="219"/>
      <c r="F40" s="219"/>
      <c r="G40" s="219"/>
      <c r="H40" s="219"/>
      <c r="I40" s="30"/>
      <c r="J40" s="30"/>
      <c r="K40" s="30"/>
      <c r="L40" s="30"/>
      <c r="M40" s="30"/>
      <c r="N40" s="30"/>
      <c r="O40" s="30"/>
      <c r="P40" s="30"/>
    </row>
    <row r="41" spans="1:16" x14ac:dyDescent="0.25">
      <c r="A41" s="158" t="s">
        <v>35</v>
      </c>
      <c r="B41" s="158"/>
      <c r="C41" s="158"/>
      <c r="D41" s="158"/>
      <c r="E41" s="231">
        <v>5360.1</v>
      </c>
      <c r="F41" s="231"/>
      <c r="G41" s="231"/>
      <c r="H41" s="231"/>
      <c r="I41" s="30"/>
      <c r="J41" s="30"/>
      <c r="K41" s="30"/>
      <c r="L41" s="30"/>
      <c r="M41" s="30"/>
      <c r="N41" s="30"/>
      <c r="O41" s="30"/>
      <c r="P41" s="30"/>
    </row>
    <row r="42" spans="1:16" x14ac:dyDescent="0.25">
      <c r="A42" s="158" t="s">
        <v>36</v>
      </c>
      <c r="B42" s="158"/>
      <c r="C42" s="158"/>
      <c r="D42" s="158"/>
      <c r="E42" s="178">
        <v>4</v>
      </c>
      <c r="F42" s="178"/>
      <c r="G42" s="178"/>
      <c r="H42" s="178"/>
      <c r="I42" s="30"/>
      <c r="J42" s="30"/>
      <c r="K42" s="30"/>
      <c r="L42" s="30"/>
      <c r="M42" s="30"/>
      <c r="N42" s="30"/>
      <c r="O42" s="30"/>
      <c r="P42" s="30"/>
    </row>
    <row r="43" spans="1:16" x14ac:dyDescent="0.25">
      <c r="A43" s="158" t="s">
        <v>37</v>
      </c>
      <c r="B43" s="158"/>
      <c r="C43" s="158"/>
      <c r="D43" s="158"/>
      <c r="E43" s="233">
        <f>E45/E41-E42</f>
        <v>1.5097330273688918</v>
      </c>
      <c r="F43" s="233"/>
      <c r="G43" s="233"/>
      <c r="H43" s="233"/>
      <c r="I43" s="30"/>
      <c r="J43" s="30"/>
      <c r="K43" s="30"/>
      <c r="L43" s="30"/>
      <c r="M43" s="30"/>
      <c r="N43" s="30"/>
      <c r="O43" s="30"/>
      <c r="P43" s="30"/>
    </row>
    <row r="44" spans="1:16" x14ac:dyDescent="0.25">
      <c r="A44" s="158" t="s">
        <v>38</v>
      </c>
      <c r="B44" s="158"/>
      <c r="C44" s="158"/>
      <c r="D44" s="158"/>
      <c r="E44" s="233">
        <f>E42+E43</f>
        <v>5.5097330273688918</v>
      </c>
      <c r="F44" s="233"/>
      <c r="G44" s="233"/>
      <c r="H44" s="233"/>
      <c r="I44" s="30"/>
      <c r="J44" s="30"/>
      <c r="K44" s="30"/>
      <c r="L44" s="30"/>
      <c r="M44" s="30"/>
      <c r="N44" s="30"/>
      <c r="O44" s="30"/>
      <c r="P44" s="30"/>
    </row>
    <row r="45" spans="1:16" x14ac:dyDescent="0.25">
      <c r="A45" s="158" t="s">
        <v>91</v>
      </c>
      <c r="B45" s="158"/>
      <c r="C45" s="158"/>
      <c r="D45" s="158"/>
      <c r="E45" s="234">
        <v>29532.720000000001</v>
      </c>
      <c r="F45" s="234"/>
      <c r="G45" s="234"/>
      <c r="H45" s="234"/>
      <c r="I45" s="30"/>
      <c r="J45" s="30"/>
      <c r="K45" s="30"/>
      <c r="L45" s="30"/>
      <c r="M45" s="30"/>
      <c r="N45" s="30"/>
      <c r="O45" s="30"/>
      <c r="P45" s="30"/>
    </row>
    <row r="46" spans="1:16" x14ac:dyDescent="0.25">
      <c r="A46" s="188" t="s">
        <v>39</v>
      </c>
      <c r="B46" s="188"/>
      <c r="C46" s="188"/>
      <c r="D46" s="188"/>
      <c r="E46" s="189" t="s">
        <v>243</v>
      </c>
      <c r="F46" s="189"/>
      <c r="G46" s="189"/>
      <c r="H46" s="189"/>
      <c r="I46" s="30"/>
      <c r="J46" s="30"/>
      <c r="K46" s="30"/>
      <c r="L46" s="30"/>
      <c r="M46" s="30"/>
      <c r="N46" s="30"/>
      <c r="O46" s="30"/>
      <c r="P46" s="30"/>
    </row>
    <row r="47" spans="1:16" x14ac:dyDescent="0.25">
      <c r="A47" s="219" t="s">
        <v>40</v>
      </c>
      <c r="B47" s="219"/>
      <c r="C47" s="219"/>
      <c r="D47" s="219"/>
      <c r="E47" s="219"/>
      <c r="F47" s="219"/>
      <c r="G47" s="219"/>
      <c r="H47" s="219"/>
      <c r="I47" s="30"/>
      <c r="J47" s="30"/>
      <c r="K47" s="30"/>
      <c r="L47" s="30"/>
      <c r="M47" s="30"/>
      <c r="N47" s="30"/>
      <c r="O47" s="30"/>
      <c r="P47" s="30"/>
    </row>
    <row r="48" spans="1:16" ht="33.75" customHeight="1" x14ac:dyDescent="0.25">
      <c r="A48" s="150" t="s">
        <v>148</v>
      </c>
      <c r="B48" s="152"/>
      <c r="C48" s="268" t="s">
        <v>244</v>
      </c>
      <c r="D48" s="269"/>
      <c r="E48" s="269"/>
      <c r="F48" s="269"/>
      <c r="G48" s="269"/>
      <c r="H48" s="270"/>
      <c r="I48" s="30"/>
      <c r="J48" s="30"/>
      <c r="K48" s="30"/>
      <c r="L48" s="30"/>
      <c r="M48" s="30"/>
      <c r="N48" s="30"/>
      <c r="O48" s="30"/>
      <c r="P48" s="30"/>
    </row>
    <row r="49" spans="1:16" ht="15.75" customHeight="1" x14ac:dyDescent="0.25">
      <c r="A49" s="150" t="s">
        <v>41</v>
      </c>
      <c r="B49" s="152"/>
      <c r="C49" s="150" t="s">
        <v>245</v>
      </c>
      <c r="D49" s="151"/>
      <c r="E49" s="152"/>
      <c r="F49" s="32" t="s">
        <v>42</v>
      </c>
      <c r="G49" s="186" t="s">
        <v>326</v>
      </c>
      <c r="H49" s="152"/>
      <c r="I49" s="30"/>
      <c r="J49" s="30"/>
      <c r="K49" s="30"/>
      <c r="L49" s="30"/>
      <c r="M49" s="30"/>
      <c r="N49" s="30"/>
      <c r="O49" s="30"/>
      <c r="P49" s="30"/>
    </row>
    <row r="50" spans="1:16" x14ac:dyDescent="0.25">
      <c r="A50" s="150" t="s">
        <v>43</v>
      </c>
      <c r="B50" s="152"/>
      <c r="C50" s="150" t="str">
        <f>C49</f>
        <v>SRA/ENG/N/PVT/0105/20220613/AP/S</v>
      </c>
      <c r="D50" s="151"/>
      <c r="E50" s="152"/>
      <c r="F50" s="32" t="s">
        <v>42</v>
      </c>
      <c r="G50" s="186" t="str">
        <f>G49</f>
        <v>28/04/2023.</v>
      </c>
      <c r="H50" s="152"/>
      <c r="I50" s="30"/>
      <c r="J50" s="30"/>
      <c r="K50" s="30"/>
      <c r="L50" s="30"/>
      <c r="M50" s="30"/>
      <c r="N50" s="30"/>
      <c r="O50" s="30"/>
      <c r="P50" s="30"/>
    </row>
    <row r="51" spans="1:16" s="18" customFormat="1" ht="15.75" customHeight="1" x14ac:dyDescent="0.25">
      <c r="A51" s="244" t="s">
        <v>152</v>
      </c>
      <c r="B51" s="245"/>
      <c r="C51" s="150" t="s">
        <v>319</v>
      </c>
      <c r="D51" s="151"/>
      <c r="E51" s="152"/>
      <c r="F51" s="32" t="s">
        <v>42</v>
      </c>
      <c r="G51" s="186" t="s">
        <v>327</v>
      </c>
      <c r="H51" s="152"/>
      <c r="I51" s="33"/>
      <c r="J51" s="33"/>
      <c r="K51" s="33"/>
      <c r="L51" s="33"/>
      <c r="M51" s="33"/>
      <c r="N51" s="33"/>
      <c r="O51" s="33"/>
      <c r="P51" s="33"/>
    </row>
    <row r="52" spans="1:16" s="18" customFormat="1" ht="48" customHeight="1" x14ac:dyDescent="0.25">
      <c r="A52" s="246"/>
      <c r="B52" s="247"/>
      <c r="C52" s="150" t="s">
        <v>320</v>
      </c>
      <c r="D52" s="151"/>
      <c r="E52" s="151"/>
      <c r="F52" s="151"/>
      <c r="G52" s="151"/>
      <c r="H52" s="152"/>
      <c r="I52" s="33"/>
      <c r="J52" s="33"/>
      <c r="K52" s="33"/>
      <c r="L52" s="33"/>
      <c r="M52" s="33"/>
      <c r="N52" s="33"/>
      <c r="O52" s="33"/>
      <c r="P52" s="33"/>
    </row>
    <row r="53" spans="1:16" x14ac:dyDescent="0.25">
      <c r="A53" s="159" t="s">
        <v>44</v>
      </c>
      <c r="B53" s="160"/>
      <c r="C53" s="159" t="s">
        <v>103</v>
      </c>
      <c r="D53" s="161"/>
      <c r="E53" s="160"/>
      <c r="F53" s="34" t="s">
        <v>42</v>
      </c>
      <c r="G53" s="190" t="s">
        <v>29</v>
      </c>
      <c r="H53" s="191"/>
      <c r="I53" s="30"/>
      <c r="J53" s="30"/>
      <c r="K53" s="30"/>
      <c r="L53" s="30"/>
      <c r="M53" s="30"/>
      <c r="N53" s="30"/>
      <c r="O53" s="30"/>
      <c r="P53" s="30"/>
    </row>
    <row r="54" spans="1:16" x14ac:dyDescent="0.25">
      <c r="A54" s="187" t="s">
        <v>46</v>
      </c>
      <c r="B54" s="187"/>
      <c r="C54" s="187"/>
      <c r="D54" s="187"/>
      <c r="E54" s="187"/>
      <c r="F54" s="187"/>
      <c r="G54" s="187"/>
      <c r="H54" s="187"/>
      <c r="I54" s="30"/>
      <c r="J54" s="30"/>
      <c r="K54" s="30"/>
      <c r="L54" s="30"/>
      <c r="M54" s="30"/>
      <c r="N54" s="30"/>
      <c r="O54" s="30"/>
      <c r="P54" s="30"/>
    </row>
    <row r="55" spans="1:16" x14ac:dyDescent="0.25">
      <c r="A55" s="164" t="s">
        <v>90</v>
      </c>
      <c r="B55" s="164"/>
      <c r="C55" s="164"/>
      <c r="D55" s="158">
        <f>E45</f>
        <v>29532.720000000001</v>
      </c>
      <c r="E55" s="158"/>
      <c r="F55" s="158"/>
      <c r="G55" s="158"/>
      <c r="H55" s="158"/>
      <c r="I55" s="30"/>
      <c r="J55" s="30"/>
      <c r="K55" s="30"/>
      <c r="L55" s="30"/>
      <c r="M55" s="30"/>
      <c r="N55" s="30"/>
      <c r="O55" s="30"/>
      <c r="P55" s="30"/>
    </row>
    <row r="56" spans="1:16" x14ac:dyDescent="0.25">
      <c r="A56" s="166" t="s">
        <v>47</v>
      </c>
      <c r="B56" s="188"/>
      <c r="C56" s="188"/>
      <c r="D56" s="189" t="s">
        <v>318</v>
      </c>
      <c r="E56" s="189"/>
      <c r="F56" s="189"/>
      <c r="G56" s="189"/>
      <c r="H56" s="189"/>
      <c r="I56" s="35"/>
      <c r="J56" s="30"/>
      <c r="K56" s="30"/>
      <c r="L56" s="30"/>
      <c r="M56" s="30"/>
      <c r="N56" s="30"/>
      <c r="O56" s="30"/>
      <c r="P56" s="30"/>
    </row>
    <row r="57" spans="1:16" ht="81" customHeight="1" x14ac:dyDescent="0.25">
      <c r="A57" s="240" t="s">
        <v>48</v>
      </c>
      <c r="B57" s="241"/>
      <c r="C57" s="242"/>
      <c r="D57" s="238" t="s">
        <v>299</v>
      </c>
      <c r="E57" s="239"/>
      <c r="F57" s="239"/>
      <c r="G57" s="239"/>
      <c r="H57" s="239"/>
      <c r="I57" s="30"/>
      <c r="J57" s="30"/>
      <c r="K57" s="30"/>
      <c r="L57" s="30"/>
      <c r="M57" s="30"/>
      <c r="N57" s="30"/>
      <c r="O57" s="30"/>
      <c r="P57" s="30"/>
    </row>
    <row r="58" spans="1:16" ht="15.75" customHeight="1" x14ac:dyDescent="0.25">
      <c r="A58" s="240" t="s">
        <v>88</v>
      </c>
      <c r="B58" s="241"/>
      <c r="C58" s="241"/>
      <c r="D58" s="195" t="s">
        <v>304</v>
      </c>
      <c r="E58" s="196"/>
      <c r="F58" s="196"/>
      <c r="G58" s="196"/>
      <c r="H58" s="197"/>
      <c r="I58" s="30"/>
      <c r="J58" s="30"/>
      <c r="K58" s="30"/>
      <c r="L58" s="30"/>
      <c r="M58" s="30"/>
      <c r="N58" s="30"/>
      <c r="O58" s="30"/>
      <c r="P58" s="30"/>
    </row>
    <row r="59" spans="1:16" ht="15.75" hidden="1" customHeight="1" x14ac:dyDescent="0.25">
      <c r="A59" s="271"/>
      <c r="B59" s="272"/>
      <c r="C59" s="272"/>
      <c r="D59" s="192" t="s">
        <v>300</v>
      </c>
      <c r="E59" s="193"/>
      <c r="F59" s="193"/>
      <c r="G59" s="193"/>
      <c r="H59" s="194"/>
      <c r="I59" s="30"/>
      <c r="J59" s="30"/>
      <c r="K59" s="30"/>
      <c r="L59" s="30"/>
      <c r="M59" s="30"/>
      <c r="N59" s="30"/>
      <c r="O59" s="30"/>
      <c r="P59" s="30"/>
    </row>
    <row r="60" spans="1:16" ht="15.75" hidden="1" customHeight="1" x14ac:dyDescent="0.25">
      <c r="A60" s="271"/>
      <c r="B60" s="272"/>
      <c r="C60" s="272"/>
      <c r="D60" s="192" t="s">
        <v>301</v>
      </c>
      <c r="E60" s="193"/>
      <c r="F60" s="193"/>
      <c r="G60" s="193"/>
      <c r="H60" s="194"/>
      <c r="I60" s="30"/>
      <c r="J60" s="30"/>
      <c r="K60" s="30"/>
      <c r="L60" s="30"/>
      <c r="M60" s="30"/>
      <c r="N60" s="30"/>
      <c r="O60" s="30"/>
      <c r="P60" s="30"/>
    </row>
    <row r="61" spans="1:16" ht="15.75" hidden="1" customHeight="1" x14ac:dyDescent="0.25">
      <c r="A61" s="271"/>
      <c r="B61" s="272"/>
      <c r="C61" s="272"/>
      <c r="D61" s="192" t="s">
        <v>302</v>
      </c>
      <c r="E61" s="193"/>
      <c r="F61" s="193"/>
      <c r="G61" s="193"/>
      <c r="H61" s="194"/>
      <c r="I61" s="30"/>
      <c r="J61" s="30"/>
      <c r="K61" s="30"/>
      <c r="L61" s="30"/>
      <c r="M61" s="30"/>
      <c r="N61" s="30"/>
      <c r="O61" s="30"/>
      <c r="P61" s="30"/>
    </row>
    <row r="62" spans="1:16" ht="15.75" hidden="1" customHeight="1" x14ac:dyDescent="0.25">
      <c r="A62" s="273"/>
      <c r="B62" s="274"/>
      <c r="C62" s="274"/>
      <c r="D62" s="275" t="s">
        <v>303</v>
      </c>
      <c r="E62" s="276"/>
      <c r="F62" s="276"/>
      <c r="G62" s="276"/>
      <c r="H62" s="277"/>
      <c r="I62" s="30"/>
      <c r="J62" s="30"/>
      <c r="K62" s="30"/>
      <c r="L62" s="30"/>
      <c r="M62" s="30"/>
      <c r="N62" s="30"/>
      <c r="O62" s="30"/>
      <c r="P62" s="30"/>
    </row>
    <row r="63" spans="1:16" ht="15.75" customHeight="1" x14ac:dyDescent="0.25">
      <c r="A63" s="158" t="s">
        <v>45</v>
      </c>
      <c r="B63" s="158"/>
      <c r="C63" s="158"/>
      <c r="D63" s="164" t="s">
        <v>247</v>
      </c>
      <c r="E63" s="164"/>
      <c r="F63" s="164"/>
      <c r="G63" s="164"/>
      <c r="H63" s="164"/>
      <c r="I63" s="30"/>
      <c r="J63" s="36"/>
      <c r="K63" s="35"/>
      <c r="L63" s="30"/>
      <c r="M63" s="30"/>
      <c r="N63" s="35"/>
      <c r="O63" s="30"/>
      <c r="P63" s="30"/>
    </row>
    <row r="64" spans="1:16" ht="15.75" customHeight="1" x14ac:dyDescent="0.25">
      <c r="A64" s="158" t="s">
        <v>86</v>
      </c>
      <c r="B64" s="158"/>
      <c r="C64" s="158"/>
      <c r="D64" s="232" t="str">
        <f>(IF(G53="NA","60 Years After Completion",IF(G53&lt;&gt;"NA",""&amp;60-ROUNDDOWN((E3-G53)/360,0)&amp;" Years"," ")))</f>
        <v>60 Years After Completion</v>
      </c>
      <c r="E64" s="232"/>
      <c r="F64" s="232"/>
      <c r="G64" s="232"/>
      <c r="H64" s="232"/>
      <c r="I64" s="30"/>
      <c r="J64" s="30"/>
      <c r="K64" s="30"/>
      <c r="L64" s="30"/>
      <c r="M64" s="30"/>
      <c r="N64" s="35"/>
      <c r="O64" s="30"/>
      <c r="P64" s="30"/>
    </row>
    <row r="65" spans="1:16" ht="15.75" customHeight="1" x14ac:dyDescent="0.25">
      <c r="A65" s="158" t="s">
        <v>87</v>
      </c>
      <c r="B65" s="158"/>
      <c r="C65" s="158"/>
      <c r="D65" s="164" t="s">
        <v>24</v>
      </c>
      <c r="E65" s="164"/>
      <c r="F65" s="164"/>
      <c r="G65" s="164"/>
      <c r="H65" s="164"/>
      <c r="I65" s="30"/>
      <c r="J65" s="37"/>
      <c r="K65" s="37"/>
      <c r="L65" s="30"/>
      <c r="M65" s="30"/>
      <c r="N65" s="30"/>
      <c r="O65" s="30"/>
      <c r="P65" s="30"/>
    </row>
    <row r="66" spans="1:16" ht="97.5" customHeight="1" x14ac:dyDescent="0.25">
      <c r="A66" s="189" t="s">
        <v>250</v>
      </c>
      <c r="B66" s="189"/>
      <c r="C66" s="189"/>
      <c r="D66" s="166" t="s">
        <v>248</v>
      </c>
      <c r="E66" s="164"/>
      <c r="F66" s="164"/>
      <c r="G66" s="164"/>
      <c r="H66" s="164"/>
      <c r="I66" s="249" t="s">
        <v>249</v>
      </c>
      <c r="J66" s="250"/>
      <c r="K66" s="250"/>
      <c r="L66" s="250"/>
      <c r="M66" s="250"/>
      <c r="N66" s="250"/>
      <c r="O66" s="30"/>
      <c r="P66" s="30"/>
    </row>
    <row r="67" spans="1:16" x14ac:dyDescent="0.25">
      <c r="A67" s="164" t="s">
        <v>145</v>
      </c>
      <c r="B67" s="164"/>
      <c r="C67" s="164"/>
      <c r="D67" s="164" t="s">
        <v>29</v>
      </c>
      <c r="E67" s="164"/>
      <c r="F67" s="164"/>
      <c r="G67" s="164"/>
      <c r="H67" s="164"/>
      <c r="I67" s="38"/>
      <c r="J67" s="38"/>
      <c r="K67" s="38"/>
      <c r="L67" s="38"/>
      <c r="M67" s="38"/>
      <c r="N67" s="38"/>
      <c r="O67" s="30"/>
      <c r="P67" s="30"/>
    </row>
    <row r="68" spans="1:16" ht="15.75" customHeight="1" x14ac:dyDescent="0.25">
      <c r="A68" s="158" t="s">
        <v>85</v>
      </c>
      <c r="B68" s="158"/>
      <c r="C68" s="158"/>
      <c r="D68" s="166" t="str">
        <f ca="1">(IF(G74&gt;95%,"Nothing",IF(G74&gt;0%,"Cement, Aggregate, Steel, etc",IF(G74=0%,"Work not yet Started"))))</f>
        <v>Cement, Aggregate, Steel, etc</v>
      </c>
      <c r="E68" s="166"/>
      <c r="F68" s="166"/>
      <c r="G68" s="166"/>
      <c r="H68" s="166"/>
      <c r="I68" s="30"/>
      <c r="J68" s="37"/>
      <c r="K68" s="30"/>
      <c r="L68" s="30"/>
      <c r="M68" s="30"/>
      <c r="N68" s="30"/>
      <c r="O68" s="30"/>
      <c r="P68" s="30"/>
    </row>
    <row r="69" spans="1:16" ht="33.75" customHeight="1" thickBot="1" x14ac:dyDescent="0.3">
      <c r="A69" s="164" t="s">
        <v>116</v>
      </c>
      <c r="B69" s="164"/>
      <c r="C69" s="164"/>
      <c r="D69" s="166" t="str">
        <f ca="1">(IF(D68="Nothing","Yes",IF(D68="Cement, Aggregate, Steel, etc","Under Construction",IF(D68="Work not yet Started","Work not yet Started"))))</f>
        <v>Under Construction</v>
      </c>
      <c r="E69" s="166"/>
      <c r="F69" s="166" t="str">
        <f ca="1">(IF(D68="Nothing","Yes",IF(D68="Cement, Aggregate, Steel, etc","Under Construction",IF(D68="Work not yet Started","Work not yet Started"))))</f>
        <v>Under Construction</v>
      </c>
      <c r="G69" s="166"/>
      <c r="H69" s="166"/>
      <c r="I69" s="30"/>
      <c r="J69" s="30"/>
      <c r="K69" s="30"/>
      <c r="L69" s="30"/>
      <c r="M69" s="30"/>
      <c r="N69" s="30"/>
      <c r="O69" s="30"/>
      <c r="P69" s="30"/>
    </row>
    <row r="70" spans="1:16" ht="15.75" customHeight="1" x14ac:dyDescent="0.25">
      <c r="A70" s="248" t="s">
        <v>137</v>
      </c>
      <c r="B70" s="248"/>
      <c r="C70" s="248" t="s">
        <v>324</v>
      </c>
      <c r="D70" s="248"/>
      <c r="E70" s="248"/>
      <c r="F70" s="248"/>
      <c r="G70" s="248"/>
      <c r="H70" s="248"/>
      <c r="I70" s="97" t="str">
        <f ca="1">IF(D83=100%,"All work Completed. Possession granted to the Building.",IF(D82=100%,"All work Completed, Waiting for OC",I71&amp;""&amp;I72&amp;""&amp;J71&amp;""&amp;J70&amp;" "&amp;J72))</f>
        <v>Excavation, Plinth, RCC Slab Completed, Brickwork upto 17 Floor, Internal Plaster upto 12 Floor, External Plaster upto 8 Floor Completed</v>
      </c>
      <c r="J70" s="40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Brickwork upto 17 Floor, Internal Plaster upto 12 Floor, External Plaster upto 8 Floor</v>
      </c>
      <c r="K70" s="30"/>
      <c r="L70" s="30"/>
      <c r="M70" s="30"/>
      <c r="N70" s="30"/>
      <c r="O70" s="30"/>
      <c r="P70" s="30"/>
    </row>
    <row r="71" spans="1:16" x14ac:dyDescent="0.25">
      <c r="A71" s="42" t="s">
        <v>139</v>
      </c>
      <c r="B71" s="42">
        <f>IF(AND(ISNUMBER(SEARCH("1B",C70))),1,IF(AND(ISNUMBER(SEARCH("2B",C70))),2,IF(AND(ISNUMBER(SEARCH("3B",C70))),3,IF(AND(ISNUMBER(SEARCH("4B",C70))),4,IF(ISNUMBER(SEARCH("5B",C70)),5,0)))))</f>
        <v>0</v>
      </c>
      <c r="C71" s="43" t="s">
        <v>72</v>
      </c>
      <c r="D71" s="43">
        <v>1</v>
      </c>
      <c r="E71" s="43" t="s">
        <v>71</v>
      </c>
      <c r="F71" s="43">
        <v>0</v>
      </c>
      <c r="G71" s="43" t="s">
        <v>79</v>
      </c>
      <c r="H71" s="43">
        <f ca="1">--TRIM(RIGHT(SUBSTITUTE(LEFT(C70,_xlfn.AGGREGATE(16,6,FIND({0,1,2,3,4,5,6,7,8,9},C70,ROW(INDIRECT("1:"&amp;LEN(C70)))),1))," ",REPT(" ",LEN(C70))),LEN(C70)))</f>
        <v>20</v>
      </c>
      <c r="I71" s="98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</v>
      </c>
      <c r="J71" s="46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  <c r="K71" s="30"/>
      <c r="L71" s="30"/>
      <c r="M71" s="30"/>
      <c r="N71" s="30"/>
      <c r="O71" s="30"/>
      <c r="P71" s="30"/>
    </row>
    <row r="72" spans="1:16" ht="32.450000000000003" customHeight="1" x14ac:dyDescent="0.25">
      <c r="A72" s="221" t="s">
        <v>89</v>
      </c>
      <c r="B72" s="221"/>
      <c r="C72" s="236" t="str">
        <f ca="1">I70</f>
        <v>Excavation, Plinth, RCC Slab Completed, Brickwork upto 17 Floor, Internal Plaster upto 12 Floor, External Plaster upto 8 Floor Completed</v>
      </c>
      <c r="D72" s="236"/>
      <c r="E72" s="236"/>
      <c r="F72" s="236"/>
      <c r="G72" s="236"/>
      <c r="H72" s="236"/>
      <c r="I72" s="98" t="str">
        <f ca="1">IF(I71&lt;&gt;""," Completed","")</f>
        <v xml:space="preserve"> Completed</v>
      </c>
      <c r="J72" s="46" t="str">
        <f ca="1">IF(J70&lt;&gt;"","Completed","")</f>
        <v>Completed</v>
      </c>
      <c r="K72" s="30"/>
      <c r="L72" s="30"/>
      <c r="M72" s="30"/>
      <c r="N72" s="30"/>
      <c r="O72" s="30"/>
      <c r="P72" s="30"/>
    </row>
    <row r="73" spans="1:16" ht="15.75" customHeight="1" x14ac:dyDescent="0.25">
      <c r="A73" s="184" t="s">
        <v>49</v>
      </c>
      <c r="B73" s="185"/>
      <c r="C73" s="47" t="s">
        <v>136</v>
      </c>
      <c r="D73" s="47" t="s">
        <v>82</v>
      </c>
      <c r="E73" s="185" t="s">
        <v>84</v>
      </c>
      <c r="F73" s="185"/>
      <c r="G73" s="185" t="s">
        <v>83</v>
      </c>
      <c r="H73" s="252"/>
      <c r="I73" s="48" t="s">
        <v>138</v>
      </c>
      <c r="J73" s="49">
        <f ca="1">H71*25%</f>
        <v>5</v>
      </c>
      <c r="K73" s="30"/>
      <c r="L73" s="30"/>
      <c r="M73" s="30"/>
      <c r="N73" s="30"/>
      <c r="O73" s="30"/>
      <c r="P73" s="30"/>
    </row>
    <row r="74" spans="1:16" x14ac:dyDescent="0.25">
      <c r="A74" s="184" t="s">
        <v>125</v>
      </c>
      <c r="B74" s="185"/>
      <c r="C74" s="47">
        <f ca="1">J75</f>
        <v>20</v>
      </c>
      <c r="D74" s="14">
        <f ca="1">((100/H71)*C74)/100</f>
        <v>1</v>
      </c>
      <c r="E74" s="205">
        <f ca="1">(((C75/H71*10)+(40/(D71+F71+H71)*C76)+(7.5/(H71)*C77)+(7.5/(H71)*C78)+(10/H71*C79)+(10/H71*C80)+(5/H71*C81)+(5/H71*C82)+(5/H71*C83))/100)</f>
        <v>0.64875000000000005</v>
      </c>
      <c r="F74" s="206"/>
      <c r="G74" s="205">
        <f ca="1">((((C74/H71)*20)+((C75/H71)*25)+(30/(H71+F71+D71)*C76)+(5/H71*C77)+(5/H71*C78)+(5/H71*C79)+(5/H71*C80)+(0/H71*C81)+(0/H71*C82)+(5/H71*C83))/100)</f>
        <v>0.84250000000000003</v>
      </c>
      <c r="H74" s="228"/>
      <c r="I74" s="48" t="s">
        <v>98</v>
      </c>
      <c r="J74" s="50">
        <f ca="1">H71*50%</f>
        <v>10</v>
      </c>
      <c r="K74" s="30"/>
      <c r="L74" s="30"/>
      <c r="M74" s="30"/>
      <c r="N74" s="30"/>
      <c r="O74" s="30"/>
      <c r="P74" s="30"/>
    </row>
    <row r="75" spans="1:16" x14ac:dyDescent="0.25">
      <c r="A75" s="184" t="s">
        <v>50</v>
      </c>
      <c r="B75" s="185"/>
      <c r="C75" s="56">
        <f ca="1">J83</f>
        <v>20</v>
      </c>
      <c r="D75" s="14">
        <f ca="1">((100/H71)*C75)/100</f>
        <v>1</v>
      </c>
      <c r="E75" s="207"/>
      <c r="F75" s="208"/>
      <c r="G75" s="207"/>
      <c r="H75" s="229"/>
      <c r="I75" s="48" t="s">
        <v>99</v>
      </c>
      <c r="J75" s="50">
        <f ca="1">H71</f>
        <v>20</v>
      </c>
      <c r="K75" s="30"/>
      <c r="L75" s="30"/>
      <c r="M75" s="30"/>
      <c r="N75" s="30"/>
      <c r="O75" s="30"/>
      <c r="P75" s="30"/>
    </row>
    <row r="76" spans="1:16" ht="15.75" customHeight="1" x14ac:dyDescent="0.25">
      <c r="A76" s="184" t="s">
        <v>126</v>
      </c>
      <c r="B76" s="185"/>
      <c r="C76" s="47">
        <v>21</v>
      </c>
      <c r="D76" s="14">
        <f ca="1">((100/(D71+F71+H71))*C76)/100</f>
        <v>1</v>
      </c>
      <c r="E76" s="207"/>
      <c r="F76" s="208"/>
      <c r="G76" s="207"/>
      <c r="H76" s="229"/>
      <c r="I76" s="48" t="s">
        <v>100</v>
      </c>
      <c r="J76" s="51">
        <f ca="1">(IF(B71&gt;1,(H71/(B71+2)),H71/4))</f>
        <v>5</v>
      </c>
      <c r="K76" s="30"/>
      <c r="L76" s="30"/>
      <c r="M76" s="30"/>
      <c r="N76" s="30"/>
      <c r="O76" s="30"/>
      <c r="P76" s="30"/>
    </row>
    <row r="77" spans="1:16" ht="15.75" customHeight="1" x14ac:dyDescent="0.25">
      <c r="A77" s="184" t="s">
        <v>133</v>
      </c>
      <c r="B77" s="185" t="s">
        <v>127</v>
      </c>
      <c r="C77" s="47">
        <v>17</v>
      </c>
      <c r="D77" s="14">
        <f ca="1">((100/H71)*C77)/100</f>
        <v>0.85</v>
      </c>
      <c r="E77" s="207"/>
      <c r="F77" s="208"/>
      <c r="G77" s="207"/>
      <c r="H77" s="229"/>
      <c r="I77" s="48" t="s">
        <v>101</v>
      </c>
      <c r="J77" s="51">
        <f ca="1">(IF(B71&gt;1,(H71/(B71+2)+J76),H71/4+J76))</f>
        <v>10</v>
      </c>
      <c r="K77" s="30"/>
      <c r="L77" s="30"/>
      <c r="M77" s="30"/>
      <c r="N77" s="30"/>
      <c r="O77" s="30"/>
      <c r="P77" s="30"/>
    </row>
    <row r="78" spans="1:16" ht="15.75" customHeight="1" x14ac:dyDescent="0.25">
      <c r="A78" s="184" t="s">
        <v>134</v>
      </c>
      <c r="B78" s="185" t="s">
        <v>127</v>
      </c>
      <c r="C78" s="47">
        <v>12</v>
      </c>
      <c r="D78" s="14">
        <f ca="1">((100/H71)*C78)/100</f>
        <v>0.6</v>
      </c>
      <c r="E78" s="207"/>
      <c r="F78" s="208"/>
      <c r="G78" s="207"/>
      <c r="H78" s="229"/>
      <c r="I78" s="48" t="s">
        <v>143</v>
      </c>
      <c r="J78" s="51">
        <f>(IF(B71&gt;1,(H71/(B71+2)+J77),0))</f>
        <v>0</v>
      </c>
      <c r="K78" s="30"/>
      <c r="L78" s="30"/>
      <c r="M78" s="30"/>
      <c r="N78" s="30"/>
      <c r="O78" s="30"/>
      <c r="P78" s="30"/>
    </row>
    <row r="79" spans="1:16" ht="15" customHeight="1" x14ac:dyDescent="0.25">
      <c r="A79" s="184" t="s">
        <v>132</v>
      </c>
      <c r="B79" s="185" t="s">
        <v>129</v>
      </c>
      <c r="C79" s="47">
        <v>8</v>
      </c>
      <c r="D79" s="14">
        <f ca="1">((100/(H71))*C79)/100</f>
        <v>0.4</v>
      </c>
      <c r="E79" s="207"/>
      <c r="F79" s="208"/>
      <c r="G79" s="207"/>
      <c r="H79" s="229"/>
      <c r="I79" s="48" t="s">
        <v>140</v>
      </c>
      <c r="J79" s="51">
        <f>(IF(B71&gt;2,(H71/(B71+2)+J78),0))</f>
        <v>0</v>
      </c>
      <c r="K79" s="30"/>
      <c r="L79" s="30"/>
      <c r="M79" s="30"/>
      <c r="N79" s="30"/>
      <c r="O79" s="30"/>
      <c r="P79" s="30"/>
    </row>
    <row r="80" spans="1:16" ht="15.75" customHeight="1" x14ac:dyDescent="0.25">
      <c r="A80" s="184" t="s">
        <v>128</v>
      </c>
      <c r="B80" s="185" t="s">
        <v>128</v>
      </c>
      <c r="C80" s="47">
        <v>0</v>
      </c>
      <c r="D80" s="14">
        <f ca="1">((100/H71)*C80)/100</f>
        <v>0</v>
      </c>
      <c r="E80" s="207"/>
      <c r="F80" s="208"/>
      <c r="G80" s="207"/>
      <c r="H80" s="229"/>
      <c r="I80" s="48" t="s">
        <v>141</v>
      </c>
      <c r="J80" s="52">
        <f>(IF(B71&gt;3,(H71/(B71+2)+J79),0))</f>
        <v>0</v>
      </c>
      <c r="K80" s="30"/>
      <c r="L80" s="30"/>
      <c r="M80" s="30"/>
      <c r="N80" s="30"/>
      <c r="O80" s="30"/>
      <c r="P80" s="30"/>
    </row>
    <row r="81" spans="1:16" ht="15.75" customHeight="1" x14ac:dyDescent="0.25">
      <c r="A81" s="184" t="s">
        <v>135</v>
      </c>
      <c r="B81" s="185"/>
      <c r="C81" s="47">
        <v>0</v>
      </c>
      <c r="D81" s="14">
        <f ca="1">((100/H71)*C81)/100</f>
        <v>0</v>
      </c>
      <c r="E81" s="207"/>
      <c r="F81" s="208"/>
      <c r="G81" s="207"/>
      <c r="H81" s="229"/>
      <c r="I81" s="48" t="s">
        <v>142</v>
      </c>
      <c r="J81" s="51">
        <f>(IF(B71&gt;4,(H71/(B71+2)+J80),0))</f>
        <v>0</v>
      </c>
      <c r="K81" s="30"/>
      <c r="L81" s="30"/>
      <c r="M81" s="30"/>
      <c r="N81" s="30"/>
      <c r="O81" s="30"/>
      <c r="P81" s="30"/>
    </row>
    <row r="82" spans="1:16" ht="15.75" customHeight="1" x14ac:dyDescent="0.25">
      <c r="A82" s="184" t="s">
        <v>130</v>
      </c>
      <c r="B82" s="185" t="s">
        <v>130</v>
      </c>
      <c r="C82" s="47">
        <v>0</v>
      </c>
      <c r="D82" s="14">
        <f ca="1">((100/(H71))*C82)/100</f>
        <v>0</v>
      </c>
      <c r="E82" s="207"/>
      <c r="F82" s="208"/>
      <c r="G82" s="207"/>
      <c r="H82" s="229"/>
      <c r="I82" s="48" t="s">
        <v>144</v>
      </c>
      <c r="J82" s="51">
        <f ca="1">(IF(B71=1,(H71/(B71+3)+J77),IF(B71=0,(H71/4+J77),IF(B71&gt;1,0))))</f>
        <v>15</v>
      </c>
      <c r="K82" s="30"/>
      <c r="L82" s="30"/>
      <c r="M82" s="30"/>
      <c r="N82" s="30"/>
      <c r="O82" s="30"/>
      <c r="P82" s="30"/>
    </row>
    <row r="83" spans="1:16" ht="16.5" thickBot="1" x14ac:dyDescent="0.3">
      <c r="A83" s="201" t="s">
        <v>131</v>
      </c>
      <c r="B83" s="202"/>
      <c r="C83" s="53">
        <v>0</v>
      </c>
      <c r="D83" s="15">
        <f ca="1">((100/(H71))*C83)/100</f>
        <v>0</v>
      </c>
      <c r="E83" s="209"/>
      <c r="F83" s="210"/>
      <c r="G83" s="209"/>
      <c r="H83" s="230"/>
      <c r="I83" s="54" t="s">
        <v>102</v>
      </c>
      <c r="J83" s="55">
        <f ca="1">(IF(B71&gt;1.5,(H71/(B71+2)+J77+MAX(0,J78-J77)+MAX(0,J79-J78)+MAX(0,J80-J79)+MAX(0,J81-J80)+MAX(0,J82-J81)),IF(B71=1,(H71/(B71+3)+J82),IF(B71=0,H71/4+J82))))</f>
        <v>20</v>
      </c>
      <c r="K83" s="30"/>
      <c r="L83" s="30"/>
      <c r="M83" s="30"/>
      <c r="N83" s="30"/>
      <c r="O83" s="30"/>
      <c r="P83" s="30"/>
    </row>
    <row r="84" spans="1:16" ht="15.75" customHeight="1" x14ac:dyDescent="0.25">
      <c r="A84" s="179" t="s">
        <v>137</v>
      </c>
      <c r="B84" s="180"/>
      <c r="C84" s="181" t="str">
        <f>D59</f>
        <v>B Wing = Gr + 1P to 5P + 6th to 20th Floor</v>
      </c>
      <c r="D84" s="182"/>
      <c r="E84" s="182"/>
      <c r="F84" s="182"/>
      <c r="G84" s="182"/>
      <c r="H84" s="183"/>
      <c r="I84" s="39" t="str">
        <f ca="1">IF(D97=100%,"All work Completed. Possession granted to the Building.",IF(D96=100%,"All work Completed, Waiting for OC",I85&amp;""&amp;I86&amp;""&amp;J85&amp;""&amp;J84&amp;" "&amp;J86))</f>
        <v>Excavation, Plinth, RCC Slab Completed, Brickwork upto 14 Floor, Internal Plaster upto 12 Floor, External Plaster upto 8 Floor Completed</v>
      </c>
      <c r="J84" s="40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>, Brickwork upto 14 Floor, Internal Plaster upto 12 Floor, External Plaster upto 8 Floor</v>
      </c>
      <c r="K84" s="30"/>
      <c r="L84" s="30"/>
      <c r="M84" s="30"/>
      <c r="N84" s="30"/>
      <c r="O84" s="30"/>
      <c r="P84" s="30"/>
    </row>
    <row r="85" spans="1:16" x14ac:dyDescent="0.25">
      <c r="A85" s="41" t="s">
        <v>139</v>
      </c>
      <c r="B85" s="42">
        <f>IF(AND(ISNUMBER(SEARCH("1B",C84))),1,IF(AND(ISNUMBER(SEARCH("2B",C84))),2,IF(AND(ISNUMBER(SEARCH("3B",C84))),3,IF(AND(ISNUMBER(SEARCH("4B",C84))),4,IF(ISNUMBER(SEARCH("5B",C84)),5,0)))))</f>
        <v>0</v>
      </c>
      <c r="C85" s="43" t="s">
        <v>72</v>
      </c>
      <c r="D85" s="43">
        <v>1</v>
      </c>
      <c r="E85" s="43" t="s">
        <v>71</v>
      </c>
      <c r="F85" s="43">
        <v>0</v>
      </c>
      <c r="G85" s="43" t="s">
        <v>79</v>
      </c>
      <c r="H85" s="44">
        <f ca="1">--TRIM(RIGHT(SUBSTITUTE(LEFT(C84,_xlfn.AGGREGATE(16,6,FIND({0,1,2,3,4,5,6,7,8,9},C84,ROW(INDIRECT("1:"&amp;LEN(C84)))),1))," ",REPT(" ",LEN(C84))),LEN(C84)))</f>
        <v>20</v>
      </c>
      <c r="I85" s="45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Plinth, RCC Slab</v>
      </c>
      <c r="J85" s="46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  <c r="K85" s="30"/>
      <c r="L85" s="30"/>
      <c r="M85" s="30"/>
      <c r="N85" s="30"/>
      <c r="O85" s="30"/>
      <c r="P85" s="30"/>
    </row>
    <row r="86" spans="1:16" ht="32.25" customHeight="1" x14ac:dyDescent="0.25">
      <c r="A86" s="235" t="s">
        <v>89</v>
      </c>
      <c r="B86" s="221"/>
      <c r="C86" s="236" t="str">
        <f ca="1">(IF($G$53="NA",I84,"All work Completed. OC Received."))</f>
        <v>Excavation, Plinth, RCC Slab Completed, Brickwork upto 14 Floor, Internal Plaster upto 12 Floor, External Plaster upto 8 Floor Completed</v>
      </c>
      <c r="D86" s="236"/>
      <c r="E86" s="236"/>
      <c r="F86" s="236"/>
      <c r="G86" s="236"/>
      <c r="H86" s="237"/>
      <c r="I86" s="45" t="str">
        <f ca="1">IF(I85&lt;&gt;""," Completed","")</f>
        <v xml:space="preserve"> Completed</v>
      </c>
      <c r="J86" s="46" t="str">
        <f ca="1">IF(J84&lt;&gt;"","Completed","")</f>
        <v>Completed</v>
      </c>
      <c r="K86" s="30"/>
      <c r="L86" s="30"/>
      <c r="M86" s="30"/>
      <c r="N86" s="30"/>
      <c r="O86" s="30"/>
      <c r="P86" s="30"/>
    </row>
    <row r="87" spans="1:16" ht="15.75" customHeight="1" x14ac:dyDescent="0.25">
      <c r="A87" s="184" t="s">
        <v>49</v>
      </c>
      <c r="B87" s="185"/>
      <c r="C87" s="47" t="s">
        <v>136</v>
      </c>
      <c r="D87" s="47" t="s">
        <v>82</v>
      </c>
      <c r="E87" s="185" t="s">
        <v>84</v>
      </c>
      <c r="F87" s="185"/>
      <c r="G87" s="185" t="s">
        <v>83</v>
      </c>
      <c r="H87" s="252"/>
      <c r="I87" s="48" t="s">
        <v>138</v>
      </c>
      <c r="J87" s="49">
        <f ca="1">H85*25%</f>
        <v>5</v>
      </c>
      <c r="K87" s="30"/>
      <c r="L87" s="30"/>
      <c r="M87" s="30"/>
      <c r="N87" s="30"/>
      <c r="O87" s="30"/>
      <c r="P87" s="30"/>
    </row>
    <row r="88" spans="1:16" x14ac:dyDescent="0.25">
      <c r="A88" s="184" t="s">
        <v>125</v>
      </c>
      <c r="B88" s="185"/>
      <c r="C88" s="94">
        <f ca="1">J89</f>
        <v>20</v>
      </c>
      <c r="D88" s="14">
        <f ca="1">((100/H85)*C88)/100</f>
        <v>1</v>
      </c>
      <c r="E88" s="205">
        <f ca="1">(((C89/H85*10)+(40/(D85+F85+H85)*C90)+(7.5/(H85)*C91)+(7.5/(H85)*C92)+(10/H85*C93)+(10/H85*C94)+(5/H85*C95)+(5/H85*C96)+(5/H85*C97))/100)</f>
        <v>0.63749999999999996</v>
      </c>
      <c r="F88" s="206"/>
      <c r="G88" s="205">
        <f ca="1">((((C88/H85)*20)+((C89/H85)*25)+(30/(H85+F85+D85)*C90)+(5/H85*C91)+(5/H85*C92)+(5/H85*C93)+(5/H85*C94)+(0/H85*C95)+(0/H85*C96)+(5/H85*C97))/100)</f>
        <v>0.83499999999999996</v>
      </c>
      <c r="H88" s="228"/>
      <c r="I88" s="48" t="s">
        <v>98</v>
      </c>
      <c r="J88" s="50">
        <f ca="1">H85*50%</f>
        <v>10</v>
      </c>
      <c r="K88" s="30"/>
      <c r="L88" s="30"/>
      <c r="M88" s="30"/>
      <c r="N88" s="30"/>
      <c r="O88" s="30"/>
      <c r="P88" s="30"/>
    </row>
    <row r="89" spans="1:16" x14ac:dyDescent="0.25">
      <c r="A89" s="184" t="s">
        <v>50</v>
      </c>
      <c r="B89" s="185"/>
      <c r="C89" s="56">
        <f ca="1">J97</f>
        <v>20</v>
      </c>
      <c r="D89" s="14">
        <f ca="1">((100/H85)*C89)/100</f>
        <v>1</v>
      </c>
      <c r="E89" s="207"/>
      <c r="F89" s="208"/>
      <c r="G89" s="207"/>
      <c r="H89" s="229"/>
      <c r="I89" s="48" t="s">
        <v>99</v>
      </c>
      <c r="J89" s="50">
        <f ca="1">H85</f>
        <v>20</v>
      </c>
      <c r="K89" s="30"/>
      <c r="L89" s="30"/>
      <c r="M89" s="30"/>
      <c r="N89" s="30"/>
      <c r="O89" s="30"/>
      <c r="P89" s="30"/>
    </row>
    <row r="90" spans="1:16" ht="15.75" customHeight="1" x14ac:dyDescent="0.25">
      <c r="A90" s="184" t="s">
        <v>126</v>
      </c>
      <c r="B90" s="185"/>
      <c r="C90" s="94">
        <v>21</v>
      </c>
      <c r="D90" s="14">
        <f ca="1">((100/(D85+F85+H85))*C90)/100</f>
        <v>1</v>
      </c>
      <c r="E90" s="207"/>
      <c r="F90" s="208"/>
      <c r="G90" s="207"/>
      <c r="H90" s="229"/>
      <c r="I90" s="48" t="s">
        <v>100</v>
      </c>
      <c r="J90" s="51">
        <f ca="1">(IF(B85&gt;1,(H85/(B85+2)),H85/4))</f>
        <v>5</v>
      </c>
      <c r="K90" s="30"/>
      <c r="L90" s="30"/>
      <c r="M90" s="30"/>
      <c r="N90" s="30"/>
      <c r="O90" s="30"/>
      <c r="P90" s="30"/>
    </row>
    <row r="91" spans="1:16" ht="15.75" customHeight="1" x14ac:dyDescent="0.25">
      <c r="A91" s="184" t="s">
        <v>133</v>
      </c>
      <c r="B91" s="185" t="s">
        <v>127</v>
      </c>
      <c r="C91" s="94">
        <v>14</v>
      </c>
      <c r="D91" s="14">
        <f ca="1">((100/H85)*C91)/100</f>
        <v>0.7</v>
      </c>
      <c r="E91" s="207"/>
      <c r="F91" s="208"/>
      <c r="G91" s="207"/>
      <c r="H91" s="229"/>
      <c r="I91" s="48" t="s">
        <v>101</v>
      </c>
      <c r="J91" s="51">
        <f ca="1">(IF(B85&gt;1,(H85/(B85+2)+J90),H85/4+J90))</f>
        <v>10</v>
      </c>
      <c r="K91" s="30"/>
      <c r="L91" s="30"/>
      <c r="M91" s="30"/>
      <c r="N91" s="30"/>
      <c r="O91" s="30"/>
      <c r="P91" s="30"/>
    </row>
    <row r="92" spans="1:16" ht="15.75" customHeight="1" x14ac:dyDescent="0.25">
      <c r="A92" s="184" t="s">
        <v>134</v>
      </c>
      <c r="B92" s="185" t="s">
        <v>127</v>
      </c>
      <c r="C92" s="47">
        <v>12</v>
      </c>
      <c r="D92" s="14">
        <f ca="1">((100/H85)*C92)/100</f>
        <v>0.6</v>
      </c>
      <c r="E92" s="207"/>
      <c r="F92" s="208"/>
      <c r="G92" s="207"/>
      <c r="H92" s="229"/>
      <c r="I92" s="48" t="s">
        <v>143</v>
      </c>
      <c r="J92" s="51">
        <f>(IF(B85&gt;1,(H85/(B85+2)+J91),0))</f>
        <v>0</v>
      </c>
      <c r="K92" s="30"/>
      <c r="L92" s="30"/>
      <c r="M92" s="30"/>
      <c r="N92" s="30"/>
      <c r="O92" s="30"/>
      <c r="P92" s="30"/>
    </row>
    <row r="93" spans="1:16" ht="15" customHeight="1" x14ac:dyDescent="0.25">
      <c r="A93" s="184" t="s">
        <v>132</v>
      </c>
      <c r="B93" s="185" t="s">
        <v>129</v>
      </c>
      <c r="C93" s="47">
        <v>8</v>
      </c>
      <c r="D93" s="14">
        <f ca="1">((100/(H85))*C93)/100</f>
        <v>0.4</v>
      </c>
      <c r="E93" s="207"/>
      <c r="F93" s="208"/>
      <c r="G93" s="207"/>
      <c r="H93" s="229"/>
      <c r="I93" s="48" t="s">
        <v>140</v>
      </c>
      <c r="J93" s="51">
        <f>(IF(B85&gt;2,(H85/(B85+2)+J92),0))</f>
        <v>0</v>
      </c>
      <c r="K93" s="30"/>
      <c r="L93" s="30"/>
      <c r="M93" s="30"/>
      <c r="N93" s="30"/>
      <c r="O93" s="30"/>
      <c r="P93" s="30"/>
    </row>
    <row r="94" spans="1:16" ht="15.75" customHeight="1" x14ac:dyDescent="0.25">
      <c r="A94" s="184" t="s">
        <v>128</v>
      </c>
      <c r="B94" s="185" t="s">
        <v>128</v>
      </c>
      <c r="C94" s="47">
        <v>0</v>
      </c>
      <c r="D94" s="14">
        <f ca="1">((100/H85)*C94)/100</f>
        <v>0</v>
      </c>
      <c r="E94" s="207"/>
      <c r="F94" s="208"/>
      <c r="G94" s="207"/>
      <c r="H94" s="229"/>
      <c r="I94" s="48" t="s">
        <v>141</v>
      </c>
      <c r="J94" s="52">
        <f>(IF(B85&gt;3,(H85/(B85+2)+J93),0))</f>
        <v>0</v>
      </c>
      <c r="K94" s="30"/>
      <c r="L94" s="30"/>
      <c r="M94" s="30"/>
      <c r="N94" s="30"/>
      <c r="O94" s="30"/>
      <c r="P94" s="30"/>
    </row>
    <row r="95" spans="1:16" ht="15.75" customHeight="1" x14ac:dyDescent="0.25">
      <c r="A95" s="184" t="s">
        <v>135</v>
      </c>
      <c r="B95" s="185"/>
      <c r="C95" s="47">
        <v>0</v>
      </c>
      <c r="D95" s="14">
        <f ca="1">((100/H85)*C95)/100</f>
        <v>0</v>
      </c>
      <c r="E95" s="207"/>
      <c r="F95" s="208"/>
      <c r="G95" s="207"/>
      <c r="H95" s="229"/>
      <c r="I95" s="48" t="s">
        <v>142</v>
      </c>
      <c r="J95" s="51">
        <f>(IF(B85&gt;4,(H85/(B85+2)+J94),0))</f>
        <v>0</v>
      </c>
      <c r="K95" s="30"/>
      <c r="L95" s="30"/>
      <c r="M95" s="30"/>
      <c r="N95" s="30"/>
      <c r="O95" s="30"/>
      <c r="P95" s="30"/>
    </row>
    <row r="96" spans="1:16" ht="15.75" customHeight="1" x14ac:dyDescent="0.25">
      <c r="A96" s="184" t="s">
        <v>130</v>
      </c>
      <c r="B96" s="185" t="s">
        <v>130</v>
      </c>
      <c r="C96" s="47">
        <v>0</v>
      </c>
      <c r="D96" s="14">
        <f ca="1">((100/(H85))*C96)/100</f>
        <v>0</v>
      </c>
      <c r="E96" s="207"/>
      <c r="F96" s="208"/>
      <c r="G96" s="207"/>
      <c r="H96" s="229"/>
      <c r="I96" s="48" t="s">
        <v>144</v>
      </c>
      <c r="J96" s="51">
        <f ca="1">(IF(B85=1,(H85/(B85+3)+J91),IF(B85=0,(H85/4+J91),IF(B85&gt;1,0))))</f>
        <v>15</v>
      </c>
      <c r="K96" s="30"/>
      <c r="L96" s="30"/>
      <c r="M96" s="30"/>
      <c r="N96" s="30"/>
      <c r="O96" s="30"/>
      <c r="P96" s="30"/>
    </row>
    <row r="97" spans="1:16" ht="16.5" thickBot="1" x14ac:dyDescent="0.3">
      <c r="A97" s="201" t="s">
        <v>131</v>
      </c>
      <c r="B97" s="202"/>
      <c r="C97" s="53">
        <v>0</v>
      </c>
      <c r="D97" s="15">
        <f ca="1">((100/(H85))*C97)/100</f>
        <v>0</v>
      </c>
      <c r="E97" s="209"/>
      <c r="F97" s="210"/>
      <c r="G97" s="209"/>
      <c r="H97" s="230"/>
      <c r="I97" s="54" t="s">
        <v>102</v>
      </c>
      <c r="J97" s="55">
        <f ca="1">(IF(B85&gt;1.5,(H85/(B85+2)+J91+MAX(0,J92-J91)+MAX(0,J93-J92)+MAX(0,J94-J93)+MAX(0,J95-J94)+MAX(0,J96-J95)),IF(B85=1,(H85/(B85+3)+J96),IF(B85=0,H85/4+J96))))</f>
        <v>20</v>
      </c>
      <c r="K97" s="30"/>
      <c r="L97" s="30"/>
      <c r="M97" s="30"/>
      <c r="N97" s="30"/>
      <c r="O97" s="30"/>
      <c r="P97" s="30"/>
    </row>
    <row r="98" spans="1:16" ht="15.75" customHeight="1" x14ac:dyDescent="0.25">
      <c r="A98" s="179" t="s">
        <v>137</v>
      </c>
      <c r="B98" s="180"/>
      <c r="C98" s="181" t="str">
        <f>D60</f>
        <v>C Wing = Gr + 1P to 5P + 6th to 20th Floor</v>
      </c>
      <c r="D98" s="182"/>
      <c r="E98" s="182"/>
      <c r="F98" s="182"/>
      <c r="G98" s="182"/>
      <c r="H98" s="183"/>
      <c r="I98" s="39" t="str">
        <f ca="1">IF(D111=100%,"All work Completed. Possession granted to the Building.",IF(D110=100%,"All work Completed, Waiting for OC",I99&amp;""&amp;I100&amp;""&amp;J99&amp;""&amp;J98&amp;" "&amp;J100))</f>
        <v>Excavation, Plinth, RCC Slab, Brickwork Completed, Internal Plaster upto 17 Floor, External Plaster upto 14 Floor, Flooring upto 7 Floor, Painting upto 5 Floor Completed</v>
      </c>
      <c r="J98" s="40" t="str">
        <f ca="1">(IF(C104=(D99+F99+H99),"",IF(C104&gt;0,", RCC upto "&amp;C104&amp;" Slab","")))&amp;(IF(C105=H99,"",IF(C105&gt;0,", Brickwork upto "&amp;C105&amp;" Floor","")))&amp;(IF(C106=H99,"",IF(C106&gt;0,", Internal Plaster upto "&amp;C106&amp;" Floor","")))&amp;(IF(C107=H99,"",IF(C107&gt;0,", External Plaster upto "&amp;C107&amp;" Floor","")))&amp;(IF(C108=H99,"",IF(C108&gt;0,", Flooring upto "&amp;C108&amp;" Floor","")))&amp;(IF(C109=H99,"",IF(C109&gt;0,", Painting upto "&amp;C109&amp;" Floor","")))&amp;(IF(C110=H99,"",IF(C110&gt;0,", Finishing upto "&amp;C110&amp;" Floor","")))&amp;(IF(C111=H99,"",IF(C111&gt;0,", Possession upto "&amp;C111&amp;" Floor","")))</f>
        <v>, Internal Plaster upto 17 Floor, External Plaster upto 14 Floor, Flooring upto 7 Floor, Painting upto 5 Floor</v>
      </c>
      <c r="K98" s="30"/>
      <c r="L98" s="30"/>
      <c r="M98" s="30"/>
      <c r="N98" s="30"/>
      <c r="O98" s="30"/>
      <c r="P98" s="30"/>
    </row>
    <row r="99" spans="1:16" x14ac:dyDescent="0.25">
      <c r="A99" s="41" t="s">
        <v>139</v>
      </c>
      <c r="B99" s="43">
        <f>IF(AND(ISNUMBER(SEARCH("1B",C98))),1,IF(AND(ISNUMBER(SEARCH("2B",C98))),2,IF(AND(ISNUMBER(SEARCH("3B",C98))),3,IF(AND(ISNUMBER(SEARCH("4B",C98))),4,IF(ISNUMBER(SEARCH("5B",C98)),5,0)))))</f>
        <v>0</v>
      </c>
      <c r="C99" s="43" t="s">
        <v>72</v>
      </c>
      <c r="D99" s="43">
        <v>1</v>
      </c>
      <c r="E99" s="43" t="s">
        <v>71</v>
      </c>
      <c r="F99" s="43">
        <v>0</v>
      </c>
      <c r="G99" s="43" t="s">
        <v>79</v>
      </c>
      <c r="H99" s="44">
        <f ca="1">--TRIM(RIGHT(SUBSTITUTE(LEFT(C98,_xlfn.AGGREGATE(16,6,FIND({0,1,2,3,4,5,6,7,8,9},C98,ROW(INDIRECT("1:"&amp;LEN(C98)))),1))," ",REPT(" ",LEN(C98))),LEN(C98)))</f>
        <v>20</v>
      </c>
      <c r="I99" s="45" t="str">
        <f ca="1">IF(D102=100%,"Excavation","")&amp;IF(D103=100%,", Plinth","")&amp;IF(D104=100%,", RCC Slab","")&amp;IF(D105=100%,", Brickwork","")&amp;IF(D106=100%,", Internal Plaster","")&amp;IF(D107=100%,", External Plaster","")&amp;IF(D108=100%,", Flooring","")&amp;IF(D109=100%,", Painting","")&amp;IF(D110=100%,", Building common Amenities","")</f>
        <v>Excavation, Plinth, RCC Slab, Brickwork</v>
      </c>
      <c r="J99" s="46" t="str">
        <f ca="1">(IF(C102=0,"Work not yet Started.",IF(D102=25%,"Piling work in process",IF(D102=50%,"Excavation work in process",IF(D102=100%,"","0")))))&amp;(IF(C103=0%,"",IF(C103=J104,", Footing work is process",IF(C103=J105,", Footing work Completed",IF(C103=J106,", 1st Basement Completed",IF(C103=J107,", 1st &amp; 2nd Basement Completed",IF(C103=J108,", 1st to 3rd Basement Completed",IF(C103=J109,", 1st to 4th Basement Completed",IF(C103=J110,", Plinth work is process",IF(C103=J111,"","0"))))))))))</f>
        <v/>
      </c>
      <c r="K99" s="30"/>
      <c r="L99" s="30"/>
      <c r="M99" s="30"/>
      <c r="N99" s="30"/>
      <c r="O99" s="30"/>
      <c r="P99" s="30"/>
    </row>
    <row r="100" spans="1:16" ht="47.25" customHeight="1" x14ac:dyDescent="0.25">
      <c r="A100" s="221" t="s">
        <v>89</v>
      </c>
      <c r="B100" s="221"/>
      <c r="C100" s="236" t="str">
        <f ca="1">(IF($G$53="NA",I98,"All work Completed. OC Received."))</f>
        <v>Excavation, Plinth, RCC Slab, Brickwork Completed, Internal Plaster upto 17 Floor, External Plaster upto 14 Floor, Flooring upto 7 Floor, Painting upto 5 Floor Completed</v>
      </c>
      <c r="D100" s="236"/>
      <c r="E100" s="236"/>
      <c r="F100" s="236"/>
      <c r="G100" s="236"/>
      <c r="H100" s="236"/>
      <c r="I100" s="98" t="str">
        <f ca="1">IF(I99&lt;&gt;""," Completed","")</f>
        <v xml:space="preserve"> Completed</v>
      </c>
      <c r="J100" s="46" t="str">
        <f ca="1">IF(J98&lt;&gt;"","Completed","")</f>
        <v>Completed</v>
      </c>
      <c r="K100" s="30"/>
      <c r="L100" s="30"/>
      <c r="M100" s="30"/>
      <c r="N100" s="30"/>
      <c r="O100" s="30"/>
      <c r="P100" s="30"/>
    </row>
    <row r="101" spans="1:16" ht="15.75" customHeight="1" x14ac:dyDescent="0.25">
      <c r="A101" s="185" t="s">
        <v>49</v>
      </c>
      <c r="B101" s="185"/>
      <c r="C101" s="95" t="s">
        <v>136</v>
      </c>
      <c r="D101" s="95" t="s">
        <v>82</v>
      </c>
      <c r="E101" s="185" t="s">
        <v>84</v>
      </c>
      <c r="F101" s="185"/>
      <c r="G101" s="185" t="s">
        <v>83</v>
      </c>
      <c r="H101" s="185"/>
      <c r="I101" s="48" t="s">
        <v>138</v>
      </c>
      <c r="J101" s="49">
        <f ca="1">H99*25%</f>
        <v>5</v>
      </c>
      <c r="K101" s="30"/>
      <c r="L101" s="30"/>
      <c r="M101" s="30"/>
      <c r="N101" s="30"/>
      <c r="O101" s="30"/>
      <c r="P101" s="30"/>
    </row>
    <row r="102" spans="1:16" x14ac:dyDescent="0.25">
      <c r="A102" s="185" t="s">
        <v>125</v>
      </c>
      <c r="B102" s="185"/>
      <c r="C102" s="95">
        <f ca="1">J103</f>
        <v>20</v>
      </c>
      <c r="D102" s="14">
        <f ca="1">((100/H99)*C102)/100</f>
        <v>1</v>
      </c>
      <c r="E102" s="278">
        <f ca="1">(((C103/H99*10)+(40/(D99+F99+H99)*C104)+(7.5/(H99)*C105)+(7.5/(H99)*C106)+(10/H99*C107)+(10/H99*C108)+(5/H99*C109)+(5/H99*C110)+(5/H99*C111))/100)</f>
        <v>0.75624999999999998</v>
      </c>
      <c r="F102" s="278"/>
      <c r="G102" s="278">
        <f ca="1">((((C102/H99)*20)+((C103/H99)*25)+(30/(H99+F99+D99)*C104)+(5/H99*C105)+(5/H99*C106)+(5/H99*C107)+(5/H99*C108)+(0/H99*C109)+(0/H99*C110)+(5/H99*C111))/100)</f>
        <v>0.89500000000000002</v>
      </c>
      <c r="H102" s="278"/>
      <c r="I102" s="48" t="s">
        <v>98</v>
      </c>
      <c r="J102" s="50">
        <f ca="1">H99*50%</f>
        <v>10</v>
      </c>
      <c r="K102" s="30"/>
      <c r="L102" s="30"/>
      <c r="M102" s="30"/>
      <c r="N102" s="30"/>
      <c r="O102" s="30"/>
      <c r="P102" s="30"/>
    </row>
    <row r="103" spans="1:16" x14ac:dyDescent="0.25">
      <c r="A103" s="185" t="s">
        <v>50</v>
      </c>
      <c r="B103" s="185"/>
      <c r="C103" s="56">
        <f ca="1">J111</f>
        <v>20</v>
      </c>
      <c r="D103" s="14">
        <f ca="1">((100/H99)*C103)/100</f>
        <v>1</v>
      </c>
      <c r="E103" s="278"/>
      <c r="F103" s="278"/>
      <c r="G103" s="278"/>
      <c r="H103" s="278"/>
      <c r="I103" s="48" t="s">
        <v>99</v>
      </c>
      <c r="J103" s="50">
        <f ca="1">H99</f>
        <v>20</v>
      </c>
      <c r="K103" s="30"/>
      <c r="L103" s="30"/>
      <c r="M103" s="30"/>
      <c r="N103" s="30"/>
      <c r="O103" s="30"/>
      <c r="P103" s="30"/>
    </row>
    <row r="104" spans="1:16" ht="15.75" customHeight="1" x14ac:dyDescent="0.25">
      <c r="A104" s="185" t="s">
        <v>126</v>
      </c>
      <c r="B104" s="185"/>
      <c r="C104" s="95">
        <v>21</v>
      </c>
      <c r="D104" s="14">
        <f ca="1">((100/(D99+F99+H99))*C104)/100</f>
        <v>1</v>
      </c>
      <c r="E104" s="278"/>
      <c r="F104" s="278"/>
      <c r="G104" s="278"/>
      <c r="H104" s="278"/>
      <c r="I104" s="48" t="s">
        <v>100</v>
      </c>
      <c r="J104" s="51">
        <f ca="1">(IF(B99&gt;1,(H99/(B99+2)),H99/4))</f>
        <v>5</v>
      </c>
      <c r="K104" s="30"/>
      <c r="L104" s="30"/>
      <c r="M104" s="30"/>
      <c r="N104" s="30"/>
      <c r="O104" s="30"/>
      <c r="P104" s="30"/>
    </row>
    <row r="105" spans="1:16" ht="15.75" customHeight="1" x14ac:dyDescent="0.25">
      <c r="A105" s="185" t="s">
        <v>133</v>
      </c>
      <c r="B105" s="185" t="s">
        <v>127</v>
      </c>
      <c r="C105" s="95">
        <v>20</v>
      </c>
      <c r="D105" s="14">
        <f ca="1">((100/H99)*C105)/100</f>
        <v>1</v>
      </c>
      <c r="E105" s="278"/>
      <c r="F105" s="278"/>
      <c r="G105" s="278"/>
      <c r="H105" s="278"/>
      <c r="I105" s="48" t="s">
        <v>101</v>
      </c>
      <c r="J105" s="51">
        <f ca="1">(IF(B99&gt;1,(H99/(B99+2)+J104),H99/4+J104))</f>
        <v>10</v>
      </c>
      <c r="K105" s="30"/>
      <c r="L105" s="30"/>
      <c r="M105" s="30"/>
      <c r="N105" s="30"/>
      <c r="O105" s="30"/>
      <c r="P105" s="30"/>
    </row>
    <row r="106" spans="1:16" ht="15.75" customHeight="1" x14ac:dyDescent="0.25">
      <c r="A106" s="185" t="s">
        <v>134</v>
      </c>
      <c r="B106" s="185" t="s">
        <v>127</v>
      </c>
      <c r="C106" s="95">
        <v>17</v>
      </c>
      <c r="D106" s="14">
        <f ca="1">((100/H99)*C106)/100</f>
        <v>0.85</v>
      </c>
      <c r="E106" s="278"/>
      <c r="F106" s="278"/>
      <c r="G106" s="278"/>
      <c r="H106" s="278"/>
      <c r="I106" s="48" t="s">
        <v>143</v>
      </c>
      <c r="J106" s="51">
        <f>(IF(B99&gt;1,(H99/(B99+2)+J105),0))</f>
        <v>0</v>
      </c>
      <c r="K106" s="30"/>
      <c r="L106" s="30"/>
      <c r="M106" s="30"/>
      <c r="N106" s="30"/>
      <c r="O106" s="30"/>
      <c r="P106" s="30"/>
    </row>
    <row r="107" spans="1:16" ht="15" customHeight="1" x14ac:dyDescent="0.25">
      <c r="A107" s="185" t="s">
        <v>132</v>
      </c>
      <c r="B107" s="185" t="s">
        <v>129</v>
      </c>
      <c r="C107" s="95">
        <v>14</v>
      </c>
      <c r="D107" s="14">
        <f ca="1">((100/(H99))*C107)/100</f>
        <v>0.7</v>
      </c>
      <c r="E107" s="278"/>
      <c r="F107" s="278"/>
      <c r="G107" s="278"/>
      <c r="H107" s="278"/>
      <c r="I107" s="48" t="s">
        <v>140</v>
      </c>
      <c r="J107" s="51">
        <f>(IF(B99&gt;2,(H99/(B99+2)+J106),0))</f>
        <v>0</v>
      </c>
      <c r="K107" s="30"/>
      <c r="L107" s="30"/>
      <c r="M107" s="30"/>
      <c r="N107" s="30"/>
      <c r="O107" s="30"/>
      <c r="P107" s="30"/>
    </row>
    <row r="108" spans="1:16" ht="15.75" customHeight="1" x14ac:dyDescent="0.25">
      <c r="A108" s="185" t="s">
        <v>128</v>
      </c>
      <c r="B108" s="185" t="s">
        <v>128</v>
      </c>
      <c r="C108" s="95">
        <v>7</v>
      </c>
      <c r="D108" s="14">
        <f ca="1">((100/H99)*C108)/100</f>
        <v>0.35</v>
      </c>
      <c r="E108" s="278"/>
      <c r="F108" s="278"/>
      <c r="G108" s="278"/>
      <c r="H108" s="278"/>
      <c r="I108" s="48" t="s">
        <v>141</v>
      </c>
      <c r="J108" s="52">
        <f>(IF(B99&gt;3,(H99/(B99+2)+J107),0))</f>
        <v>0</v>
      </c>
      <c r="K108" s="30"/>
      <c r="L108" s="30"/>
      <c r="M108" s="30"/>
      <c r="N108" s="30"/>
      <c r="O108" s="30"/>
      <c r="P108" s="30"/>
    </row>
    <row r="109" spans="1:16" ht="15.75" customHeight="1" x14ac:dyDescent="0.25">
      <c r="A109" s="185" t="s">
        <v>135</v>
      </c>
      <c r="B109" s="185"/>
      <c r="C109" s="95">
        <v>5</v>
      </c>
      <c r="D109" s="14">
        <f ca="1">((100/H99)*C109)/100</f>
        <v>0.25</v>
      </c>
      <c r="E109" s="278"/>
      <c r="F109" s="278"/>
      <c r="G109" s="278"/>
      <c r="H109" s="278"/>
      <c r="I109" s="48" t="s">
        <v>142</v>
      </c>
      <c r="J109" s="51">
        <f>(IF(B99&gt;4,(H99/(B99+2)+J108),0))</f>
        <v>0</v>
      </c>
      <c r="K109" s="30"/>
      <c r="L109" s="30"/>
      <c r="M109" s="30"/>
      <c r="N109" s="30"/>
      <c r="O109" s="30"/>
      <c r="P109" s="30"/>
    </row>
    <row r="110" spans="1:16" ht="15.75" customHeight="1" x14ac:dyDescent="0.25">
      <c r="A110" s="185" t="s">
        <v>130</v>
      </c>
      <c r="B110" s="185" t="s">
        <v>130</v>
      </c>
      <c r="C110" s="95">
        <v>0</v>
      </c>
      <c r="D110" s="14">
        <f ca="1">((100/(H99))*C110)/100</f>
        <v>0</v>
      </c>
      <c r="E110" s="278"/>
      <c r="F110" s="278"/>
      <c r="G110" s="278"/>
      <c r="H110" s="278"/>
      <c r="I110" s="48" t="s">
        <v>144</v>
      </c>
      <c r="J110" s="51">
        <f ca="1">(IF(B99=1,(H99/(B99+3)+J105),IF(B99=0,(H99/4+J105),IF(B99&gt;1,0))))</f>
        <v>15</v>
      </c>
      <c r="K110" s="30"/>
      <c r="L110" s="30"/>
      <c r="M110" s="30"/>
      <c r="N110" s="30"/>
      <c r="O110" s="30"/>
      <c r="P110" s="30"/>
    </row>
    <row r="111" spans="1:16" ht="16.5" thickBot="1" x14ac:dyDescent="0.3">
      <c r="A111" s="185" t="s">
        <v>131</v>
      </c>
      <c r="B111" s="185"/>
      <c r="C111" s="95">
        <v>0</v>
      </c>
      <c r="D111" s="14">
        <f ca="1">((100/(H99))*C111)/100</f>
        <v>0</v>
      </c>
      <c r="E111" s="278"/>
      <c r="F111" s="278"/>
      <c r="G111" s="278"/>
      <c r="H111" s="278"/>
      <c r="I111" s="54" t="s">
        <v>102</v>
      </c>
      <c r="J111" s="55">
        <f ca="1">(IF(B99&gt;1.5,(H99/(B99+2)+J105+MAX(0,J106-J105)+MAX(0,J107-J106)+MAX(0,J108-J107)+MAX(0,J109-J108)+MAX(0,J110-J109)),IF(B99=1,(H99/(B99+3)+J110),IF(B99=0,H99/4+J110))))</f>
        <v>20</v>
      </c>
      <c r="K111" s="30"/>
      <c r="L111" s="30"/>
      <c r="M111" s="30"/>
      <c r="N111" s="30"/>
      <c r="O111" s="30"/>
      <c r="P111" s="30"/>
    </row>
    <row r="112" spans="1:16" ht="15.75" customHeight="1" x14ac:dyDescent="0.25">
      <c r="A112" s="236" t="s">
        <v>137</v>
      </c>
      <c r="B112" s="236"/>
      <c r="C112" s="236" t="s">
        <v>302</v>
      </c>
      <c r="D112" s="236"/>
      <c r="E112" s="236"/>
      <c r="F112" s="236"/>
      <c r="G112" s="236"/>
      <c r="H112" s="236"/>
      <c r="I112" s="97" t="str">
        <f ca="1">IF(D125=100%,"All work Completed. Possession granted to the Building.",IF(D124=100%,"All work Completed, Waiting for OC",I113&amp;""&amp;I114&amp;""&amp;J113&amp;""&amp;J112&amp;" "&amp;J114))</f>
        <v>Excavation, Plinth, RCC Slab Completed, Brickwork upto 19 Floor, Internal Plaster upto 16 Floor, External Plaster upto 10 Floor Completed</v>
      </c>
      <c r="J112" s="40" t="str">
        <f ca="1">(IF(C118=(D113+F113+H113),"",IF(C118&gt;0,", RCC upto "&amp;C118&amp;" Slab","")))&amp;(IF(C119=H113,"",IF(C119&gt;0,", Brickwork upto "&amp;C119&amp;" Floor","")))&amp;(IF(C120=H113,"",IF(C120&gt;0,", Internal Plaster upto "&amp;C120&amp;" Floor","")))&amp;(IF(C121=H113,"",IF(C121&gt;0,", External Plaster upto "&amp;C121&amp;" Floor","")))&amp;(IF(C122=H113,"",IF(C122&gt;0,", Flooring upto "&amp;C122&amp;" Floor","")))&amp;(IF(C123=H113,"",IF(C123&gt;0,", Painting upto "&amp;C123&amp;" Floor","")))&amp;(IF(C124=H113,"",IF(C124&gt;0,", Finishing upto "&amp;C124&amp;" Floor","")))&amp;(IF(C125=H113,"",IF(C125&gt;0,", Possession upto "&amp;C125&amp;" Floor","")))</f>
        <v>, Brickwork upto 19 Floor, Internal Plaster upto 16 Floor, External Plaster upto 10 Floor</v>
      </c>
      <c r="K112" s="30"/>
      <c r="L112" s="30"/>
      <c r="M112" s="30"/>
      <c r="N112" s="30"/>
      <c r="O112" s="30"/>
      <c r="P112" s="30"/>
    </row>
    <row r="113" spans="1:16" x14ac:dyDescent="0.25">
      <c r="A113" s="42" t="s">
        <v>139</v>
      </c>
      <c r="B113" s="42">
        <f>IF(AND(ISNUMBER(SEARCH("1B",C112))),1,IF(AND(ISNUMBER(SEARCH("2B",C112))),2,IF(AND(ISNUMBER(SEARCH("3B",C112))),3,IF(AND(ISNUMBER(SEARCH("4B",C112))),4,IF(ISNUMBER(SEARCH("5B",C112)),5,0)))))</f>
        <v>0</v>
      </c>
      <c r="C113" s="42" t="s">
        <v>72</v>
      </c>
      <c r="D113" s="42">
        <v>1</v>
      </c>
      <c r="E113" s="42" t="s">
        <v>71</v>
      </c>
      <c r="F113" s="42">
        <v>0</v>
      </c>
      <c r="G113" s="42" t="s">
        <v>79</v>
      </c>
      <c r="H113" s="42">
        <f ca="1">--TRIM(RIGHT(SUBSTITUTE(LEFT(C112,_xlfn.AGGREGATE(16,6,FIND({0,1,2,3,4,5,6,7,8,9},C112,ROW(INDIRECT("1:"&amp;LEN(C112)))),1))," ",REPT(" ",LEN(C112))),LEN(C112)))</f>
        <v>20</v>
      </c>
      <c r="I113" s="98" t="str">
        <f ca="1">IF(D116=100%,"Excavation","")&amp;IF(D117=100%,", Plinth","")&amp;IF(D118=100%,", RCC Slab","")&amp;IF(D119=100%,", Brickwork","")&amp;IF(D120=100%,", Internal Plaster","")&amp;IF(D121=100%,", External Plaster","")&amp;IF(D122=100%,", Flooring","")&amp;IF(D123=100%,", Painting","")&amp;IF(D124=100%,", Building common Amenities","")</f>
        <v>Excavation, Plinth, RCC Slab</v>
      </c>
      <c r="J113" s="46" t="str">
        <f ca="1">(IF(C116=0,"Work not yet Started.",IF(D116=25%,"Piling work in process",IF(D116=50%,"Excavation work in process",IF(D116=100%,"","0")))))&amp;(IF(C117=0%,"",IF(C117=J118,", Footing work is process",IF(C117=J119,", Footing work Completed",IF(C117=J120,", 1st Basement Completed",IF(C117=J121,", 1st &amp; 2nd Basement Completed",IF(C117=J122,", 1st to 3rd Basement Completed",IF(C117=J123,", 1st to 4th Basement Completed",IF(C117=J124,", Plinth work is process",IF(C117=J125,"","0"))))))))))</f>
        <v/>
      </c>
      <c r="K113" s="30"/>
      <c r="L113" s="30"/>
      <c r="M113" s="30"/>
      <c r="N113" s="30"/>
      <c r="O113" s="30"/>
      <c r="P113" s="30"/>
    </row>
    <row r="114" spans="1:16" ht="31.5" customHeight="1" x14ac:dyDescent="0.25">
      <c r="A114" s="235" t="s">
        <v>89</v>
      </c>
      <c r="B114" s="221"/>
      <c r="C114" s="236" t="str">
        <f ca="1">(IF($G$53="NA",I112,"All work Completed. OC Received."))</f>
        <v>Excavation, Plinth, RCC Slab Completed, Brickwork upto 19 Floor, Internal Plaster upto 16 Floor, External Plaster upto 10 Floor Completed</v>
      </c>
      <c r="D114" s="236"/>
      <c r="E114" s="236"/>
      <c r="F114" s="236"/>
      <c r="G114" s="236"/>
      <c r="H114" s="237"/>
      <c r="I114" s="45" t="str">
        <f ca="1">IF(I113&lt;&gt;""," Completed","")</f>
        <v xml:space="preserve"> Completed</v>
      </c>
      <c r="J114" s="46" t="str">
        <f ca="1">IF(J112&lt;&gt;"","Completed","")</f>
        <v>Completed</v>
      </c>
      <c r="K114" s="30"/>
      <c r="L114" s="30"/>
      <c r="M114" s="30"/>
      <c r="N114" s="30"/>
      <c r="O114" s="30"/>
      <c r="P114" s="30"/>
    </row>
    <row r="115" spans="1:16" ht="15.75" customHeight="1" x14ac:dyDescent="0.25">
      <c r="A115" s="279" t="s">
        <v>49</v>
      </c>
      <c r="B115" s="280"/>
      <c r="C115" s="90" t="s">
        <v>136</v>
      </c>
      <c r="D115" s="90" t="s">
        <v>82</v>
      </c>
      <c r="E115" s="280" t="s">
        <v>84</v>
      </c>
      <c r="F115" s="280"/>
      <c r="G115" s="280" t="s">
        <v>83</v>
      </c>
      <c r="H115" s="281"/>
      <c r="I115" s="48" t="s">
        <v>138</v>
      </c>
      <c r="J115" s="49">
        <f ca="1">H113*25%</f>
        <v>5</v>
      </c>
      <c r="K115" s="30"/>
      <c r="L115" s="30"/>
      <c r="M115" s="30"/>
      <c r="N115" s="30"/>
      <c r="O115" s="30"/>
      <c r="P115" s="30"/>
    </row>
    <row r="116" spans="1:16" x14ac:dyDescent="0.25">
      <c r="A116" s="279" t="s">
        <v>125</v>
      </c>
      <c r="B116" s="280"/>
      <c r="C116" s="90">
        <f ca="1">J117</f>
        <v>20</v>
      </c>
      <c r="D116" s="91">
        <f ca="1">((100/H113)*C116)/100</f>
        <v>1</v>
      </c>
      <c r="E116" s="282">
        <f ca="1">(((C117/H113*10)+(40/(D113+F113+H113)*C118)+(7.5/(H113)*C119)+(7.5/(H113)*C120)+(10/H113*C121)+(10/H113*C122)+(5/H113*C123)+(5/H113*C124)+(5/H113*C125))/100)</f>
        <v>0.68125000000000002</v>
      </c>
      <c r="F116" s="283"/>
      <c r="G116" s="282">
        <f ca="1">((((C116/H113)*20)+((C117/H113)*25)+(30/(H113+F113+D113)*C118)+(5/H113*C119)+(5/H113*C120)+(5/H113*C121)+(5/H113*C122)+(0/H113*C123)+(0/H113*C124)+(5/H113*C125))/100)</f>
        <v>0.86250000000000004</v>
      </c>
      <c r="H116" s="288"/>
      <c r="I116" s="48" t="s">
        <v>98</v>
      </c>
      <c r="J116" s="50">
        <f ca="1">H113*50%</f>
        <v>10</v>
      </c>
      <c r="K116" s="30"/>
      <c r="L116" s="30"/>
      <c r="M116" s="30"/>
      <c r="N116" s="30"/>
      <c r="O116" s="30"/>
      <c r="P116" s="30"/>
    </row>
    <row r="117" spans="1:16" x14ac:dyDescent="0.25">
      <c r="A117" s="279" t="s">
        <v>50</v>
      </c>
      <c r="B117" s="280"/>
      <c r="C117" s="74">
        <f ca="1">J125</f>
        <v>20</v>
      </c>
      <c r="D117" s="91">
        <f ca="1">((100/H113)*C117)/100</f>
        <v>1</v>
      </c>
      <c r="E117" s="284"/>
      <c r="F117" s="285"/>
      <c r="G117" s="284"/>
      <c r="H117" s="289"/>
      <c r="I117" s="48" t="s">
        <v>99</v>
      </c>
      <c r="J117" s="50">
        <f ca="1">H113</f>
        <v>20</v>
      </c>
      <c r="K117" s="30"/>
      <c r="L117" s="30"/>
      <c r="M117" s="30"/>
      <c r="N117" s="30"/>
      <c r="O117" s="30"/>
      <c r="P117" s="30"/>
    </row>
    <row r="118" spans="1:16" ht="15.75" customHeight="1" x14ac:dyDescent="0.25">
      <c r="A118" s="279" t="s">
        <v>126</v>
      </c>
      <c r="B118" s="280"/>
      <c r="C118" s="90">
        <v>21</v>
      </c>
      <c r="D118" s="91">
        <f ca="1">((100/(D113+F113+H113))*C118)/100</f>
        <v>1</v>
      </c>
      <c r="E118" s="284"/>
      <c r="F118" s="285"/>
      <c r="G118" s="284"/>
      <c r="H118" s="289"/>
      <c r="I118" s="48" t="s">
        <v>100</v>
      </c>
      <c r="J118" s="51">
        <f ca="1">(IF(B113&gt;1,(H113/(B113+2)),H113/4))</f>
        <v>5</v>
      </c>
      <c r="K118" s="30"/>
      <c r="L118" s="30"/>
      <c r="M118" s="30"/>
      <c r="N118" s="30"/>
      <c r="O118" s="30"/>
      <c r="P118" s="30"/>
    </row>
    <row r="119" spans="1:16" ht="15.75" customHeight="1" x14ac:dyDescent="0.25">
      <c r="A119" s="279" t="s">
        <v>133</v>
      </c>
      <c r="B119" s="280" t="s">
        <v>127</v>
      </c>
      <c r="C119" s="90">
        <v>19</v>
      </c>
      <c r="D119" s="91">
        <f ca="1">((100/H113)*C119)/100</f>
        <v>0.95</v>
      </c>
      <c r="E119" s="284"/>
      <c r="F119" s="285"/>
      <c r="G119" s="284"/>
      <c r="H119" s="289"/>
      <c r="I119" s="48" t="s">
        <v>101</v>
      </c>
      <c r="J119" s="51">
        <f ca="1">(IF(B113&gt;1,(H113/(B113+2)+J118),H113/4+J118))</f>
        <v>10</v>
      </c>
      <c r="K119" s="30"/>
      <c r="L119" s="30"/>
      <c r="M119" s="30"/>
      <c r="N119" s="30"/>
      <c r="O119" s="30"/>
      <c r="P119" s="30"/>
    </row>
    <row r="120" spans="1:16" ht="15.75" customHeight="1" x14ac:dyDescent="0.25">
      <c r="A120" s="279" t="s">
        <v>134</v>
      </c>
      <c r="B120" s="280" t="s">
        <v>127</v>
      </c>
      <c r="C120" s="90">
        <v>16</v>
      </c>
      <c r="D120" s="91">
        <f ca="1">((100/H113)*C120)/100</f>
        <v>0.8</v>
      </c>
      <c r="E120" s="284"/>
      <c r="F120" s="285"/>
      <c r="G120" s="284"/>
      <c r="H120" s="289"/>
      <c r="I120" s="48" t="s">
        <v>143</v>
      </c>
      <c r="J120" s="51">
        <f>(IF(B113&gt;1,(H113/(B113+2)+J119),0))</f>
        <v>0</v>
      </c>
      <c r="K120" s="30"/>
      <c r="L120" s="30"/>
      <c r="M120" s="30"/>
      <c r="N120" s="30"/>
      <c r="O120" s="30"/>
      <c r="P120" s="30"/>
    </row>
    <row r="121" spans="1:16" ht="15" customHeight="1" x14ac:dyDescent="0.25">
      <c r="A121" s="279" t="s">
        <v>132</v>
      </c>
      <c r="B121" s="280" t="s">
        <v>129</v>
      </c>
      <c r="C121" s="90">
        <v>10</v>
      </c>
      <c r="D121" s="91">
        <f ca="1">((100/(H113))*C121)/100</f>
        <v>0.5</v>
      </c>
      <c r="E121" s="284"/>
      <c r="F121" s="285"/>
      <c r="G121" s="284"/>
      <c r="H121" s="289"/>
      <c r="I121" s="48" t="s">
        <v>140</v>
      </c>
      <c r="J121" s="51">
        <f>(IF(B113&gt;2,(H113/(B113+2)+J120),0))</f>
        <v>0</v>
      </c>
      <c r="K121" s="30"/>
      <c r="L121" s="30"/>
      <c r="M121" s="30"/>
      <c r="N121" s="30"/>
      <c r="O121" s="30"/>
      <c r="P121" s="30"/>
    </row>
    <row r="122" spans="1:16" ht="15.75" customHeight="1" x14ac:dyDescent="0.25">
      <c r="A122" s="279" t="s">
        <v>128</v>
      </c>
      <c r="B122" s="280" t="s">
        <v>128</v>
      </c>
      <c r="C122" s="90">
        <v>0</v>
      </c>
      <c r="D122" s="91">
        <f ca="1">((100/H113)*C122)/100</f>
        <v>0</v>
      </c>
      <c r="E122" s="284"/>
      <c r="F122" s="285"/>
      <c r="G122" s="284"/>
      <c r="H122" s="289"/>
      <c r="I122" s="48" t="s">
        <v>141</v>
      </c>
      <c r="J122" s="52">
        <f>(IF(B113&gt;3,(H113/(B113+2)+J121),0))</f>
        <v>0</v>
      </c>
      <c r="K122" s="30"/>
      <c r="L122" s="30"/>
      <c r="M122" s="30"/>
      <c r="N122" s="30"/>
      <c r="O122" s="30"/>
      <c r="P122" s="30"/>
    </row>
    <row r="123" spans="1:16" ht="15.75" customHeight="1" x14ac:dyDescent="0.25">
      <c r="A123" s="279" t="s">
        <v>135</v>
      </c>
      <c r="B123" s="280"/>
      <c r="C123" s="90">
        <v>0</v>
      </c>
      <c r="D123" s="91">
        <f ca="1">((100/H113)*C123)/100</f>
        <v>0</v>
      </c>
      <c r="E123" s="284"/>
      <c r="F123" s="285"/>
      <c r="G123" s="284"/>
      <c r="H123" s="289"/>
      <c r="I123" s="48" t="s">
        <v>142</v>
      </c>
      <c r="J123" s="51">
        <f>(IF(B113&gt;4,(H113/(B113+2)+J122),0))</f>
        <v>0</v>
      </c>
      <c r="K123" s="30"/>
      <c r="L123" s="30"/>
      <c r="M123" s="30"/>
      <c r="N123" s="30"/>
      <c r="O123" s="30"/>
      <c r="P123" s="30"/>
    </row>
    <row r="124" spans="1:16" ht="15.75" customHeight="1" x14ac:dyDescent="0.25">
      <c r="A124" s="279" t="s">
        <v>130</v>
      </c>
      <c r="B124" s="280" t="s">
        <v>130</v>
      </c>
      <c r="C124" s="90">
        <v>0</v>
      </c>
      <c r="D124" s="91">
        <f ca="1">((100/(H113))*C124)/100</f>
        <v>0</v>
      </c>
      <c r="E124" s="284"/>
      <c r="F124" s="285"/>
      <c r="G124" s="284"/>
      <c r="H124" s="289"/>
      <c r="I124" s="48" t="s">
        <v>144</v>
      </c>
      <c r="J124" s="51">
        <f ca="1">(IF(B113=1,(H113/(B113+3)+J119),IF(B113=0,(H113/4+J119),IF(B113&gt;1,0))))</f>
        <v>15</v>
      </c>
      <c r="K124" s="30"/>
      <c r="L124" s="30"/>
      <c r="M124" s="30"/>
      <c r="N124" s="30"/>
      <c r="O124" s="30"/>
      <c r="P124" s="30"/>
    </row>
    <row r="125" spans="1:16" ht="16.5" thickBot="1" x14ac:dyDescent="0.3">
      <c r="A125" s="291" t="s">
        <v>131</v>
      </c>
      <c r="B125" s="292"/>
      <c r="C125" s="92">
        <v>0</v>
      </c>
      <c r="D125" s="93">
        <f ca="1">((100/(H113))*C125)/100</f>
        <v>0</v>
      </c>
      <c r="E125" s="286"/>
      <c r="F125" s="287"/>
      <c r="G125" s="286"/>
      <c r="H125" s="290"/>
      <c r="I125" s="54" t="s">
        <v>102</v>
      </c>
      <c r="J125" s="55">
        <f ca="1">(IF(B113&gt;1.5,(H113/(B113+2)+J119+MAX(0,J120-J119)+MAX(0,J121-J120)+MAX(0,J122-J121)+MAX(0,J123-J122)+MAX(0,J124-J123)),IF(B113=1,(H113/(B113+3)+J124),IF(B113=0,H113/4+J124))))</f>
        <v>20</v>
      </c>
      <c r="K125" s="30"/>
      <c r="L125" s="30"/>
      <c r="M125" s="30"/>
      <c r="N125" s="30"/>
      <c r="O125" s="30"/>
      <c r="P125" s="30"/>
    </row>
    <row r="126" spans="1:16" ht="15.75" customHeight="1" x14ac:dyDescent="0.25">
      <c r="A126" s="179" t="s">
        <v>137</v>
      </c>
      <c r="B126" s="180"/>
      <c r="C126" s="181" t="s">
        <v>303</v>
      </c>
      <c r="D126" s="182"/>
      <c r="E126" s="182"/>
      <c r="F126" s="182"/>
      <c r="G126" s="182"/>
      <c r="H126" s="183"/>
      <c r="I126" s="39" t="str">
        <f ca="1">IF(D139=100%,"All work Completed. Possession granted to the Building.",IF(D138=100%,"All work Completed, Waiting for OC",I127&amp;""&amp;I128&amp;""&amp;J127&amp;""&amp;J126&amp;" "&amp;J128))</f>
        <v>Excavation, Plinth, RCC Slab, Brickwork Completed, Internal Plaster upto 18 Floor, External Plaster upto 11 Floor Completed</v>
      </c>
      <c r="J126" s="40" t="str">
        <f ca="1">(IF(C132=(D127+F127+H127),"",IF(C132&gt;0,", RCC upto "&amp;C132&amp;" Slab","")))&amp;(IF(C133=H127,"",IF(C133&gt;0,", Brickwork upto "&amp;C133&amp;" Floor","")))&amp;(IF(C134=H127,"",IF(C134&gt;0,", Internal Plaster upto "&amp;C134&amp;" Floor","")))&amp;(IF(C135=H127,"",IF(C135&gt;0,", External Plaster upto "&amp;C135&amp;" Floor","")))&amp;(IF(C136=H127,"",IF(C136&gt;0,", Flooring upto "&amp;C136&amp;" Floor","")))&amp;(IF(C137=H127,"",IF(C137&gt;0,", Painting upto "&amp;C137&amp;" Floor","")))&amp;(IF(C138=H127,"",IF(C138&gt;0,", Finishing upto "&amp;C138&amp;" Floor","")))&amp;(IF(C139=H127,"",IF(C139&gt;0,", Possession upto "&amp;C139&amp;" Floor","")))</f>
        <v>, Internal Plaster upto 18 Floor, External Plaster upto 11 Floor</v>
      </c>
      <c r="K126" s="30"/>
      <c r="L126" s="30"/>
      <c r="M126" s="30"/>
      <c r="N126" s="30"/>
      <c r="O126" s="30"/>
      <c r="P126" s="30"/>
    </row>
    <row r="127" spans="1:16" x14ac:dyDescent="0.25">
      <c r="A127" s="41" t="s">
        <v>139</v>
      </c>
      <c r="B127" s="42">
        <f>IF(AND(ISNUMBER(SEARCH("1B",C126))),1,IF(AND(ISNUMBER(SEARCH("2B",C126))),2,IF(AND(ISNUMBER(SEARCH("3B",C126))),3,IF(AND(ISNUMBER(SEARCH("4B",C126))),4,IF(ISNUMBER(SEARCH("5B",C126)),5,0)))))</f>
        <v>0</v>
      </c>
      <c r="C127" s="42" t="s">
        <v>72</v>
      </c>
      <c r="D127" s="42">
        <v>1</v>
      </c>
      <c r="E127" s="42" t="s">
        <v>71</v>
      </c>
      <c r="F127" s="43">
        <v>0</v>
      </c>
      <c r="G127" s="57" t="s">
        <v>79</v>
      </c>
      <c r="H127" s="58">
        <f ca="1">--TRIM(RIGHT(SUBSTITUTE(LEFT(C126,_xlfn.AGGREGATE(16,6,FIND({0,1,2,3,4,5,6,7,8,9},C126,ROW(INDIRECT("1:"&amp;LEN(C126)))),1))," ",REPT(" ",LEN(C126))),LEN(C126)))</f>
        <v>20</v>
      </c>
      <c r="I127" s="45" t="str">
        <f ca="1">IF(D130=100%,"Excavation","")&amp;IF(D131=100%,", Plinth","")&amp;IF(D132=100%,", RCC Slab","")&amp;IF(D133=100%,", Brickwork","")&amp;IF(D134=100%,", Internal Plaster","")&amp;IF(D135=100%,", External Plaster","")&amp;IF(D136=100%,", Flooring","")&amp;IF(D137=100%,", Painting","")&amp;IF(D138=100%,", Building common Amenities","")</f>
        <v>Excavation, Plinth, RCC Slab, Brickwork</v>
      </c>
      <c r="J127" s="46" t="str">
        <f ca="1">(IF(C130=0,"Work not yet Started.",IF(D130=25%,"Piling work in process",IF(D130=50%,"Excavation work in process",IF(D130=100%,"","0")))))&amp;(IF(C131=0%,"",IF(C131=J132,", Footing work is process",IF(C131=J133,", Footing work Completed",IF(C131=J134,", 1st Basement Completed",IF(C131=J135,", 1st &amp; 2nd Basement Completed",IF(C131=J136,", 1st to 3rd Basement Completed",IF(C131=J137,", 1st to 4th Basement Completed",IF(C131=J138,", Plinth work is process",IF(C131=J139,"","0"))))))))))</f>
        <v/>
      </c>
      <c r="K127" s="30"/>
      <c r="L127" s="30"/>
      <c r="M127" s="30"/>
      <c r="N127" s="30"/>
      <c r="O127" s="30"/>
      <c r="P127" s="30"/>
    </row>
    <row r="128" spans="1:16" ht="32.1" customHeight="1" x14ac:dyDescent="0.25">
      <c r="A128" s="235" t="s">
        <v>89</v>
      </c>
      <c r="B128" s="221"/>
      <c r="C128" s="236" t="str">
        <f ca="1">(IF($G$53="NA",I126,"All work Completed. OC Received."))</f>
        <v>Excavation, Plinth, RCC Slab, Brickwork Completed, Internal Plaster upto 18 Floor, External Plaster upto 11 Floor Completed</v>
      </c>
      <c r="D128" s="236"/>
      <c r="E128" s="236"/>
      <c r="F128" s="236"/>
      <c r="G128" s="236"/>
      <c r="H128" s="237"/>
      <c r="I128" s="45" t="str">
        <f ca="1">IF(I127&lt;&gt;""," Completed","")</f>
        <v xml:space="preserve"> Completed</v>
      </c>
      <c r="J128" s="46" t="str">
        <f ca="1">IF(J126&lt;&gt;"","Completed","")</f>
        <v>Completed</v>
      </c>
      <c r="K128" s="30"/>
      <c r="L128" s="30"/>
      <c r="M128" s="30"/>
      <c r="N128" s="30"/>
      <c r="O128" s="30"/>
      <c r="P128" s="30"/>
    </row>
    <row r="129" spans="1:16" ht="15.75" customHeight="1" x14ac:dyDescent="0.25">
      <c r="A129" s="184" t="s">
        <v>49</v>
      </c>
      <c r="B129" s="185"/>
      <c r="C129" s="47" t="s">
        <v>136</v>
      </c>
      <c r="D129" s="47" t="s">
        <v>82</v>
      </c>
      <c r="E129" s="185" t="s">
        <v>84</v>
      </c>
      <c r="F129" s="185"/>
      <c r="G129" s="185" t="s">
        <v>83</v>
      </c>
      <c r="H129" s="252"/>
      <c r="I129" s="48" t="s">
        <v>138</v>
      </c>
      <c r="J129" s="49">
        <f ca="1">H127*25%</f>
        <v>5</v>
      </c>
      <c r="K129" s="30"/>
      <c r="L129" s="30"/>
      <c r="M129" s="30"/>
      <c r="N129" s="30"/>
      <c r="O129" s="30"/>
      <c r="P129" s="30"/>
    </row>
    <row r="130" spans="1:16" x14ac:dyDescent="0.25">
      <c r="A130" s="184" t="s">
        <v>125</v>
      </c>
      <c r="B130" s="185"/>
      <c r="C130" s="47">
        <f ca="1">J131</f>
        <v>20</v>
      </c>
      <c r="D130" s="14">
        <f ca="1">((100/H127)*C130)/100</f>
        <v>1</v>
      </c>
      <c r="E130" s="205">
        <f ca="1">(((C131/H127*10)+(40/(D127+F127+H127)*C132)+(7.5/(H127)*C133)+(7.5/(H127)*C134)+(10/H127*C135)+(10/H127*C136)+(5/H127*C137)+(5/H127*C138)+(5/H127*C139))/100)</f>
        <v>0.69750000000000001</v>
      </c>
      <c r="F130" s="206"/>
      <c r="G130" s="205">
        <f ca="1">((((C130/H127)*20)+((C131/H127)*25)+(30/(H127+F127+D127)*C132)+(5/H127*C133)+(5/H127*C134)+(5/H127*C135)+(5/H127*C136)+(0/H127*C137)+(0/H127*C138)+(5/H127*C139))/100)</f>
        <v>0.87250000000000005</v>
      </c>
      <c r="H130" s="228"/>
      <c r="I130" s="48" t="s">
        <v>98</v>
      </c>
      <c r="J130" s="50">
        <f ca="1">H127*50%</f>
        <v>10</v>
      </c>
      <c r="K130" s="30"/>
      <c r="L130" s="30"/>
      <c r="M130" s="30"/>
      <c r="N130" s="30"/>
      <c r="O130" s="30"/>
      <c r="P130" s="30"/>
    </row>
    <row r="131" spans="1:16" x14ac:dyDescent="0.25">
      <c r="A131" s="184" t="s">
        <v>50</v>
      </c>
      <c r="B131" s="185"/>
      <c r="C131" s="56">
        <f ca="1">J139</f>
        <v>20</v>
      </c>
      <c r="D131" s="14">
        <f ca="1">((100/H127)*C131)/100</f>
        <v>1</v>
      </c>
      <c r="E131" s="207"/>
      <c r="F131" s="208"/>
      <c r="G131" s="207"/>
      <c r="H131" s="229"/>
      <c r="I131" s="48" t="s">
        <v>99</v>
      </c>
      <c r="J131" s="50">
        <f ca="1">H127</f>
        <v>20</v>
      </c>
      <c r="K131" s="30"/>
      <c r="L131" s="30"/>
      <c r="M131" s="30"/>
      <c r="N131" s="30"/>
      <c r="O131" s="30"/>
      <c r="P131" s="30"/>
    </row>
    <row r="132" spans="1:16" ht="15.75" customHeight="1" x14ac:dyDescent="0.25">
      <c r="A132" s="184" t="s">
        <v>126</v>
      </c>
      <c r="B132" s="185"/>
      <c r="C132" s="47">
        <v>21</v>
      </c>
      <c r="D132" s="14">
        <f ca="1">((100/(D127+F127+H127))*C132)/100</f>
        <v>1</v>
      </c>
      <c r="E132" s="207"/>
      <c r="F132" s="208"/>
      <c r="G132" s="207"/>
      <c r="H132" s="229"/>
      <c r="I132" s="48" t="s">
        <v>100</v>
      </c>
      <c r="J132" s="51">
        <f ca="1">(IF(B127&gt;1,(H127/(B127+2)),H127/4))</f>
        <v>5</v>
      </c>
      <c r="K132" s="30"/>
      <c r="L132" s="30"/>
      <c r="M132" s="30"/>
      <c r="N132" s="30"/>
      <c r="O132" s="30"/>
      <c r="P132" s="30"/>
    </row>
    <row r="133" spans="1:16" ht="15.75" customHeight="1" x14ac:dyDescent="0.25">
      <c r="A133" s="184" t="s">
        <v>133</v>
      </c>
      <c r="B133" s="185" t="s">
        <v>127</v>
      </c>
      <c r="C133" s="47">
        <v>20</v>
      </c>
      <c r="D133" s="14">
        <f ca="1">((100/H127)*C133)/100</f>
        <v>1</v>
      </c>
      <c r="E133" s="207"/>
      <c r="F133" s="208"/>
      <c r="G133" s="207"/>
      <c r="H133" s="229"/>
      <c r="I133" s="48" t="s">
        <v>101</v>
      </c>
      <c r="J133" s="51">
        <f ca="1">(IF(B127&gt;1,(H127/(B127+2)+J132),H127/4+J132))</f>
        <v>10</v>
      </c>
      <c r="K133" s="30"/>
      <c r="L133" s="30"/>
      <c r="M133" s="30"/>
      <c r="N133" s="30"/>
      <c r="O133" s="30"/>
      <c r="P133" s="30"/>
    </row>
    <row r="134" spans="1:16" ht="15.75" customHeight="1" x14ac:dyDescent="0.25">
      <c r="A134" s="184" t="s">
        <v>134</v>
      </c>
      <c r="B134" s="185" t="s">
        <v>127</v>
      </c>
      <c r="C134" s="47">
        <v>18</v>
      </c>
      <c r="D134" s="14">
        <f ca="1">((100/H127)*C134)/100</f>
        <v>0.9</v>
      </c>
      <c r="E134" s="207"/>
      <c r="F134" s="208"/>
      <c r="G134" s="207"/>
      <c r="H134" s="229"/>
      <c r="I134" s="48" t="s">
        <v>143</v>
      </c>
      <c r="J134" s="51">
        <f>(IF(B127&gt;1,(H127/(B127+2)+J133),0))</f>
        <v>0</v>
      </c>
      <c r="K134" s="30"/>
      <c r="L134" s="30"/>
      <c r="M134" s="30"/>
      <c r="N134" s="30"/>
      <c r="O134" s="30"/>
      <c r="P134" s="30"/>
    </row>
    <row r="135" spans="1:16" ht="15" customHeight="1" x14ac:dyDescent="0.25">
      <c r="A135" s="184" t="s">
        <v>132</v>
      </c>
      <c r="B135" s="185" t="s">
        <v>129</v>
      </c>
      <c r="C135" s="47">
        <v>11</v>
      </c>
      <c r="D135" s="14">
        <f ca="1">((100/(H127))*C135)/100</f>
        <v>0.55000000000000004</v>
      </c>
      <c r="E135" s="207"/>
      <c r="F135" s="208"/>
      <c r="G135" s="207"/>
      <c r="H135" s="229"/>
      <c r="I135" s="48" t="s">
        <v>140</v>
      </c>
      <c r="J135" s="51">
        <f>(IF(B127&gt;2,(H127/(B127+2)+J134),0))</f>
        <v>0</v>
      </c>
      <c r="K135" s="30"/>
      <c r="L135" s="30"/>
      <c r="M135" s="30"/>
      <c r="N135" s="30"/>
      <c r="O135" s="30"/>
      <c r="P135" s="30"/>
    </row>
    <row r="136" spans="1:16" ht="15.75" customHeight="1" x14ac:dyDescent="0.25">
      <c r="A136" s="184" t="s">
        <v>128</v>
      </c>
      <c r="B136" s="185" t="s">
        <v>128</v>
      </c>
      <c r="C136" s="47">
        <v>0</v>
      </c>
      <c r="D136" s="14">
        <f ca="1">((100/H127)*C136)/100</f>
        <v>0</v>
      </c>
      <c r="E136" s="207"/>
      <c r="F136" s="208"/>
      <c r="G136" s="207"/>
      <c r="H136" s="229"/>
      <c r="I136" s="48" t="s">
        <v>141</v>
      </c>
      <c r="J136" s="52">
        <f>(IF(B127&gt;3,(H127/(B127+2)+J135),0))</f>
        <v>0</v>
      </c>
      <c r="K136" s="30"/>
      <c r="L136" s="30"/>
      <c r="M136" s="30"/>
      <c r="N136" s="30"/>
      <c r="O136" s="30"/>
      <c r="P136" s="30"/>
    </row>
    <row r="137" spans="1:16" ht="15.75" customHeight="1" x14ac:dyDescent="0.25">
      <c r="A137" s="184" t="s">
        <v>135</v>
      </c>
      <c r="B137" s="185"/>
      <c r="C137" s="47">
        <v>0</v>
      </c>
      <c r="D137" s="14">
        <f ca="1">((100/H127)*C137)/100</f>
        <v>0</v>
      </c>
      <c r="E137" s="207"/>
      <c r="F137" s="208"/>
      <c r="G137" s="207"/>
      <c r="H137" s="229"/>
      <c r="I137" s="48" t="s">
        <v>142</v>
      </c>
      <c r="J137" s="51">
        <f>(IF(B127&gt;4,(H127/(B127+2)+J136),0))</f>
        <v>0</v>
      </c>
      <c r="K137" s="30"/>
      <c r="L137" s="30"/>
      <c r="M137" s="30"/>
      <c r="N137" s="30"/>
      <c r="O137" s="30"/>
      <c r="P137" s="30"/>
    </row>
    <row r="138" spans="1:16" ht="15.75" customHeight="1" x14ac:dyDescent="0.25">
      <c r="A138" s="184" t="s">
        <v>130</v>
      </c>
      <c r="B138" s="185" t="s">
        <v>130</v>
      </c>
      <c r="C138" s="47">
        <v>0</v>
      </c>
      <c r="D138" s="14">
        <f ca="1">((100/(H127))*C138)/100</f>
        <v>0</v>
      </c>
      <c r="E138" s="207"/>
      <c r="F138" s="208"/>
      <c r="G138" s="207"/>
      <c r="H138" s="229"/>
      <c r="I138" s="48" t="s">
        <v>144</v>
      </c>
      <c r="J138" s="51">
        <f ca="1">(IF(B127=1,(H127/(B127+3)+J133),IF(B127=0,(H127/4+J133),IF(B127&gt;1,0))))</f>
        <v>15</v>
      </c>
      <c r="K138" s="30"/>
      <c r="L138" s="30"/>
      <c r="M138" s="30"/>
      <c r="N138" s="30"/>
      <c r="O138" s="30"/>
      <c r="P138" s="30"/>
    </row>
    <row r="139" spans="1:16" ht="16.5" thickBot="1" x14ac:dyDescent="0.3">
      <c r="A139" s="201" t="s">
        <v>131</v>
      </c>
      <c r="B139" s="202"/>
      <c r="C139" s="53">
        <v>0</v>
      </c>
      <c r="D139" s="15">
        <f ca="1">((100/(H127))*C139)/100</f>
        <v>0</v>
      </c>
      <c r="E139" s="209"/>
      <c r="F139" s="210"/>
      <c r="G139" s="209"/>
      <c r="H139" s="230"/>
      <c r="I139" s="54" t="s">
        <v>102</v>
      </c>
      <c r="J139" s="55">
        <f ca="1">(IF(B127&gt;1.5,(H127/(B127+2)+J133+MAX(0,J134-J133)+MAX(0,J135-J134)+MAX(0,J136-J135)+MAX(0,J137-J136)+MAX(0,J138-J137)),IF(B127=1,(H127/(B127+3)+J138),IF(B127=0,H127/4+J138))))</f>
        <v>20</v>
      </c>
      <c r="K139" s="30"/>
      <c r="L139" s="30"/>
      <c r="M139" s="30"/>
      <c r="N139" s="30"/>
      <c r="O139" s="30"/>
      <c r="P139" s="30"/>
    </row>
    <row r="140" spans="1:16" x14ac:dyDescent="0.25">
      <c r="A140" s="266" t="s">
        <v>154</v>
      </c>
      <c r="B140" s="266"/>
      <c r="C140" s="266"/>
      <c r="D140" s="266"/>
      <c r="E140" s="266"/>
      <c r="F140" s="214" t="s">
        <v>158</v>
      </c>
      <c r="G140" s="214"/>
      <c r="H140" s="214"/>
      <c r="I140" s="30"/>
      <c r="J140" s="30"/>
      <c r="K140" s="30"/>
      <c r="L140" s="30"/>
      <c r="M140" s="30"/>
      <c r="N140" s="30"/>
      <c r="O140" s="30"/>
      <c r="P140" s="30"/>
    </row>
    <row r="141" spans="1:16" x14ac:dyDescent="0.25">
      <c r="A141" s="158" t="s">
        <v>156</v>
      </c>
      <c r="B141" s="158"/>
      <c r="C141" s="158"/>
      <c r="D141" s="158"/>
      <c r="E141" s="158"/>
      <c r="F141" s="155">
        <v>16500</v>
      </c>
      <c r="G141" s="155"/>
      <c r="H141" s="155"/>
      <c r="I141" s="30"/>
      <c r="J141" s="30"/>
      <c r="K141" s="30"/>
      <c r="L141" s="30"/>
      <c r="M141" s="30"/>
      <c r="N141" s="30"/>
      <c r="O141" s="30"/>
      <c r="P141" s="30"/>
    </row>
    <row r="142" spans="1:16" x14ac:dyDescent="0.25">
      <c r="A142" s="158" t="s">
        <v>155</v>
      </c>
      <c r="B142" s="158"/>
      <c r="C142" s="158"/>
      <c r="D142" s="158"/>
      <c r="E142" s="158"/>
      <c r="F142" s="155">
        <v>34000</v>
      </c>
      <c r="G142" s="155"/>
      <c r="H142" s="155"/>
      <c r="I142" s="30"/>
      <c r="J142" s="30"/>
      <c r="K142" s="30"/>
      <c r="L142" s="30"/>
      <c r="M142" s="30"/>
      <c r="N142" s="30"/>
      <c r="O142" s="30"/>
      <c r="P142" s="30"/>
    </row>
    <row r="143" spans="1:16" x14ac:dyDescent="0.25">
      <c r="A143" s="158" t="s">
        <v>157</v>
      </c>
      <c r="B143" s="158"/>
      <c r="C143" s="158"/>
      <c r="D143" s="158"/>
      <c r="E143" s="158"/>
      <c r="F143" s="155">
        <v>30000</v>
      </c>
      <c r="G143" s="155"/>
      <c r="H143" s="155"/>
      <c r="I143" s="30"/>
      <c r="J143" s="30"/>
      <c r="K143" s="30">
        <f>17*2</f>
        <v>34</v>
      </c>
      <c r="L143" s="30"/>
      <c r="M143" s="30"/>
      <c r="N143" s="30"/>
      <c r="O143" s="30"/>
      <c r="P143" s="30"/>
    </row>
    <row r="144" spans="1:16" s="19" customFormat="1" hidden="1" x14ac:dyDescent="0.25">
      <c r="A144" s="158" t="s">
        <v>173</v>
      </c>
      <c r="B144" s="158"/>
      <c r="C144" s="158"/>
      <c r="D144" s="158"/>
      <c r="E144" s="158"/>
      <c r="F144" s="155"/>
      <c r="G144" s="155"/>
      <c r="H144" s="155"/>
      <c r="I144" s="59"/>
      <c r="J144" s="59"/>
      <c r="K144" s="59"/>
      <c r="L144" s="59"/>
      <c r="M144" s="59"/>
      <c r="N144" s="59"/>
      <c r="O144" s="59"/>
      <c r="P144" s="59"/>
    </row>
    <row r="145" spans="1:16" s="19" customFormat="1" x14ac:dyDescent="0.25">
      <c r="A145" s="158" t="s">
        <v>94</v>
      </c>
      <c r="B145" s="158"/>
      <c r="C145" s="158"/>
      <c r="D145" s="158"/>
      <c r="E145" s="158"/>
      <c r="F145" s="155">
        <v>800000</v>
      </c>
      <c r="G145" s="155"/>
      <c r="H145" s="155"/>
      <c r="I145" s="59"/>
      <c r="J145" s="59"/>
      <c r="K145" s="59"/>
      <c r="L145" s="59"/>
      <c r="M145" s="59"/>
      <c r="N145" s="59"/>
      <c r="O145" s="59"/>
      <c r="P145" s="59"/>
    </row>
    <row r="146" spans="1:16" s="19" customFormat="1" x14ac:dyDescent="0.25">
      <c r="A146" s="158" t="s">
        <v>316</v>
      </c>
      <c r="B146" s="158"/>
      <c r="C146" s="158"/>
      <c r="D146" s="158"/>
      <c r="E146" s="158"/>
      <c r="F146" s="155">
        <v>300000</v>
      </c>
      <c r="G146" s="155"/>
      <c r="H146" s="155"/>
      <c r="I146" s="59"/>
      <c r="J146" s="59"/>
      <c r="K146" s="59"/>
      <c r="L146" s="59"/>
      <c r="M146" s="59"/>
      <c r="N146" s="59"/>
      <c r="O146" s="59"/>
      <c r="P146" s="59"/>
    </row>
    <row r="147" spans="1:16" s="19" customFormat="1" hidden="1" x14ac:dyDescent="0.25">
      <c r="A147" s="158" t="s">
        <v>95</v>
      </c>
      <c r="B147" s="158"/>
      <c r="C147" s="158"/>
      <c r="D147" s="158"/>
      <c r="E147" s="158"/>
      <c r="F147" s="155"/>
      <c r="G147" s="155"/>
      <c r="H147" s="155"/>
      <c r="I147" s="59"/>
      <c r="J147" s="59"/>
      <c r="K147" s="59"/>
      <c r="L147" s="59"/>
      <c r="M147" s="59"/>
      <c r="N147" s="59"/>
      <c r="O147" s="59"/>
      <c r="P147" s="59"/>
    </row>
    <row r="148" spans="1:16" s="19" customFormat="1" hidden="1" x14ac:dyDescent="0.25">
      <c r="A148" s="158" t="s">
        <v>96</v>
      </c>
      <c r="B148" s="158"/>
      <c r="C148" s="158"/>
      <c r="D148" s="158"/>
      <c r="E148" s="158"/>
      <c r="F148" s="155"/>
      <c r="G148" s="155"/>
      <c r="H148" s="155"/>
      <c r="I148" s="59"/>
      <c r="J148" s="59"/>
      <c r="K148" s="59"/>
      <c r="L148" s="59"/>
      <c r="M148" s="59"/>
      <c r="N148" s="59"/>
      <c r="O148" s="59"/>
      <c r="P148" s="59"/>
    </row>
    <row r="149" spans="1:16" s="19" customFormat="1" hidden="1" x14ac:dyDescent="0.25">
      <c r="A149" s="158" t="s">
        <v>97</v>
      </c>
      <c r="B149" s="158"/>
      <c r="C149" s="158"/>
      <c r="D149" s="158"/>
      <c r="E149" s="158"/>
      <c r="F149" s="155"/>
      <c r="G149" s="155"/>
      <c r="H149" s="155"/>
      <c r="I149" s="59"/>
      <c r="J149" s="59"/>
      <c r="K149" s="59"/>
      <c r="L149" s="59"/>
      <c r="M149" s="59"/>
      <c r="N149" s="59"/>
      <c r="O149" s="59"/>
      <c r="P149" s="59"/>
    </row>
    <row r="150" spans="1:16" s="19" customFormat="1" x14ac:dyDescent="0.25">
      <c r="A150" s="158" t="s">
        <v>315</v>
      </c>
      <c r="B150" s="158"/>
      <c r="C150" s="158"/>
      <c r="D150" s="158"/>
      <c r="E150" s="158"/>
      <c r="F150" s="155">
        <v>700000</v>
      </c>
      <c r="G150" s="155"/>
      <c r="H150" s="155"/>
      <c r="I150" s="59"/>
      <c r="J150" s="59"/>
      <c r="K150" s="59"/>
      <c r="L150" s="59"/>
      <c r="M150" s="59"/>
      <c r="N150" s="59"/>
      <c r="O150" s="59"/>
      <c r="P150" s="59"/>
    </row>
    <row r="151" spans="1:16" x14ac:dyDescent="0.25">
      <c r="A151" s="158" t="s">
        <v>51</v>
      </c>
      <c r="B151" s="158"/>
      <c r="C151" s="158"/>
      <c r="D151" s="158"/>
      <c r="E151" s="158"/>
      <c r="F151" s="155">
        <v>800000</v>
      </c>
      <c r="G151" s="155"/>
      <c r="H151" s="155"/>
      <c r="I151" s="30"/>
      <c r="J151" s="30"/>
      <c r="K151" s="30"/>
      <c r="L151" s="30"/>
      <c r="M151" s="30"/>
      <c r="N151" s="30"/>
      <c r="O151" s="30"/>
      <c r="P151" s="30"/>
    </row>
    <row r="152" spans="1:16" s="20" customFormat="1" x14ac:dyDescent="0.25">
      <c r="A152" s="219" t="s">
        <v>52</v>
      </c>
      <c r="B152" s="219"/>
      <c r="C152" s="219"/>
      <c r="D152" s="219"/>
      <c r="E152" s="219"/>
      <c r="F152" s="155">
        <f>F141*0.8</f>
        <v>13200</v>
      </c>
      <c r="G152" s="155"/>
      <c r="H152" s="155"/>
      <c r="I152" s="60"/>
      <c r="J152" s="60"/>
      <c r="K152" s="60"/>
      <c r="L152" s="60"/>
      <c r="M152" s="60"/>
      <c r="N152" s="60"/>
      <c r="O152" s="60"/>
      <c r="P152" s="60"/>
    </row>
    <row r="153" spans="1:16" s="21" customFormat="1" ht="15.75" customHeight="1" x14ac:dyDescent="0.25">
      <c r="A153" s="218" t="s">
        <v>288</v>
      </c>
      <c r="B153" s="218"/>
      <c r="C153" s="218"/>
      <c r="D153" s="218"/>
      <c r="E153" s="218"/>
      <c r="F153" s="218"/>
      <c r="G153" s="218"/>
      <c r="H153" s="218"/>
      <c r="I153" s="61"/>
      <c r="J153" s="61"/>
      <c r="K153" s="61"/>
      <c r="L153" s="61"/>
      <c r="M153" s="61"/>
      <c r="N153" s="61"/>
      <c r="O153" s="61"/>
      <c r="P153" s="61"/>
    </row>
    <row r="154" spans="1:16" s="21" customFormat="1" ht="15.75" customHeight="1" x14ac:dyDescent="0.25">
      <c r="A154" s="157" t="s">
        <v>53</v>
      </c>
      <c r="B154" s="157"/>
      <c r="C154" s="163" t="s">
        <v>77</v>
      </c>
      <c r="D154" s="163"/>
      <c r="E154" s="162" t="s">
        <v>54</v>
      </c>
      <c r="F154" s="162"/>
      <c r="G154" s="157" t="s">
        <v>55</v>
      </c>
      <c r="H154" s="157"/>
      <c r="I154" s="61"/>
      <c r="J154" s="61"/>
      <c r="K154" s="61"/>
      <c r="L154" s="61"/>
      <c r="M154" s="61"/>
      <c r="N154" s="61"/>
      <c r="O154" s="61"/>
      <c r="P154" s="61"/>
    </row>
    <row r="155" spans="1:16" s="21" customFormat="1" ht="15.75" customHeight="1" x14ac:dyDescent="0.25">
      <c r="A155" s="62" t="s">
        <v>254</v>
      </c>
      <c r="B155" s="63" t="s">
        <v>251</v>
      </c>
      <c r="C155" s="112">
        <f>COUNT(D175:D179)</f>
        <v>5</v>
      </c>
      <c r="D155" s="112"/>
      <c r="E155" s="114">
        <f>SUM(D175:D179)</f>
        <v>12369.450599999998</v>
      </c>
      <c r="F155" s="114"/>
      <c r="G155" s="114">
        <f>SUM(F175:F179)</f>
        <v>19791.12096</v>
      </c>
      <c r="H155" s="114"/>
      <c r="I155" s="61"/>
      <c r="J155" s="61"/>
      <c r="K155" s="61"/>
      <c r="L155" s="61"/>
      <c r="M155" s="61"/>
      <c r="N155" s="61"/>
      <c r="O155" s="61"/>
      <c r="P155" s="61"/>
    </row>
    <row r="156" spans="1:16" s="21" customFormat="1" ht="15.75" customHeight="1" x14ac:dyDescent="0.25">
      <c r="A156" s="105" t="s">
        <v>255</v>
      </c>
      <c r="B156" s="63" t="s">
        <v>251</v>
      </c>
      <c r="C156" s="112">
        <f>COUNT(D188:D214)+COUNT(D217)</f>
        <v>28</v>
      </c>
      <c r="D156" s="113"/>
      <c r="E156" s="114">
        <f>SUM(D188:D214)+SUM(D217)</f>
        <v>9632.4883200000004</v>
      </c>
      <c r="F156" s="115"/>
      <c r="G156" s="114">
        <f>SUM(F188:F214)+SUM(F217)</f>
        <v>15249.401855999999</v>
      </c>
      <c r="H156" s="115"/>
      <c r="I156" s="61"/>
      <c r="J156" s="61">
        <f>33-1</f>
        <v>32</v>
      </c>
      <c r="K156" s="61">
        <f>28+5</f>
        <v>33</v>
      </c>
      <c r="L156" s="61"/>
      <c r="M156" s="61"/>
      <c r="N156" s="61"/>
      <c r="O156" s="61"/>
      <c r="P156" s="61"/>
    </row>
    <row r="157" spans="1:16" s="21" customFormat="1" ht="15.75" customHeight="1" x14ac:dyDescent="0.25">
      <c r="A157" s="105"/>
      <c r="B157" s="63" t="s">
        <v>257</v>
      </c>
      <c r="C157" s="112">
        <f>COUNT(D216)</f>
        <v>1</v>
      </c>
      <c r="D157" s="113"/>
      <c r="E157" s="114">
        <f>SUM(D216)</f>
        <v>1881.7624799999999</v>
      </c>
      <c r="F157" s="115"/>
      <c r="G157" s="114">
        <f>SUM(F216)</f>
        <v>3010.8199679999998</v>
      </c>
      <c r="H157" s="115"/>
      <c r="I157" s="61"/>
      <c r="J157" s="61"/>
      <c r="K157" s="61"/>
      <c r="L157" s="61"/>
      <c r="M157" s="61"/>
      <c r="N157" s="61"/>
      <c r="O157" s="61"/>
      <c r="P157" s="61"/>
    </row>
    <row r="158" spans="1:16" s="21" customFormat="1" ht="15.75" customHeight="1" x14ac:dyDescent="0.25">
      <c r="A158" s="62" t="s">
        <v>253</v>
      </c>
      <c r="B158" s="63" t="s">
        <v>257</v>
      </c>
      <c r="C158" s="112">
        <f>COUNT(D220)+COUNT(D222:D229)</f>
        <v>9</v>
      </c>
      <c r="D158" s="113"/>
      <c r="E158" s="114">
        <f>SUM(D220)+SUM(D222:D229)</f>
        <v>8248.7761199999986</v>
      </c>
      <c r="F158" s="115"/>
      <c r="G158" s="114">
        <f>SUM(F220)+SUM(F222:F229)</f>
        <v>13198.041792</v>
      </c>
      <c r="H158" s="115"/>
      <c r="I158" s="61"/>
      <c r="J158" s="61"/>
      <c r="K158" s="61"/>
      <c r="L158" s="61"/>
      <c r="M158" s="61"/>
      <c r="N158" s="61"/>
      <c r="O158" s="61"/>
      <c r="P158" s="61"/>
    </row>
    <row r="159" spans="1:16" s="21" customFormat="1" x14ac:dyDescent="0.25">
      <c r="A159" s="218" t="s">
        <v>147</v>
      </c>
      <c r="B159" s="218"/>
      <c r="C159" s="254">
        <f>SUM(C155:D158)</f>
        <v>43</v>
      </c>
      <c r="D159" s="163"/>
      <c r="E159" s="255">
        <f>SUM(E155:F158)</f>
        <v>32132.47752</v>
      </c>
      <c r="F159" s="162"/>
      <c r="G159" s="157">
        <f>SUM(G155:H158)</f>
        <v>51249.384575999997</v>
      </c>
      <c r="H159" s="157"/>
      <c r="I159" s="61"/>
      <c r="J159" s="61"/>
      <c r="K159" s="61"/>
      <c r="L159" s="61"/>
      <c r="M159" s="61"/>
      <c r="N159" s="61"/>
      <c r="O159" s="61"/>
      <c r="P159" s="61"/>
    </row>
    <row r="160" spans="1:16" s="21" customFormat="1" x14ac:dyDescent="0.25">
      <c r="A160" s="218" t="s">
        <v>70</v>
      </c>
      <c r="B160" s="218"/>
      <c r="C160" s="218"/>
      <c r="D160" s="218"/>
      <c r="E160" s="218"/>
      <c r="F160" s="218"/>
      <c r="G160" s="218"/>
      <c r="H160" s="218"/>
      <c r="I160" s="61"/>
      <c r="J160" s="61"/>
      <c r="K160" s="61"/>
      <c r="L160" s="61"/>
      <c r="M160" s="61"/>
      <c r="N160" s="61"/>
      <c r="O160" s="61"/>
      <c r="P160" s="61"/>
    </row>
    <row r="161" spans="1:16" s="21" customFormat="1" ht="15.75" customHeight="1" x14ac:dyDescent="0.25">
      <c r="A161" s="157" t="s">
        <v>53</v>
      </c>
      <c r="B161" s="157"/>
      <c r="C161" s="163" t="s">
        <v>77</v>
      </c>
      <c r="D161" s="163"/>
      <c r="E161" s="162" t="s">
        <v>54</v>
      </c>
      <c r="F161" s="162"/>
      <c r="G161" s="157" t="s">
        <v>55</v>
      </c>
      <c r="H161" s="157"/>
      <c r="I161" s="61"/>
      <c r="J161" s="61"/>
      <c r="K161" s="61"/>
      <c r="L161" s="61"/>
      <c r="M161" s="61"/>
      <c r="N161" s="61"/>
      <c r="O161" s="61"/>
      <c r="P161" s="61"/>
    </row>
    <row r="162" spans="1:16" s="21" customFormat="1" ht="15.75" customHeight="1" x14ac:dyDescent="0.25">
      <c r="A162" s="116" t="s">
        <v>252</v>
      </c>
      <c r="B162" s="117"/>
      <c r="C162" s="118">
        <f>COUNT(D237:D238)*8+COUNT(D241)+COUNT(D244)+COUNT(D246:D247)*2+COUNT(D249:D250)*3</f>
        <v>28</v>
      </c>
      <c r="D162" s="119"/>
      <c r="E162" s="114">
        <f>SUM(D237:D238)*8+SUM(D241)+SUM(D244)+SUM(D246:D247)*2+SUM(D249:D250)*3</f>
        <v>63214.641593999986</v>
      </c>
      <c r="F162" s="114"/>
      <c r="G162" s="114">
        <f>SUM(F237:F238)*8+SUM(F241)+SUM(F244)+SUM(F246:F247)*2+SUM(F249:F250)*3</f>
        <v>101143.42655039999</v>
      </c>
      <c r="H162" s="114"/>
      <c r="I162" s="61"/>
      <c r="J162" s="61"/>
      <c r="K162" s="61"/>
      <c r="L162" s="61"/>
      <c r="M162" s="61"/>
      <c r="N162" s="61"/>
      <c r="O162" s="61"/>
      <c r="P162" s="61"/>
    </row>
    <row r="163" spans="1:16" s="21" customFormat="1" ht="15.75" customHeight="1" x14ac:dyDescent="0.25">
      <c r="A163" s="116" t="s">
        <v>270</v>
      </c>
      <c r="B163" s="117"/>
      <c r="C163" s="118">
        <f>COUNT(D253:D254)*13+COUNT(D256)+COUNT(D259)</f>
        <v>28</v>
      </c>
      <c r="D163" s="119"/>
      <c r="E163" s="114">
        <f>SUM(D253:D254)*13+SUM(D256)+SUM(D259)</f>
        <v>49038.964884000008</v>
      </c>
      <c r="F163" s="114"/>
      <c r="G163" s="114">
        <f>SUM(F253:F254)*13+SUM(F256)+SUM(F259)</f>
        <v>78462.343814400025</v>
      </c>
      <c r="H163" s="114"/>
      <c r="I163" s="61"/>
      <c r="J163" s="61"/>
      <c r="K163" s="61"/>
      <c r="L163" s="61"/>
      <c r="M163" s="61"/>
      <c r="N163" s="61"/>
      <c r="O163" s="61"/>
      <c r="P163" s="61"/>
    </row>
    <row r="164" spans="1:16" s="21" customFormat="1" ht="15.75" customHeight="1" x14ac:dyDescent="0.25">
      <c r="A164" s="116" t="s">
        <v>276</v>
      </c>
      <c r="B164" s="117"/>
      <c r="C164" s="118">
        <f>COUNT(D263:D264)*13+COUNT(D267)+COUNT(D270)</f>
        <v>28</v>
      </c>
      <c r="D164" s="119"/>
      <c r="E164" s="114">
        <f>SUM(D263:D264)*13+SUM(D267)+SUM(D270)</f>
        <v>44152.528679999996</v>
      </c>
      <c r="F164" s="114"/>
      <c r="G164" s="114">
        <f>SUM(F263:F264)*13+SUM(F267)+SUM(F270)</f>
        <v>70644.045887999993</v>
      </c>
      <c r="H164" s="114"/>
      <c r="I164" s="61"/>
      <c r="J164" s="61"/>
      <c r="K164" s="61"/>
      <c r="L164" s="61"/>
      <c r="M164" s="61"/>
      <c r="N164" s="61"/>
      <c r="O164" s="61"/>
      <c r="P164" s="61"/>
    </row>
    <row r="165" spans="1:16" s="21" customFormat="1" x14ac:dyDescent="0.25">
      <c r="A165" s="116" t="s">
        <v>277</v>
      </c>
      <c r="B165" s="117"/>
      <c r="C165" s="118">
        <f>COUNT(D273:D274)*6+COUNT(D276)+COUNT(D279:D280)*7+COUNT(D282)</f>
        <v>28</v>
      </c>
      <c r="D165" s="119"/>
      <c r="E165" s="114">
        <f>SUM(D273:D274)*6+SUM(D276)+SUM(D279:D280)*7+SUM(D282)</f>
        <v>37962.615131999999</v>
      </c>
      <c r="F165" s="114"/>
      <c r="G165" s="114">
        <f>SUM(F273:F274)*6+SUM(F276)+SUM(F279:F280)*7+SUM(F282)</f>
        <v>60740.184211200001</v>
      </c>
      <c r="H165" s="114"/>
      <c r="I165" s="61"/>
      <c r="J165" s="61"/>
      <c r="K165" s="61"/>
      <c r="L165" s="61"/>
      <c r="M165" s="61"/>
      <c r="N165" s="61"/>
      <c r="O165" s="61"/>
      <c r="P165" s="61"/>
    </row>
    <row r="166" spans="1:16" s="21" customFormat="1" x14ac:dyDescent="0.25">
      <c r="A166" s="116" t="s">
        <v>278</v>
      </c>
      <c r="B166" s="117"/>
      <c r="C166" s="256">
        <f>COUNT(D286:D290)*2+COUNT(D292:D294,D296)+COUNT(D298:D302)*3+COUNT(D304:D308)*2+COUNT(D310:D314)*2+COUNT(D316:D318,D320)+COUNT(D322:D326)*2+COUNT(D328:D332)*2</f>
        <v>73</v>
      </c>
      <c r="D166" s="256"/>
      <c r="E166" s="114">
        <f>SUM(D286:D290)*2+SUM(D292:D294,D296)+SUM(D298:D302)*3+SUM(D304:D308)*2+SUM(D310:D314)*2+SUM(D316:D318,D320)+SUM(D322:D326)*2+SUM(D328:D332)*2</f>
        <v>58958.679779999984</v>
      </c>
      <c r="F166" s="114"/>
      <c r="G166" s="114">
        <f>SUM(F286:F290)*2+SUM(F292:F294,F296)+SUM(F298:F302)*3+SUM(F304:F308)*2+SUM(F310:F314)*2+SUM(F316:F318,F320)+SUM(F322:F326)*2+SUM(F328:F332)*2</f>
        <v>94333.887647999989</v>
      </c>
      <c r="H166" s="114"/>
      <c r="I166" s="61"/>
      <c r="J166" s="61"/>
      <c r="K166" s="61"/>
      <c r="L166" s="61"/>
      <c r="M166" s="61"/>
      <c r="N166" s="61"/>
      <c r="O166" s="61"/>
      <c r="P166" s="61"/>
    </row>
    <row r="167" spans="1:16" s="21" customFormat="1" ht="16.5" thickBot="1" x14ac:dyDescent="0.3">
      <c r="A167" s="267" t="s">
        <v>147</v>
      </c>
      <c r="B167" s="267"/>
      <c r="C167" s="203">
        <f t="shared" ref="C167:G167" si="0">SUM(C162:D166)</f>
        <v>185</v>
      </c>
      <c r="D167" s="204"/>
      <c r="E167" s="253">
        <f t="shared" si="0"/>
        <v>253327.43006999997</v>
      </c>
      <c r="F167" s="253"/>
      <c r="G167" s="253">
        <f t="shared" si="0"/>
        <v>405323.88811199996</v>
      </c>
      <c r="H167" s="253"/>
      <c r="I167" s="61"/>
      <c r="J167" s="61"/>
      <c r="K167" s="61"/>
      <c r="L167" s="61"/>
      <c r="M167" s="61"/>
      <c r="N167" s="61"/>
      <c r="O167" s="61"/>
      <c r="P167" s="61"/>
    </row>
    <row r="168" spans="1:16" s="21" customFormat="1" ht="16.5" thickBot="1" x14ac:dyDescent="0.3">
      <c r="A168" s="172" t="s">
        <v>164</v>
      </c>
      <c r="B168" s="173"/>
      <c r="C168" s="174">
        <f>C159+C167</f>
        <v>228</v>
      </c>
      <c r="D168" s="174"/>
      <c r="E168" s="175">
        <f>E159+E167</f>
        <v>285459.90758999996</v>
      </c>
      <c r="F168" s="175"/>
      <c r="G168" s="176">
        <f>G159+G167</f>
        <v>456573.27268799994</v>
      </c>
      <c r="H168" s="177"/>
      <c r="I168" s="61"/>
      <c r="J168" s="61"/>
      <c r="K168" s="61"/>
      <c r="L168" s="61"/>
      <c r="M168" s="61"/>
      <c r="N168" s="61"/>
      <c r="O168" s="61"/>
      <c r="P168" s="61"/>
    </row>
    <row r="169" spans="1:16" s="20" customFormat="1" x14ac:dyDescent="0.25">
      <c r="A169" s="214" t="s">
        <v>56</v>
      </c>
      <c r="B169" s="214"/>
      <c r="C169" s="214"/>
      <c r="D169" s="214"/>
      <c r="E169" s="214"/>
      <c r="F169" s="214"/>
      <c r="G169" s="214"/>
      <c r="H169" s="214"/>
      <c r="I169" s="60"/>
      <c r="J169" s="60"/>
      <c r="K169" s="60"/>
      <c r="L169" s="60"/>
      <c r="M169" s="60"/>
      <c r="N169" s="60"/>
      <c r="O169" s="60"/>
      <c r="P169" s="60"/>
    </row>
    <row r="170" spans="1:16" x14ac:dyDescent="0.25">
      <c r="A170" s="156" t="s">
        <v>172</v>
      </c>
      <c r="B170" s="156"/>
      <c r="C170" s="156"/>
      <c r="D170" s="156"/>
      <c r="E170" s="156"/>
      <c r="F170" s="156"/>
      <c r="G170" s="156"/>
      <c r="H170" s="156"/>
      <c r="I170" s="30"/>
      <c r="J170" s="30"/>
      <c r="K170" s="30"/>
      <c r="L170" s="30"/>
      <c r="M170" s="30"/>
      <c r="N170" s="30"/>
      <c r="O170" s="30"/>
      <c r="P170" s="30"/>
    </row>
    <row r="171" spans="1:16" ht="47.25" customHeight="1" x14ac:dyDescent="0.25">
      <c r="A171" s="199" t="s">
        <v>117</v>
      </c>
      <c r="B171" s="199" t="s">
        <v>174</v>
      </c>
      <c r="C171" s="199" t="s">
        <v>57</v>
      </c>
      <c r="D171" s="199" t="s">
        <v>58</v>
      </c>
      <c r="E171" s="123" t="s">
        <v>153</v>
      </c>
      <c r="F171" s="64" t="s">
        <v>146</v>
      </c>
      <c r="G171" s="125" t="s">
        <v>60</v>
      </c>
      <c r="H171" s="126"/>
      <c r="I171" s="65">
        <v>10.763999999999999</v>
      </c>
      <c r="J171" s="30"/>
      <c r="K171" s="30"/>
      <c r="L171" s="30"/>
      <c r="M171" s="30"/>
      <c r="N171" s="30"/>
      <c r="O171" s="30"/>
      <c r="P171" s="30"/>
    </row>
    <row r="172" spans="1:16" s="22" customFormat="1" x14ac:dyDescent="0.25">
      <c r="A172" s="200"/>
      <c r="B172" s="200"/>
      <c r="C172" s="200"/>
      <c r="D172" s="200"/>
      <c r="E172" s="124"/>
      <c r="F172" s="13">
        <v>0.6</v>
      </c>
      <c r="G172" s="127"/>
      <c r="H172" s="128"/>
      <c r="I172" s="66"/>
      <c r="J172" s="66"/>
      <c r="K172" s="66"/>
      <c r="L172" s="66"/>
      <c r="M172" s="66"/>
      <c r="N172" s="66"/>
      <c r="O172" s="66"/>
      <c r="P172" s="66"/>
    </row>
    <row r="173" spans="1:16" s="26" customFormat="1" x14ac:dyDescent="0.25">
      <c r="A173" s="257" t="s">
        <v>254</v>
      </c>
      <c r="B173" s="258"/>
      <c r="C173" s="258"/>
      <c r="D173" s="258"/>
      <c r="E173" s="258"/>
      <c r="F173" s="258"/>
      <c r="G173" s="258"/>
      <c r="H173" s="259"/>
      <c r="I173" s="66"/>
      <c r="J173" s="66"/>
      <c r="K173" s="66"/>
      <c r="L173" s="66"/>
      <c r="M173" s="66"/>
      <c r="N173" s="66"/>
      <c r="O173" s="66"/>
      <c r="P173" s="66"/>
    </row>
    <row r="174" spans="1:16" s="22" customFormat="1" x14ac:dyDescent="0.25">
      <c r="A174" s="120" t="s">
        <v>286</v>
      </c>
      <c r="B174" s="121"/>
      <c r="C174" s="121"/>
      <c r="D174" s="121"/>
      <c r="E174" s="121"/>
      <c r="F174" s="121"/>
      <c r="G174" s="121"/>
      <c r="H174" s="122"/>
      <c r="I174" s="66"/>
      <c r="J174" s="67"/>
      <c r="K174" s="66"/>
      <c r="L174" s="66"/>
      <c r="M174" s="66"/>
      <c r="N174" s="66"/>
      <c r="O174" s="66"/>
      <c r="P174" s="66"/>
    </row>
    <row r="175" spans="1:16" s="26" customFormat="1" ht="47.25" customHeight="1" x14ac:dyDescent="0.25">
      <c r="A175" s="134">
        <v>1</v>
      </c>
      <c r="B175" s="135"/>
      <c r="C175" s="68" t="s">
        <v>287</v>
      </c>
      <c r="D175" s="69">
        <f>(689.48)*10.764</f>
        <v>7421.5627199999999</v>
      </c>
      <c r="E175" s="68">
        <v>0</v>
      </c>
      <c r="F175" s="68">
        <f>(D175+E175)*(($F$172)+1)</f>
        <v>11874.500352000001</v>
      </c>
      <c r="G175" s="106" t="str">
        <f>A174</f>
        <v>Ground Floor For Commercial, Meter Room, Lobby &amp; Parking</v>
      </c>
      <c r="H175" s="107"/>
      <c r="I175" s="70">
        <f>((16.326+12.62)/2*18.862+12.62*2.03+11.1*1.88+3.1*5)+((16.326+12.62)/2*18.862+12.62*2.03+11.1*1.88+2.8*1.4+1.5*2.5+0.4*1.2)</f>
        <v>662.60265200000003</v>
      </c>
      <c r="J175" s="67"/>
      <c r="K175" s="66"/>
      <c r="L175" s="66"/>
      <c r="M175" s="66"/>
      <c r="N175" s="66"/>
      <c r="O175" s="66"/>
      <c r="P175" s="66"/>
    </row>
    <row r="176" spans="1:16" s="26" customFormat="1" ht="47.25" customHeight="1" x14ac:dyDescent="0.25">
      <c r="A176" s="134">
        <f>A175+1</f>
        <v>2</v>
      </c>
      <c r="B176" s="135"/>
      <c r="C176" s="68" t="s">
        <v>287</v>
      </c>
      <c r="D176" s="69">
        <f>(79.08)*10.764</f>
        <v>851.21711999999991</v>
      </c>
      <c r="E176" s="68">
        <v>0</v>
      </c>
      <c r="F176" s="68">
        <f>(D176+E176)*(($F$172)+1)</f>
        <v>1361.947392</v>
      </c>
      <c r="G176" s="108"/>
      <c r="H176" s="109"/>
      <c r="I176" s="70">
        <f>(4.03*8.15+1.58*1.5+1.58*0.4+2.2*2.5+2.3*1.2)+(4.03*8.15+1.58*0.4)</f>
        <v>77.582999999999998</v>
      </c>
      <c r="J176" s="67"/>
      <c r="K176" s="66"/>
      <c r="L176" s="66"/>
      <c r="M176" s="66"/>
      <c r="N176" s="66"/>
      <c r="O176" s="66"/>
      <c r="P176" s="66"/>
    </row>
    <row r="177" spans="1:16" s="26" customFormat="1" ht="47.25" customHeight="1" x14ac:dyDescent="0.25">
      <c r="A177" s="134">
        <f t="shared" ref="A177:A178" si="1">A176+1</f>
        <v>3</v>
      </c>
      <c r="B177" s="135"/>
      <c r="C177" s="68" t="s">
        <v>287</v>
      </c>
      <c r="D177" s="69">
        <f>(83.78)*10.764</f>
        <v>901.80791999999997</v>
      </c>
      <c r="E177" s="68">
        <v>0</v>
      </c>
      <c r="F177" s="68">
        <f t="shared" ref="F177:F179" si="2">(D177+E177)*(($F$172)+1)</f>
        <v>1442.8926719999999</v>
      </c>
      <c r="G177" s="108"/>
      <c r="H177" s="109"/>
      <c r="I177" s="71">
        <f>(4.56*5.6+3.2*1.7+1.2*3.5+1.4*2.9+1.2*1.5+1.55*1.2+1.65*1.5)+(4.55*7.07+1.2*1.5+1.4*2.9)</f>
        <v>83.399500000000003</v>
      </c>
      <c r="J177" s="67"/>
      <c r="K177" s="66"/>
      <c r="L177" s="66"/>
      <c r="M177" s="66"/>
      <c r="N177" s="66"/>
      <c r="O177" s="66"/>
      <c r="P177" s="66"/>
    </row>
    <row r="178" spans="1:16" s="26" customFormat="1" ht="47.25" customHeight="1" x14ac:dyDescent="0.25">
      <c r="A178" s="134">
        <f t="shared" si="1"/>
        <v>4</v>
      </c>
      <c r="B178" s="135"/>
      <c r="C178" s="68" t="s">
        <v>287</v>
      </c>
      <c r="D178" s="69">
        <f>(83.8)*10.764</f>
        <v>902.02319999999986</v>
      </c>
      <c r="E178" s="68">
        <v>0</v>
      </c>
      <c r="F178" s="68">
        <f t="shared" si="2"/>
        <v>1443.2371199999998</v>
      </c>
      <c r="G178" s="108"/>
      <c r="H178" s="109"/>
      <c r="I178" s="71">
        <f>(4.56*5.6+3.2*1.7+1.2*3.5+1.4*2.9+1.2*1.5+1.55*1.2+1.65*1.5)+(4.55*7.07+1.2*1.5+1.4*2.9)</f>
        <v>83.399500000000003</v>
      </c>
      <c r="J178" s="67"/>
      <c r="K178" s="66"/>
      <c r="L178" s="66"/>
      <c r="M178" s="66"/>
      <c r="N178" s="66"/>
      <c r="O178" s="66"/>
      <c r="P178" s="66"/>
    </row>
    <row r="179" spans="1:16" s="26" customFormat="1" ht="47.25" x14ac:dyDescent="0.25">
      <c r="A179" s="134">
        <v>5</v>
      </c>
      <c r="B179" s="135"/>
      <c r="C179" s="68" t="s">
        <v>287</v>
      </c>
      <c r="D179" s="69">
        <f>(213.01)*10.764</f>
        <v>2292.8396399999997</v>
      </c>
      <c r="E179" s="68">
        <v>0</v>
      </c>
      <c r="F179" s="68">
        <f t="shared" si="2"/>
        <v>3668.5434239999995</v>
      </c>
      <c r="G179" s="110"/>
      <c r="H179" s="111"/>
      <c r="I179" s="70">
        <f>(9.8*7.8+1.8*4.25+1.35*2.55+1.35*3.5+1.3*1.2+1.55*1.2)+(9.8*10.07+3*2.9+1.65*4.02+1.2*2.3)</f>
        <v>212.45650000000001</v>
      </c>
      <c r="J179" s="67"/>
      <c r="K179" s="66"/>
      <c r="L179" s="66"/>
      <c r="M179" s="66"/>
      <c r="N179" s="66"/>
      <c r="O179" s="66"/>
      <c r="P179" s="66"/>
    </row>
    <row r="180" spans="1:16" s="28" customFormat="1" x14ac:dyDescent="0.25">
      <c r="A180" s="293" t="s">
        <v>306</v>
      </c>
      <c r="B180" s="293"/>
      <c r="C180" s="293"/>
      <c r="D180" s="293"/>
      <c r="E180" s="293"/>
      <c r="F180" s="293"/>
      <c r="G180" s="293"/>
      <c r="H180" s="293"/>
      <c r="I180" s="66"/>
      <c r="J180" s="67"/>
      <c r="K180" s="66"/>
      <c r="L180" s="66"/>
      <c r="M180" s="66"/>
      <c r="N180" s="66"/>
      <c r="O180" s="66"/>
      <c r="P180" s="66"/>
    </row>
    <row r="181" spans="1:16" s="28" customFormat="1" x14ac:dyDescent="0.25">
      <c r="A181" s="131">
        <v>1</v>
      </c>
      <c r="B181" s="131"/>
      <c r="C181" s="131" t="s">
        <v>307</v>
      </c>
      <c r="D181" s="131"/>
      <c r="E181" s="131"/>
      <c r="F181" s="131"/>
      <c r="G181" s="131" t="str">
        <f>A180</f>
        <v>1st Podium Floor For Commercial, Meter Room, Lobby &amp; Parking</v>
      </c>
      <c r="H181" s="131"/>
      <c r="I181" s="70">
        <f>((16.326+12.62)/2*18.862+12.62*2.03+11.1*1.88+3.1*5)+((16.326+12.62)/2*18.862+12.62*2.03+11.1*1.88+2.8*1.4+1.5*2.5+0.4*1.2)</f>
        <v>662.60265200000003</v>
      </c>
      <c r="J181" s="67"/>
      <c r="K181" s="66"/>
      <c r="L181" s="66"/>
      <c r="M181" s="66"/>
      <c r="N181" s="66"/>
      <c r="O181" s="66"/>
      <c r="P181" s="66"/>
    </row>
    <row r="182" spans="1:16" s="28" customFormat="1" ht="15.75" customHeight="1" x14ac:dyDescent="0.25">
      <c r="A182" s="131">
        <f>A181+1</f>
        <v>2</v>
      </c>
      <c r="B182" s="131"/>
      <c r="C182" s="131" t="s">
        <v>307</v>
      </c>
      <c r="D182" s="131"/>
      <c r="E182" s="131"/>
      <c r="F182" s="131"/>
      <c r="G182" s="131"/>
      <c r="H182" s="131"/>
      <c r="I182" s="70">
        <f>(4.03*8.15+1.58*1.5+1.58*0.4+2.2*2.5+2.3*1.2)+(4.03*8.15+1.58*0.4)</f>
        <v>77.582999999999998</v>
      </c>
      <c r="J182" s="67"/>
      <c r="K182" s="66"/>
      <c r="L182" s="66"/>
      <c r="M182" s="66"/>
      <c r="N182" s="66"/>
      <c r="O182" s="66"/>
      <c r="P182" s="66"/>
    </row>
    <row r="183" spans="1:16" s="28" customFormat="1" ht="15.75" customHeight="1" x14ac:dyDescent="0.25">
      <c r="A183" s="131">
        <f t="shared" ref="A183:A184" si="3">A182+1</f>
        <v>3</v>
      </c>
      <c r="B183" s="131"/>
      <c r="C183" s="131" t="s">
        <v>307</v>
      </c>
      <c r="D183" s="131"/>
      <c r="E183" s="131"/>
      <c r="F183" s="131"/>
      <c r="G183" s="131"/>
      <c r="H183" s="131"/>
      <c r="I183" s="71">
        <f>(4.56*5.6+3.2*1.7+1.2*3.5+1.4*2.9+1.2*1.5+1.55*1.2+1.65*1.5)+(4.55*7.07+1.2*1.5+1.4*2.9)</f>
        <v>83.399500000000003</v>
      </c>
      <c r="J183" s="67"/>
      <c r="K183" s="66"/>
      <c r="L183" s="66"/>
      <c r="M183" s="66"/>
      <c r="N183" s="66"/>
      <c r="O183" s="66"/>
      <c r="P183" s="66"/>
    </row>
    <row r="184" spans="1:16" s="28" customFormat="1" ht="15.75" customHeight="1" x14ac:dyDescent="0.25">
      <c r="A184" s="131">
        <f t="shared" si="3"/>
        <v>4</v>
      </c>
      <c r="B184" s="131"/>
      <c r="C184" s="131" t="s">
        <v>307</v>
      </c>
      <c r="D184" s="131"/>
      <c r="E184" s="131"/>
      <c r="F184" s="131"/>
      <c r="G184" s="131"/>
      <c r="H184" s="131"/>
      <c r="I184" s="71">
        <f>(4.56*5.6+3.2*1.7+1.2*3.5+1.4*2.9+1.2*1.5+1.55*1.2+1.65*1.5)+(4.55*7.07+1.2*1.5+1.4*2.9)</f>
        <v>83.399500000000003</v>
      </c>
      <c r="J184" s="67"/>
      <c r="K184" s="66"/>
      <c r="L184" s="66"/>
      <c r="M184" s="66"/>
      <c r="N184" s="66"/>
      <c r="O184" s="66"/>
      <c r="P184" s="66"/>
    </row>
    <row r="185" spans="1:16" s="28" customFormat="1" ht="15.75" customHeight="1" x14ac:dyDescent="0.25">
      <c r="A185" s="131">
        <v>5</v>
      </c>
      <c r="B185" s="131"/>
      <c r="C185" s="131" t="s">
        <v>307</v>
      </c>
      <c r="D185" s="131"/>
      <c r="E185" s="131"/>
      <c r="F185" s="131"/>
      <c r="G185" s="131"/>
      <c r="H185" s="131"/>
      <c r="I185" s="70">
        <f>(9.8*7.8+1.8*4.25+1.35*2.55+1.35*3.5+1.3*1.2+1.55*1.2)+(9.8*10.07+3*2.9+1.65*4.02+1.2*2.3)</f>
        <v>212.45650000000001</v>
      </c>
      <c r="J185" s="67"/>
      <c r="K185" s="66"/>
      <c r="L185" s="66"/>
      <c r="M185" s="66"/>
      <c r="N185" s="66"/>
      <c r="O185" s="66"/>
      <c r="P185" s="66"/>
    </row>
    <row r="186" spans="1:16" s="26" customFormat="1" x14ac:dyDescent="0.25">
      <c r="A186" s="136" t="s">
        <v>255</v>
      </c>
      <c r="B186" s="136"/>
      <c r="C186" s="136"/>
      <c r="D186" s="136"/>
      <c r="E186" s="136"/>
      <c r="F186" s="136"/>
      <c r="G186" s="136"/>
      <c r="H186" s="136"/>
      <c r="I186" s="66"/>
      <c r="J186" s="67"/>
      <c r="K186" s="66"/>
      <c r="L186" s="66"/>
      <c r="M186" s="66"/>
      <c r="N186" s="66"/>
      <c r="O186" s="66"/>
      <c r="P186" s="66"/>
    </row>
    <row r="187" spans="1:16" s="26" customFormat="1" x14ac:dyDescent="0.25">
      <c r="A187" s="136" t="s">
        <v>256</v>
      </c>
      <c r="B187" s="136"/>
      <c r="C187" s="136"/>
      <c r="D187" s="136"/>
      <c r="E187" s="136"/>
      <c r="F187" s="136"/>
      <c r="G187" s="136"/>
      <c r="H187" s="136"/>
      <c r="I187" s="99">
        <v>10.763999999999999</v>
      </c>
      <c r="J187" s="67"/>
      <c r="K187" s="66"/>
      <c r="L187" s="66"/>
      <c r="M187" s="66"/>
      <c r="N187" s="66"/>
      <c r="O187" s="66"/>
      <c r="P187" s="66"/>
    </row>
    <row r="188" spans="1:16" s="26" customFormat="1" ht="15.75" customHeight="1" x14ac:dyDescent="0.25">
      <c r="A188" s="131">
        <v>1</v>
      </c>
      <c r="B188" s="131"/>
      <c r="C188" s="73" t="s">
        <v>251</v>
      </c>
      <c r="D188" s="72">
        <f>(31.17)*10.764</f>
        <v>335.51387999999997</v>
      </c>
      <c r="E188" s="96">
        <v>0</v>
      </c>
      <c r="F188" s="96">
        <f t="shared" ref="F188:F190" si="4">(D188+E188)*(($F$172)+1)</f>
        <v>536.82220799999993</v>
      </c>
      <c r="G188" s="131" t="str">
        <f>A187</f>
        <v>Ground Floor For Commercial  Meter Room, Entrance Lobby, O.W.C &amp; Parking</v>
      </c>
      <c r="H188" s="131"/>
      <c r="I188" s="66"/>
      <c r="J188" s="67"/>
      <c r="K188" s="66"/>
      <c r="L188" s="66"/>
      <c r="M188" s="66"/>
      <c r="N188" s="66"/>
      <c r="O188" s="66"/>
      <c r="P188" s="66"/>
    </row>
    <row r="189" spans="1:16" s="26" customFormat="1" ht="15.75" customHeight="1" x14ac:dyDescent="0.25">
      <c r="A189" s="131">
        <f t="shared" ref="A189:A190" si="5">A188+1</f>
        <v>2</v>
      </c>
      <c r="B189" s="131"/>
      <c r="C189" s="73" t="s">
        <v>251</v>
      </c>
      <c r="D189" s="72">
        <f>(22.94)*10.764</f>
        <v>246.92616000000001</v>
      </c>
      <c r="E189" s="96">
        <v>0</v>
      </c>
      <c r="F189" s="96">
        <f t="shared" si="4"/>
        <v>395.08185600000002</v>
      </c>
      <c r="G189" s="131"/>
      <c r="H189" s="131"/>
      <c r="I189" s="66"/>
      <c r="J189" s="67"/>
      <c r="K189" s="66"/>
      <c r="L189" s="66"/>
      <c r="M189" s="66"/>
      <c r="N189" s="66"/>
      <c r="O189" s="66"/>
      <c r="P189" s="66"/>
    </row>
    <row r="190" spans="1:16" s="26" customFormat="1" ht="15.75" customHeight="1" x14ac:dyDescent="0.25">
      <c r="A190" s="131">
        <f t="shared" si="5"/>
        <v>3</v>
      </c>
      <c r="B190" s="131"/>
      <c r="C190" s="73" t="s">
        <v>251</v>
      </c>
      <c r="D190" s="72">
        <f>(24.17)*10.764</f>
        <v>260.16588000000002</v>
      </c>
      <c r="E190" s="96">
        <v>0</v>
      </c>
      <c r="F190" s="96">
        <f t="shared" si="4"/>
        <v>416.26540800000004</v>
      </c>
      <c r="G190" s="131"/>
      <c r="H190" s="131"/>
      <c r="I190" s="66"/>
      <c r="J190" s="67"/>
      <c r="K190" s="66"/>
      <c r="L190" s="66"/>
      <c r="M190" s="66"/>
      <c r="N190" s="66"/>
      <c r="O190" s="66"/>
      <c r="P190" s="66"/>
    </row>
    <row r="191" spans="1:16" s="26" customFormat="1" x14ac:dyDescent="0.25">
      <c r="A191" s="131">
        <v>4</v>
      </c>
      <c r="B191" s="131"/>
      <c r="C191" s="73" t="s">
        <v>251</v>
      </c>
      <c r="D191" s="72">
        <f>(24.58)*10.764</f>
        <v>264.57911999999999</v>
      </c>
      <c r="E191" s="96">
        <v>0</v>
      </c>
      <c r="F191" s="96">
        <f>(D191+E191)*(($F$172)+1)</f>
        <v>423.32659200000001</v>
      </c>
      <c r="G191" s="131"/>
      <c r="H191" s="131"/>
      <c r="I191" s="66"/>
      <c r="J191" s="67"/>
      <c r="K191" s="66"/>
      <c r="L191" s="66"/>
      <c r="M191" s="66"/>
      <c r="N191" s="66"/>
      <c r="O191" s="66"/>
      <c r="P191" s="66"/>
    </row>
    <row r="192" spans="1:16" s="26" customFormat="1" x14ac:dyDescent="0.25">
      <c r="A192" s="131">
        <f>A191+1</f>
        <v>5</v>
      </c>
      <c r="B192" s="131"/>
      <c r="C192" s="73" t="s">
        <v>251</v>
      </c>
      <c r="D192" s="72">
        <f>(24.74)*10.764</f>
        <v>266.30135999999999</v>
      </c>
      <c r="E192" s="96">
        <v>0</v>
      </c>
      <c r="F192" s="96">
        <f t="shared" ref="F192:F196" si="6">(D192+E192)*(($F$172)+1)</f>
        <v>426.082176</v>
      </c>
      <c r="G192" s="131"/>
      <c r="H192" s="131"/>
      <c r="I192" s="66"/>
      <c r="J192" s="67"/>
      <c r="K192" s="66"/>
      <c r="L192" s="66"/>
      <c r="M192" s="66"/>
      <c r="N192" s="66"/>
      <c r="O192" s="66"/>
      <c r="P192" s="66"/>
    </row>
    <row r="193" spans="1:16" s="26" customFormat="1" x14ac:dyDescent="0.25">
      <c r="A193" s="131">
        <f t="shared" ref="A193:A194" si="7">A192+1</f>
        <v>6</v>
      </c>
      <c r="B193" s="131"/>
      <c r="C193" s="73" t="s">
        <v>251</v>
      </c>
      <c r="D193" s="72">
        <f>(24.79)*10.764</f>
        <v>266.83955999999995</v>
      </c>
      <c r="E193" s="96">
        <v>0</v>
      </c>
      <c r="F193" s="96">
        <f t="shared" si="6"/>
        <v>426.94329599999992</v>
      </c>
      <c r="G193" s="131"/>
      <c r="H193" s="131"/>
      <c r="I193" s="66"/>
      <c r="J193" s="67"/>
      <c r="K193" s="66"/>
      <c r="L193" s="66"/>
      <c r="M193" s="66"/>
      <c r="N193" s="66"/>
      <c r="O193" s="66"/>
      <c r="P193" s="66"/>
    </row>
    <row r="194" spans="1:16" s="26" customFormat="1" x14ac:dyDescent="0.25">
      <c r="A194" s="131">
        <f t="shared" si="7"/>
        <v>7</v>
      </c>
      <c r="B194" s="131"/>
      <c r="C194" s="73" t="s">
        <v>251</v>
      </c>
      <c r="D194" s="72">
        <f>(30.89)*10.764</f>
        <v>332.49995999999999</v>
      </c>
      <c r="E194" s="96">
        <v>0</v>
      </c>
      <c r="F194" s="96">
        <f t="shared" si="6"/>
        <v>531.99993600000005</v>
      </c>
      <c r="G194" s="131"/>
      <c r="H194" s="131"/>
      <c r="I194" s="66"/>
      <c r="J194" s="67"/>
      <c r="K194" s="66"/>
      <c r="L194" s="66"/>
      <c r="M194" s="66"/>
      <c r="N194" s="66"/>
      <c r="O194" s="66"/>
      <c r="P194" s="66"/>
    </row>
    <row r="195" spans="1:16" s="26" customFormat="1" x14ac:dyDescent="0.25">
      <c r="A195" s="131">
        <v>8</v>
      </c>
      <c r="B195" s="131"/>
      <c r="C195" s="73" t="s">
        <v>251</v>
      </c>
      <c r="D195" s="72">
        <f>(30.89)*10.764</f>
        <v>332.49995999999999</v>
      </c>
      <c r="E195" s="96">
        <v>0</v>
      </c>
      <c r="F195" s="96">
        <f t="shared" si="6"/>
        <v>531.99993600000005</v>
      </c>
      <c r="G195" s="131"/>
      <c r="H195" s="131"/>
      <c r="I195" s="66">
        <f>6.5*3.777+1.55*2.7+1.5*0.9</f>
        <v>30.085500000000003</v>
      </c>
      <c r="J195" s="67"/>
      <c r="K195" s="66"/>
      <c r="L195" s="66"/>
      <c r="M195" s="66"/>
      <c r="N195" s="66"/>
      <c r="O195" s="66"/>
      <c r="P195" s="66"/>
    </row>
    <row r="196" spans="1:16" s="26" customFormat="1" x14ac:dyDescent="0.25">
      <c r="A196" s="131">
        <f t="shared" ref="A196" si="8">A195+1</f>
        <v>9</v>
      </c>
      <c r="B196" s="131"/>
      <c r="C196" s="73" t="s">
        <v>251</v>
      </c>
      <c r="D196" s="72">
        <f>(58.9)*10.764</f>
        <v>633.99959999999999</v>
      </c>
      <c r="E196" s="96">
        <v>0</v>
      </c>
      <c r="F196" s="96">
        <f t="shared" si="6"/>
        <v>1014.39936</v>
      </c>
      <c r="G196" s="131"/>
      <c r="H196" s="131"/>
      <c r="I196" s="66"/>
      <c r="J196" s="67"/>
      <c r="K196" s="66"/>
      <c r="L196" s="66"/>
      <c r="M196" s="66"/>
      <c r="N196" s="66"/>
      <c r="O196" s="66"/>
      <c r="P196" s="66"/>
    </row>
    <row r="197" spans="1:16" s="26" customFormat="1" x14ac:dyDescent="0.25">
      <c r="A197" s="131">
        <v>11</v>
      </c>
      <c r="B197" s="131"/>
      <c r="C197" s="73" t="s">
        <v>251</v>
      </c>
      <c r="D197" s="72">
        <f>(34.61)*10.764</f>
        <v>372.54203999999999</v>
      </c>
      <c r="E197" s="96">
        <v>0</v>
      </c>
      <c r="F197" s="96">
        <f>(D197+E197)*(($F$172)+1)</f>
        <v>596.06726400000002</v>
      </c>
      <c r="G197" s="131"/>
      <c r="H197" s="131"/>
      <c r="I197" s="66"/>
      <c r="J197" s="67"/>
      <c r="K197" s="66"/>
      <c r="L197" s="66"/>
      <c r="M197" s="66"/>
      <c r="N197" s="66"/>
      <c r="O197" s="66"/>
      <c r="P197" s="66"/>
    </row>
    <row r="198" spans="1:16" s="26" customFormat="1" x14ac:dyDescent="0.25">
      <c r="A198" s="131">
        <f>A197+1</f>
        <v>12</v>
      </c>
      <c r="B198" s="131"/>
      <c r="C198" s="73" t="s">
        <v>251</v>
      </c>
      <c r="D198" s="72">
        <f>(29.55)*10.764</f>
        <v>318.07619999999997</v>
      </c>
      <c r="E198" s="96">
        <v>0</v>
      </c>
      <c r="F198" s="96">
        <f t="shared" ref="F198:F202" si="9">(D198+E198)*(($F$172)+1)</f>
        <v>508.92192</v>
      </c>
      <c r="G198" s="131"/>
      <c r="H198" s="131"/>
      <c r="I198" s="66"/>
      <c r="J198" s="67"/>
      <c r="K198" s="66"/>
      <c r="L198" s="66"/>
      <c r="M198" s="66"/>
      <c r="N198" s="66"/>
      <c r="O198" s="66"/>
      <c r="P198" s="66"/>
    </row>
    <row r="199" spans="1:16" s="26" customFormat="1" x14ac:dyDescent="0.25">
      <c r="A199" s="131">
        <f>A198+1</f>
        <v>13</v>
      </c>
      <c r="B199" s="131"/>
      <c r="C199" s="73" t="s">
        <v>251</v>
      </c>
      <c r="D199" s="72">
        <f>(29.55)*10.764</f>
        <v>318.07619999999997</v>
      </c>
      <c r="E199" s="96">
        <v>0</v>
      </c>
      <c r="F199" s="96">
        <f t="shared" si="9"/>
        <v>508.92192</v>
      </c>
      <c r="G199" s="131"/>
      <c r="H199" s="131"/>
      <c r="I199" s="66"/>
      <c r="J199" s="67"/>
      <c r="K199" s="66"/>
      <c r="L199" s="66"/>
      <c r="M199" s="66"/>
      <c r="N199" s="66"/>
      <c r="O199" s="66"/>
      <c r="P199" s="66"/>
    </row>
    <row r="200" spans="1:16" s="26" customFormat="1" x14ac:dyDescent="0.25">
      <c r="A200" s="131" t="s">
        <v>308</v>
      </c>
      <c r="B200" s="131"/>
      <c r="C200" s="73" t="s">
        <v>251</v>
      </c>
      <c r="D200" s="72">
        <f>(29.55)*10.764</f>
        <v>318.07619999999997</v>
      </c>
      <c r="E200" s="96">
        <v>0</v>
      </c>
      <c r="F200" s="96">
        <f t="shared" ref="F200" si="10">(D200+E200)*(($F$172)+1)</f>
        <v>508.92192</v>
      </c>
      <c r="G200" s="131"/>
      <c r="H200" s="131"/>
      <c r="I200" s="66"/>
      <c r="J200" s="67"/>
      <c r="K200" s="66"/>
      <c r="L200" s="66"/>
      <c r="M200" s="66"/>
      <c r="N200" s="66"/>
      <c r="O200" s="66"/>
      <c r="P200" s="66"/>
    </row>
    <row r="201" spans="1:16" s="26" customFormat="1" x14ac:dyDescent="0.25">
      <c r="A201" s="131">
        <f t="shared" ref="A201" si="11">A199+1</f>
        <v>14</v>
      </c>
      <c r="B201" s="131"/>
      <c r="C201" s="73" t="s">
        <v>251</v>
      </c>
      <c r="D201" s="72">
        <f>(24.6)*10.764</f>
        <v>264.7944</v>
      </c>
      <c r="E201" s="96">
        <v>0</v>
      </c>
      <c r="F201" s="96">
        <f t="shared" si="9"/>
        <v>423.67104</v>
      </c>
      <c r="G201" s="131"/>
      <c r="H201" s="131"/>
      <c r="I201" s="66"/>
      <c r="J201" s="67"/>
      <c r="K201" s="66"/>
      <c r="L201" s="66"/>
      <c r="M201" s="66"/>
      <c r="N201" s="66"/>
      <c r="O201" s="66"/>
      <c r="P201" s="66"/>
    </row>
    <row r="202" spans="1:16" s="26" customFormat="1" x14ac:dyDescent="0.25">
      <c r="A202" s="131">
        <v>15</v>
      </c>
      <c r="B202" s="131"/>
      <c r="C202" s="73" t="s">
        <v>251</v>
      </c>
      <c r="D202" s="72">
        <f>(24.12)*10.764</f>
        <v>259.62768</v>
      </c>
      <c r="E202" s="96">
        <v>0</v>
      </c>
      <c r="F202" s="96">
        <f t="shared" si="9"/>
        <v>415.40428800000001</v>
      </c>
      <c r="G202" s="131"/>
      <c r="H202" s="131"/>
      <c r="I202" s="67"/>
      <c r="J202" s="67"/>
      <c r="K202" s="66"/>
      <c r="L202" s="66"/>
      <c r="M202" s="66"/>
      <c r="N202" s="66"/>
      <c r="O202" s="66"/>
      <c r="P202" s="66"/>
    </row>
    <row r="203" spans="1:16" s="26" customFormat="1" x14ac:dyDescent="0.25">
      <c r="A203" s="131">
        <f>A202+1</f>
        <v>16</v>
      </c>
      <c r="B203" s="131"/>
      <c r="C203" s="73" t="s">
        <v>251</v>
      </c>
      <c r="D203" s="72">
        <f>(24.36)*10.764</f>
        <v>262.21103999999997</v>
      </c>
      <c r="E203" s="96">
        <v>0</v>
      </c>
      <c r="F203" s="96">
        <f>(D203+E203)*(($F$172)+1)</f>
        <v>419.53766399999995</v>
      </c>
      <c r="G203" s="131"/>
      <c r="H203" s="131"/>
      <c r="I203" s="67"/>
      <c r="J203" s="67"/>
      <c r="K203" s="66"/>
      <c r="L203" s="66"/>
      <c r="M203" s="66"/>
      <c r="N203" s="66"/>
      <c r="O203" s="66"/>
      <c r="P203" s="66"/>
    </row>
    <row r="204" spans="1:16" s="26" customFormat="1" x14ac:dyDescent="0.25">
      <c r="A204" s="131">
        <f>A203+1</f>
        <v>17</v>
      </c>
      <c r="B204" s="131"/>
      <c r="C204" s="73" t="s">
        <v>251</v>
      </c>
      <c r="D204" s="72">
        <f>(23.56)*10.764</f>
        <v>253.59983999999997</v>
      </c>
      <c r="E204" s="96">
        <v>0</v>
      </c>
      <c r="F204" s="96">
        <f>(D204+E204)*(($F$172)+1)</f>
        <v>405.75974399999996</v>
      </c>
      <c r="G204" s="131"/>
      <c r="H204" s="131"/>
      <c r="I204" s="67"/>
      <c r="J204" s="67"/>
      <c r="K204" s="66"/>
      <c r="L204" s="66"/>
      <c r="M204" s="66"/>
      <c r="N204" s="66"/>
      <c r="O204" s="66"/>
      <c r="P204" s="66"/>
    </row>
    <row r="205" spans="1:16" s="26" customFormat="1" x14ac:dyDescent="0.25">
      <c r="A205" s="131">
        <v>18</v>
      </c>
      <c r="B205" s="131"/>
      <c r="C205" s="73" t="s">
        <v>251</v>
      </c>
      <c r="D205" s="72">
        <f>(34.17)*10.764</f>
        <v>367.80588</v>
      </c>
      <c r="E205" s="96">
        <v>0</v>
      </c>
      <c r="F205" s="96">
        <f>(D205+E205)*(($F$172)+1)</f>
        <v>588.48940800000003</v>
      </c>
      <c r="G205" s="131"/>
      <c r="H205" s="131"/>
      <c r="I205" s="67"/>
      <c r="J205" s="67"/>
      <c r="K205" s="66"/>
      <c r="L205" s="66"/>
      <c r="M205" s="66"/>
      <c r="N205" s="66"/>
      <c r="O205" s="66"/>
      <c r="P205" s="66"/>
    </row>
    <row r="206" spans="1:16" s="26" customFormat="1" x14ac:dyDescent="0.25">
      <c r="A206" s="131" t="s">
        <v>305</v>
      </c>
      <c r="B206" s="131"/>
      <c r="C206" s="73" t="s">
        <v>251</v>
      </c>
      <c r="D206" s="72">
        <f>(37.03)*10.764</f>
        <v>398.59091999999998</v>
      </c>
      <c r="E206" s="96">
        <v>0</v>
      </c>
      <c r="F206" s="96">
        <f t="shared" ref="F206" si="12">(D206+E206)*(($F$172)+1)</f>
        <v>637.74547200000006</v>
      </c>
      <c r="G206" s="131"/>
      <c r="H206" s="131"/>
      <c r="I206" s="67"/>
      <c r="J206" s="67">
        <f>7.881*4.533</f>
        <v>35.724573000000007</v>
      </c>
      <c r="K206" s="66"/>
      <c r="L206" s="66"/>
      <c r="M206" s="66"/>
      <c r="N206" s="66"/>
      <c r="O206" s="66"/>
      <c r="P206" s="66"/>
    </row>
    <row r="207" spans="1:16" s="26" customFormat="1" x14ac:dyDescent="0.25">
      <c r="A207" s="131">
        <v>21</v>
      </c>
      <c r="B207" s="131"/>
      <c r="C207" s="73" t="s">
        <v>251</v>
      </c>
      <c r="D207" s="72">
        <f>(33.37)*10.764</f>
        <v>359.19467999999995</v>
      </c>
      <c r="E207" s="96">
        <v>0</v>
      </c>
      <c r="F207" s="96">
        <f>(D208+E207)*(($F$172)+1)</f>
        <v>397.14854399999996</v>
      </c>
      <c r="G207" s="131"/>
      <c r="H207" s="131"/>
      <c r="I207" s="67"/>
      <c r="J207" s="67"/>
      <c r="K207" s="66"/>
      <c r="L207" s="66"/>
      <c r="M207" s="66"/>
      <c r="N207" s="66"/>
      <c r="O207" s="66"/>
      <c r="P207" s="66"/>
    </row>
    <row r="208" spans="1:16" s="26" customFormat="1" x14ac:dyDescent="0.25">
      <c r="A208" s="131">
        <f>A207+1</f>
        <v>22</v>
      </c>
      <c r="B208" s="131"/>
      <c r="C208" s="73" t="s">
        <v>251</v>
      </c>
      <c r="D208" s="72">
        <f>(23.06)*10.764</f>
        <v>248.21783999999997</v>
      </c>
      <c r="E208" s="96">
        <v>0</v>
      </c>
      <c r="F208" s="96">
        <f>(D209+E208)*(($F$172)+1)</f>
        <v>415.23206400000004</v>
      </c>
      <c r="G208" s="131"/>
      <c r="H208" s="131"/>
      <c r="I208" s="67"/>
      <c r="J208" s="67"/>
      <c r="K208" s="66"/>
      <c r="L208" s="66"/>
      <c r="M208" s="66"/>
      <c r="N208" s="66"/>
      <c r="O208" s="66"/>
      <c r="P208" s="66"/>
    </row>
    <row r="209" spans="1:16" s="26" customFormat="1" x14ac:dyDescent="0.25">
      <c r="A209" s="131">
        <v>23</v>
      </c>
      <c r="B209" s="131"/>
      <c r="C209" s="73" t="s">
        <v>251</v>
      </c>
      <c r="D209" s="72">
        <f>(24.11)*10.764</f>
        <v>259.52003999999999</v>
      </c>
      <c r="E209" s="96">
        <v>0</v>
      </c>
      <c r="F209" s="96">
        <f>(D210+E209)*(($F$172)+1)</f>
        <v>412.13203199999998</v>
      </c>
      <c r="G209" s="131"/>
      <c r="H209" s="131"/>
      <c r="I209" s="67"/>
      <c r="J209" s="67"/>
      <c r="K209" s="66"/>
      <c r="L209" s="66"/>
      <c r="M209" s="66"/>
      <c r="N209" s="66"/>
      <c r="O209" s="66"/>
      <c r="P209" s="66"/>
    </row>
    <row r="210" spans="1:16" s="26" customFormat="1" x14ac:dyDescent="0.25">
      <c r="A210" s="131">
        <f>A209+1</f>
        <v>24</v>
      </c>
      <c r="B210" s="131"/>
      <c r="C210" s="73" t="s">
        <v>251</v>
      </c>
      <c r="D210" s="72">
        <f>(23.93)*10.764</f>
        <v>257.58251999999999</v>
      </c>
      <c r="E210" s="96">
        <v>0</v>
      </c>
      <c r="F210" s="96">
        <f t="shared" ref="F210:F212" si="13">(D210+E210)*(($F$172)+1)</f>
        <v>412.13203199999998</v>
      </c>
      <c r="G210" s="131"/>
      <c r="H210" s="131"/>
      <c r="I210" s="67"/>
      <c r="J210" s="67"/>
      <c r="K210" s="66"/>
      <c r="L210" s="66"/>
      <c r="M210" s="66"/>
      <c r="N210" s="66"/>
      <c r="O210" s="66"/>
      <c r="P210" s="66"/>
    </row>
    <row r="211" spans="1:16" s="26" customFormat="1" x14ac:dyDescent="0.25">
      <c r="A211" s="131">
        <f t="shared" ref="A211:A212" si="14">A210+1</f>
        <v>25</v>
      </c>
      <c r="B211" s="131"/>
      <c r="C211" s="73" t="s">
        <v>251</v>
      </c>
      <c r="D211" s="72">
        <f>(34.2)*10.764</f>
        <v>368.12880000000001</v>
      </c>
      <c r="E211" s="96">
        <v>0</v>
      </c>
      <c r="F211" s="96">
        <f t="shared" si="13"/>
        <v>589.00608</v>
      </c>
      <c r="G211" s="131"/>
      <c r="H211" s="131"/>
      <c r="I211" s="67"/>
      <c r="J211" s="67"/>
      <c r="K211" s="66"/>
      <c r="L211" s="66"/>
      <c r="M211" s="66"/>
      <c r="N211" s="66"/>
      <c r="O211" s="66"/>
      <c r="P211" s="66"/>
    </row>
    <row r="212" spans="1:16" s="26" customFormat="1" x14ac:dyDescent="0.25">
      <c r="A212" s="131">
        <f t="shared" si="14"/>
        <v>26</v>
      </c>
      <c r="B212" s="131"/>
      <c r="C212" s="73" t="s">
        <v>251</v>
      </c>
      <c r="D212" s="72">
        <f>(24.37)*10.764</f>
        <v>262.31867999999997</v>
      </c>
      <c r="E212" s="96">
        <v>0</v>
      </c>
      <c r="F212" s="96">
        <f t="shared" si="13"/>
        <v>419.70988799999998</v>
      </c>
      <c r="G212" s="131"/>
      <c r="H212" s="131"/>
      <c r="I212" s="67"/>
      <c r="J212" s="67"/>
      <c r="K212" s="66"/>
      <c r="L212" s="66"/>
      <c r="M212" s="66"/>
      <c r="N212" s="66"/>
      <c r="O212" s="66"/>
      <c r="P212" s="66"/>
    </row>
    <row r="213" spans="1:16" s="26" customFormat="1" x14ac:dyDescent="0.25">
      <c r="A213" s="131">
        <f>A212+1</f>
        <v>27</v>
      </c>
      <c r="B213" s="131"/>
      <c r="C213" s="73" t="s">
        <v>251</v>
      </c>
      <c r="D213" s="72">
        <f>(23.56)*10.764</f>
        <v>253.59983999999997</v>
      </c>
      <c r="E213" s="96">
        <v>0</v>
      </c>
      <c r="F213" s="96">
        <f>(D213+E213)*(($F$172)+1)</f>
        <v>405.75974399999996</v>
      </c>
      <c r="G213" s="131"/>
      <c r="H213" s="131"/>
      <c r="I213" s="67"/>
      <c r="J213" s="67"/>
      <c r="K213" s="66"/>
      <c r="L213" s="66"/>
      <c r="M213" s="66"/>
      <c r="N213" s="66"/>
      <c r="O213" s="66"/>
      <c r="P213" s="66"/>
    </row>
    <row r="214" spans="1:16" s="26" customFormat="1" x14ac:dyDescent="0.25">
      <c r="A214" s="131">
        <v>28</v>
      </c>
      <c r="B214" s="131"/>
      <c r="C214" s="73" t="s">
        <v>251</v>
      </c>
      <c r="D214" s="72">
        <f>(33.51)*10.764</f>
        <v>360.70163999999994</v>
      </c>
      <c r="E214" s="96">
        <v>0</v>
      </c>
      <c r="F214" s="96">
        <f>(D214+E214)*(($F$172)+1)</f>
        <v>577.12262399999997</v>
      </c>
      <c r="G214" s="131"/>
      <c r="H214" s="131"/>
      <c r="I214" s="67"/>
      <c r="J214" s="67"/>
      <c r="K214" s="66"/>
      <c r="L214" s="66"/>
      <c r="M214" s="66"/>
      <c r="N214" s="66"/>
      <c r="O214" s="66"/>
      <c r="P214" s="66"/>
    </row>
    <row r="215" spans="1:16" s="26" customFormat="1" x14ac:dyDescent="0.25">
      <c r="A215" s="120" t="s">
        <v>258</v>
      </c>
      <c r="B215" s="121"/>
      <c r="C215" s="121"/>
      <c r="D215" s="121"/>
      <c r="E215" s="121"/>
      <c r="F215" s="121"/>
      <c r="G215" s="121"/>
      <c r="H215" s="122"/>
      <c r="I215" s="67"/>
      <c r="J215" s="67"/>
      <c r="K215" s="66"/>
      <c r="L215" s="66"/>
      <c r="M215" s="66"/>
      <c r="N215" s="66"/>
      <c r="O215" s="66"/>
      <c r="P215" s="66"/>
    </row>
    <row r="216" spans="1:16" s="26" customFormat="1" x14ac:dyDescent="0.25">
      <c r="A216" s="134">
        <v>1</v>
      </c>
      <c r="B216" s="135"/>
      <c r="C216" s="73" t="s">
        <v>257</v>
      </c>
      <c r="D216" s="72">
        <f>(174.82)*10.764</f>
        <v>1881.7624799999999</v>
      </c>
      <c r="E216" s="68">
        <v>0</v>
      </c>
      <c r="F216" s="68">
        <f>(D216+E216)*(($F$172)+1)</f>
        <v>3010.8199679999998</v>
      </c>
      <c r="G216" s="106" t="str">
        <f>A215</f>
        <v>1st Podium Floor For Commercial &amp; Parking</v>
      </c>
      <c r="H216" s="129"/>
      <c r="I216" s="67">
        <f>7.099*1.729+5*3.45+8*5.26+(8.2+6.031)/2*14.5</f>
        <v>174.778921</v>
      </c>
      <c r="J216" s="67"/>
      <c r="K216" s="66"/>
      <c r="L216" s="66"/>
      <c r="M216" s="66"/>
      <c r="N216" s="66"/>
      <c r="O216" s="66"/>
      <c r="P216" s="66"/>
    </row>
    <row r="217" spans="1:16" s="29" customFormat="1" ht="15.75" customHeight="1" x14ac:dyDescent="0.25">
      <c r="A217" s="146">
        <v>10</v>
      </c>
      <c r="B217" s="147"/>
      <c r="C217" s="74" t="s">
        <v>251</v>
      </c>
      <c r="D217" s="69">
        <f>(110.6)*10.764</f>
        <v>1190.4983999999999</v>
      </c>
      <c r="E217" s="75">
        <v>0</v>
      </c>
      <c r="F217" s="75">
        <f>(D217+E217)*(($F$172)+1)</f>
        <v>1904.7974400000001</v>
      </c>
      <c r="G217" s="110"/>
      <c r="H217" s="130"/>
      <c r="I217" s="76"/>
      <c r="J217" s="76"/>
      <c r="K217" s="77"/>
      <c r="L217" s="77"/>
      <c r="M217" s="77"/>
      <c r="N217" s="77"/>
      <c r="O217" s="77"/>
      <c r="P217" s="77"/>
    </row>
    <row r="218" spans="1:16" s="26" customFormat="1" ht="15.75" customHeight="1" x14ac:dyDescent="0.25">
      <c r="A218" s="120" t="s">
        <v>253</v>
      </c>
      <c r="B218" s="121"/>
      <c r="C218" s="121"/>
      <c r="D218" s="121"/>
      <c r="E218" s="121"/>
      <c r="F218" s="121"/>
      <c r="G218" s="121"/>
      <c r="H218" s="122"/>
      <c r="I218" s="67"/>
      <c r="J218" s="67"/>
      <c r="K218" s="66"/>
      <c r="L218" s="66"/>
      <c r="M218" s="66"/>
      <c r="N218" s="66"/>
      <c r="O218" s="66"/>
      <c r="P218" s="66"/>
    </row>
    <row r="219" spans="1:16" s="26" customFormat="1" x14ac:dyDescent="0.25">
      <c r="A219" s="141" t="s">
        <v>259</v>
      </c>
      <c r="B219" s="141"/>
      <c r="C219" s="141"/>
      <c r="D219" s="141"/>
      <c r="E219" s="141"/>
      <c r="F219" s="141"/>
      <c r="G219" s="141"/>
      <c r="H219" s="141"/>
      <c r="I219" s="67"/>
      <c r="J219" s="67"/>
      <c r="K219" s="66"/>
      <c r="L219" s="66"/>
      <c r="M219" s="66"/>
      <c r="N219" s="66"/>
      <c r="O219" s="66"/>
      <c r="P219" s="66"/>
    </row>
    <row r="220" spans="1:16" s="26" customFormat="1" x14ac:dyDescent="0.25">
      <c r="A220" s="134">
        <v>1</v>
      </c>
      <c r="B220" s="135"/>
      <c r="C220" s="73" t="s">
        <v>257</v>
      </c>
      <c r="D220" s="72">
        <f>(548.17)*10.764</f>
        <v>5900.5018799999989</v>
      </c>
      <c r="E220" s="68">
        <v>0</v>
      </c>
      <c r="F220" s="68">
        <f>(D220+E220)*(($F$172)+1)</f>
        <v>9440.803007999999</v>
      </c>
      <c r="G220" s="134" t="str">
        <f>A219</f>
        <v>2nd Podium Floor For Commercial &amp; Parking</v>
      </c>
      <c r="H220" s="135"/>
      <c r="I220" s="67"/>
      <c r="J220" s="67"/>
      <c r="K220" s="66"/>
      <c r="L220" s="66"/>
      <c r="M220" s="66"/>
      <c r="N220" s="66"/>
      <c r="O220" s="66"/>
      <c r="P220" s="66"/>
    </row>
    <row r="221" spans="1:16" s="26" customFormat="1" x14ac:dyDescent="0.25">
      <c r="A221" s="140" t="s">
        <v>260</v>
      </c>
      <c r="B221" s="140"/>
      <c r="C221" s="140"/>
      <c r="D221" s="140"/>
      <c r="E221" s="140"/>
      <c r="F221" s="140"/>
      <c r="G221" s="140"/>
      <c r="H221" s="140"/>
      <c r="I221" s="67"/>
      <c r="J221" s="67"/>
      <c r="K221" s="66"/>
      <c r="L221" s="66"/>
      <c r="M221" s="66"/>
      <c r="N221" s="66"/>
      <c r="O221" s="66"/>
      <c r="P221" s="66"/>
    </row>
    <row r="222" spans="1:16" s="26" customFormat="1" ht="15.75" customHeight="1" x14ac:dyDescent="0.25">
      <c r="A222" s="131">
        <v>1</v>
      </c>
      <c r="B222" s="131"/>
      <c r="C222" s="73" t="s">
        <v>257</v>
      </c>
      <c r="D222" s="72">
        <f>(94.19)*10.764</f>
        <v>1013.8611599999999</v>
      </c>
      <c r="E222" s="96">
        <v>0</v>
      </c>
      <c r="F222" s="96">
        <f t="shared" ref="F222:F229" si="15">(D222+E222)*(($F$172)+1)</f>
        <v>1622.177856</v>
      </c>
      <c r="G222" s="131" t="str">
        <f>A221</f>
        <v>3rd Podium Floor For Commercial &amp; Parking</v>
      </c>
      <c r="H222" s="131"/>
      <c r="I222" s="66"/>
      <c r="J222" s="67"/>
      <c r="K222" s="66"/>
      <c r="L222" s="66"/>
      <c r="M222" s="66"/>
      <c r="N222" s="66"/>
      <c r="O222" s="66"/>
      <c r="P222" s="66"/>
    </row>
    <row r="223" spans="1:16" s="26" customFormat="1" x14ac:dyDescent="0.25">
      <c r="A223" s="131">
        <f>A222+1</f>
        <v>2</v>
      </c>
      <c r="B223" s="131"/>
      <c r="C223" s="73" t="s">
        <v>257</v>
      </c>
      <c r="D223" s="72">
        <f>(21.39)*10.764</f>
        <v>230.24196000000001</v>
      </c>
      <c r="E223" s="96">
        <v>0</v>
      </c>
      <c r="F223" s="96">
        <f t="shared" si="15"/>
        <v>368.38713600000005</v>
      </c>
      <c r="G223" s="131"/>
      <c r="H223" s="131"/>
      <c r="I223" s="66"/>
      <c r="J223" s="67"/>
      <c r="K223" s="66"/>
      <c r="L223" s="66"/>
      <c r="M223" s="66"/>
      <c r="N223" s="66"/>
      <c r="O223" s="66"/>
      <c r="P223" s="66"/>
    </row>
    <row r="224" spans="1:16" s="26" customFormat="1" x14ac:dyDescent="0.25">
      <c r="A224" s="131">
        <v>3</v>
      </c>
      <c r="B224" s="131"/>
      <c r="C224" s="73" t="s">
        <v>257</v>
      </c>
      <c r="D224" s="72">
        <f>(20.33)*10.764</f>
        <v>218.83211999999997</v>
      </c>
      <c r="E224" s="96">
        <v>0</v>
      </c>
      <c r="F224" s="96">
        <f t="shared" si="15"/>
        <v>350.13139200000001</v>
      </c>
      <c r="G224" s="131"/>
      <c r="H224" s="131"/>
      <c r="I224" s="67"/>
      <c r="J224" s="67"/>
      <c r="K224" s="66"/>
      <c r="L224" s="66"/>
      <c r="M224" s="66"/>
      <c r="N224" s="66"/>
      <c r="O224" s="66"/>
      <c r="P224" s="66"/>
    </row>
    <row r="225" spans="1:16" s="26" customFormat="1" x14ac:dyDescent="0.25">
      <c r="A225" s="131">
        <f>A224+1</f>
        <v>4</v>
      </c>
      <c r="B225" s="131"/>
      <c r="C225" s="73" t="s">
        <v>257</v>
      </c>
      <c r="D225" s="72">
        <f>(21.5)*10.764</f>
        <v>231.42599999999999</v>
      </c>
      <c r="E225" s="96">
        <v>0</v>
      </c>
      <c r="F225" s="96">
        <f t="shared" si="15"/>
        <v>370.28160000000003</v>
      </c>
      <c r="G225" s="131"/>
      <c r="H225" s="131"/>
      <c r="I225" s="67">
        <f>5.8*3.38+0.82*2.32</f>
        <v>21.506399999999999</v>
      </c>
      <c r="J225" s="67"/>
      <c r="K225" s="66"/>
      <c r="L225" s="66"/>
      <c r="M225" s="66"/>
      <c r="N225" s="66"/>
      <c r="O225" s="66"/>
      <c r="P225" s="66"/>
    </row>
    <row r="226" spans="1:16" s="26" customFormat="1" x14ac:dyDescent="0.25">
      <c r="A226" s="131">
        <f t="shared" ref="A226:A227" si="16">A225+1</f>
        <v>5</v>
      </c>
      <c r="B226" s="131"/>
      <c r="C226" s="73" t="s">
        <v>257</v>
      </c>
      <c r="D226" s="72">
        <f>(20.19)*10.764</f>
        <v>217.32516000000001</v>
      </c>
      <c r="E226" s="96">
        <v>0</v>
      </c>
      <c r="F226" s="96">
        <f t="shared" si="15"/>
        <v>347.72025600000006</v>
      </c>
      <c r="G226" s="131"/>
      <c r="H226" s="131"/>
      <c r="I226" s="67"/>
      <c r="J226" s="67"/>
      <c r="K226" s="66"/>
      <c r="L226" s="66"/>
      <c r="M226" s="66"/>
      <c r="N226" s="66"/>
      <c r="O226" s="66"/>
      <c r="P226" s="66"/>
    </row>
    <row r="227" spans="1:16" s="26" customFormat="1" x14ac:dyDescent="0.25">
      <c r="A227" s="131">
        <f t="shared" si="16"/>
        <v>6</v>
      </c>
      <c r="B227" s="131"/>
      <c r="C227" s="73" t="s">
        <v>257</v>
      </c>
      <c r="D227" s="72">
        <f>(16.09)*10.764</f>
        <v>173.19275999999999</v>
      </c>
      <c r="E227" s="96">
        <v>0</v>
      </c>
      <c r="F227" s="96">
        <f t="shared" si="15"/>
        <v>277.10841599999998</v>
      </c>
      <c r="G227" s="131"/>
      <c r="H227" s="131"/>
      <c r="I227" s="66">
        <f>4.86*3.31</f>
        <v>16.086600000000001</v>
      </c>
      <c r="J227" s="67"/>
      <c r="K227" s="66"/>
      <c r="L227" s="66"/>
      <c r="M227" s="66"/>
      <c r="N227" s="66"/>
      <c r="O227" s="66"/>
      <c r="P227" s="66"/>
    </row>
    <row r="228" spans="1:16" s="26" customFormat="1" x14ac:dyDescent="0.25">
      <c r="A228" s="131">
        <f>A227+1</f>
        <v>7</v>
      </c>
      <c r="B228" s="131"/>
      <c r="C228" s="73" t="s">
        <v>257</v>
      </c>
      <c r="D228" s="72">
        <f>(14.32)*10.764</f>
        <v>154.14048</v>
      </c>
      <c r="E228" s="96">
        <v>0</v>
      </c>
      <c r="F228" s="96">
        <f t="shared" si="15"/>
        <v>246.62476800000002</v>
      </c>
      <c r="G228" s="131"/>
      <c r="H228" s="131"/>
      <c r="I228" s="66"/>
      <c r="J228" s="67"/>
      <c r="K228" s="66"/>
      <c r="L228" s="66"/>
      <c r="M228" s="66"/>
      <c r="N228" s="66"/>
      <c r="O228" s="66"/>
      <c r="P228" s="66"/>
    </row>
    <row r="229" spans="1:16" s="26" customFormat="1" x14ac:dyDescent="0.25">
      <c r="A229" s="131">
        <v>8</v>
      </c>
      <c r="B229" s="131"/>
      <c r="C229" s="73" t="s">
        <v>257</v>
      </c>
      <c r="D229" s="72">
        <f>(10.15)*10.764</f>
        <v>109.2546</v>
      </c>
      <c r="E229" s="96">
        <v>0</v>
      </c>
      <c r="F229" s="96">
        <f t="shared" si="15"/>
        <v>174.80736000000002</v>
      </c>
      <c r="G229" s="131"/>
      <c r="H229" s="131"/>
      <c r="I229" s="66"/>
      <c r="J229" s="67"/>
      <c r="K229" s="66"/>
      <c r="L229" s="66"/>
      <c r="M229" s="66"/>
      <c r="N229" s="66"/>
      <c r="O229" s="66"/>
      <c r="P229" s="66"/>
    </row>
    <row r="230" spans="1:16" s="26" customFormat="1" x14ac:dyDescent="0.25">
      <c r="A230" s="140" t="s">
        <v>261</v>
      </c>
      <c r="B230" s="140"/>
      <c r="C230" s="140"/>
      <c r="D230" s="140"/>
      <c r="E230" s="140"/>
      <c r="F230" s="140"/>
      <c r="G230" s="140"/>
      <c r="H230" s="140"/>
      <c r="I230" s="66"/>
      <c r="J230" s="67"/>
      <c r="K230" s="66"/>
      <c r="L230" s="66"/>
      <c r="M230" s="66"/>
      <c r="N230" s="66"/>
      <c r="O230" s="66"/>
      <c r="P230" s="66"/>
    </row>
    <row r="231" spans="1:16" s="26" customFormat="1" x14ac:dyDescent="0.25">
      <c r="A231" s="141" t="s">
        <v>262</v>
      </c>
      <c r="B231" s="141"/>
      <c r="C231" s="141"/>
      <c r="D231" s="141"/>
      <c r="E231" s="141"/>
      <c r="F231" s="141"/>
      <c r="G231" s="141"/>
      <c r="H231" s="141"/>
      <c r="I231" s="66"/>
      <c r="J231" s="67"/>
      <c r="K231" s="66"/>
      <c r="L231" s="66"/>
      <c r="M231" s="66"/>
      <c r="N231" s="66"/>
      <c r="O231" s="66"/>
      <c r="P231" s="66"/>
    </row>
    <row r="232" spans="1:16" s="22" customFormat="1" x14ac:dyDescent="0.25">
      <c r="A232" s="134"/>
      <c r="B232" s="148"/>
      <c r="C232" s="148"/>
      <c r="D232" s="148"/>
      <c r="E232" s="148"/>
      <c r="F232" s="148"/>
      <c r="G232" s="148"/>
      <c r="H232" s="135"/>
      <c r="I232" s="67"/>
      <c r="J232" s="66"/>
      <c r="K232" s="66"/>
      <c r="L232" s="66"/>
      <c r="M232" s="66"/>
      <c r="N232" s="67"/>
      <c r="O232" s="66"/>
      <c r="P232" s="66"/>
    </row>
    <row r="233" spans="1:16" ht="47.25" customHeight="1" x14ac:dyDescent="0.25">
      <c r="A233" s="125" t="s">
        <v>118</v>
      </c>
      <c r="B233" s="199" t="s">
        <v>175</v>
      </c>
      <c r="C233" s="199" t="s">
        <v>57</v>
      </c>
      <c r="D233" s="199" t="s">
        <v>58</v>
      </c>
      <c r="E233" s="123" t="s">
        <v>59</v>
      </c>
      <c r="F233" s="64" t="s">
        <v>146</v>
      </c>
      <c r="G233" s="125" t="s">
        <v>60</v>
      </c>
      <c r="H233" s="126"/>
      <c r="I233" s="67"/>
      <c r="J233" s="30"/>
      <c r="K233" s="30"/>
      <c r="L233" s="30"/>
      <c r="M233" s="30"/>
      <c r="N233" s="30"/>
      <c r="O233" s="30"/>
      <c r="P233" s="30"/>
    </row>
    <row r="234" spans="1:16" s="22" customFormat="1" x14ac:dyDescent="0.25">
      <c r="A234" s="127"/>
      <c r="B234" s="200"/>
      <c r="C234" s="200"/>
      <c r="D234" s="200"/>
      <c r="E234" s="124"/>
      <c r="F234" s="13">
        <v>0.6</v>
      </c>
      <c r="G234" s="127"/>
      <c r="H234" s="128"/>
      <c r="I234" s="67"/>
      <c r="J234" s="66"/>
      <c r="K234" s="66"/>
      <c r="L234" s="66"/>
      <c r="M234" s="66"/>
      <c r="N234" s="66"/>
      <c r="O234" s="66"/>
      <c r="P234" s="66"/>
    </row>
    <row r="235" spans="1:16" s="26" customFormat="1" x14ac:dyDescent="0.25">
      <c r="A235" s="142" t="s">
        <v>252</v>
      </c>
      <c r="B235" s="143"/>
      <c r="C235" s="143"/>
      <c r="D235" s="143"/>
      <c r="E235" s="143"/>
      <c r="F235" s="143"/>
      <c r="G235" s="143"/>
      <c r="H235" s="144"/>
      <c r="I235" s="67"/>
      <c r="J235" s="66"/>
      <c r="K235" s="66"/>
      <c r="L235" s="66"/>
      <c r="M235" s="66"/>
      <c r="N235" s="66"/>
      <c r="O235" s="66"/>
      <c r="P235" s="66"/>
    </row>
    <row r="236" spans="1:16" s="22" customFormat="1" x14ac:dyDescent="0.25">
      <c r="A236" s="141" t="s">
        <v>289</v>
      </c>
      <c r="B236" s="141"/>
      <c r="C236" s="141"/>
      <c r="D236" s="141"/>
      <c r="E236" s="141"/>
      <c r="F236" s="141"/>
      <c r="G236" s="141"/>
      <c r="H236" s="141"/>
      <c r="I236" s="66"/>
      <c r="J236" s="67"/>
      <c r="K236" s="66"/>
      <c r="L236" s="66"/>
      <c r="M236" s="66"/>
      <c r="N236" s="66"/>
      <c r="O236" s="66"/>
      <c r="P236" s="66"/>
    </row>
    <row r="237" spans="1:16" s="22" customFormat="1" ht="15.75" customHeight="1" x14ac:dyDescent="0.25">
      <c r="A237" s="134">
        <v>1</v>
      </c>
      <c r="B237" s="135"/>
      <c r="C237" s="68" t="s">
        <v>263</v>
      </c>
      <c r="D237" s="72">
        <f>(7.4*6.25+2.1*4.6+3.5*1.2+3.056*3.25+5.3*3.65+5.3*4.85+2.1*1.65+5.45*4.85+5.45*3.65+1.8*1.65+0.9*1+2.52*1.5+3.05*1.5+1.8*3.65+2.6*1.5+1.8*1.2+1.8*2.5+1.05*2.95+1.5*1.5+(2.63*1.5))*10.764</f>
        <v>2190.7915379999995</v>
      </c>
      <c r="E237" s="68">
        <v>0</v>
      </c>
      <c r="F237" s="68">
        <f>D237*(($F$234)+1)+(IF(E237&lt;101,E237,IF(E237&lt;201,E237/2,IF(E237&lt;=301,E237/3,E237/4))))</f>
        <v>3505.2664607999995</v>
      </c>
      <c r="G237" s="106" t="str">
        <f>A236</f>
        <v>6th, 7th, 9th to 14th Floor For Residential</v>
      </c>
      <c r="H237" s="107"/>
      <c r="I237" s="78">
        <f>7.4*6.25+2.02*4.6+3.58*1.2+3.136*3.25+5.3*3.65+5.3*4.85+2.1*1.65+5.45*4.85+5.45*3.65+1.8*1.65+0.9*1+2.52*1.5+3.05*1.5+1.8*3.65+2.6*1.5+1.8*1.2+1.8*2.5+1.05*2.95+1.5*1.5</f>
        <v>199.57249999999999</v>
      </c>
      <c r="J237" s="66"/>
      <c r="K237" s="66"/>
      <c r="L237" s="243">
        <f>30000/1.55</f>
        <v>19354.83870967742</v>
      </c>
      <c r="M237" s="243"/>
      <c r="N237" s="67">
        <f>38462304/F237</f>
        <v>10972.719030102444</v>
      </c>
      <c r="O237" s="66"/>
      <c r="P237" s="66"/>
    </row>
    <row r="238" spans="1:16" s="22" customFormat="1" ht="15.75" customHeight="1" x14ac:dyDescent="0.25">
      <c r="A238" s="134">
        <f t="shared" ref="A238" si="17">A237+1</f>
        <v>2</v>
      </c>
      <c r="B238" s="135"/>
      <c r="C238" s="68" t="s">
        <v>263</v>
      </c>
      <c r="D238" s="72">
        <f>(7.4*6.25+2.1*4.6+3.5*1.2+3.05*3.25+5.3*3.65+5.3*4.25+2.1*1.65+5.45*4.25+5.45*3.65+1.8*1.65+0.9*1+2.6*1.5+3.05*1.5+1.8*3.05+2.6*1.5+1.8*1.2+1.8*2.5+0.9*3+1.5*1.5+(2.55*1.25))*10.764</f>
        <v>2098.38798</v>
      </c>
      <c r="E238" s="68">
        <v>0</v>
      </c>
      <c r="F238" s="68">
        <f>D238*(($F$234)+1)+(IF(E238&lt;101,E238,IF(E238&lt;201,E238/2,IF(E238&lt;=301,E238/3,E238/4))))</f>
        <v>3357.420768</v>
      </c>
      <c r="G238" s="110"/>
      <c r="H238" s="111"/>
      <c r="I238" s="67"/>
      <c r="J238" s="66"/>
      <c r="K238" s="66"/>
      <c r="L238" s="243"/>
      <c r="M238" s="243"/>
      <c r="N238" s="67"/>
      <c r="O238" s="66"/>
      <c r="P238" s="66"/>
    </row>
    <row r="239" spans="1:16" s="26" customFormat="1" x14ac:dyDescent="0.25">
      <c r="A239" s="142" t="s">
        <v>266</v>
      </c>
      <c r="B239" s="143"/>
      <c r="C239" s="143"/>
      <c r="D239" s="143"/>
      <c r="E239" s="143"/>
      <c r="F239" s="143"/>
      <c r="G239" s="143"/>
      <c r="H239" s="144"/>
      <c r="I239" s="67"/>
      <c r="J239" s="66"/>
      <c r="K239" s="66"/>
      <c r="L239" s="66"/>
      <c r="M239" s="66"/>
      <c r="N239" s="67"/>
      <c r="O239" s="66"/>
      <c r="P239" s="66"/>
    </row>
    <row r="240" spans="1:16" s="26" customFormat="1" x14ac:dyDescent="0.25">
      <c r="A240" s="134">
        <v>1</v>
      </c>
      <c r="B240" s="135"/>
      <c r="C240" s="137" t="s">
        <v>267</v>
      </c>
      <c r="D240" s="138"/>
      <c r="E240" s="138"/>
      <c r="F240" s="139"/>
      <c r="G240" s="106" t="str">
        <f>A239</f>
        <v>8th (Part Refuge Area)</v>
      </c>
      <c r="H240" s="107"/>
      <c r="I240" s="67"/>
      <c r="J240" s="66"/>
      <c r="K240" s="66"/>
      <c r="L240" s="66"/>
      <c r="M240" s="66"/>
      <c r="N240" s="67"/>
      <c r="O240" s="66"/>
      <c r="P240" s="66"/>
    </row>
    <row r="241" spans="1:16" s="22" customFormat="1" x14ac:dyDescent="0.25">
      <c r="A241" s="134">
        <v>2</v>
      </c>
      <c r="B241" s="135"/>
      <c r="C241" s="68" t="s">
        <v>274</v>
      </c>
      <c r="D241" s="72">
        <f>(7.4*11+4.55*1.65+2.1*4.6+3.5*1.2+3.05*3.25+5.3*3.65+5.3*4.25+2.1*1.65+5.45*4.25+5.45*3.65+1.8*1.65+1*0.9+3.35*3.65+4.55*4.85+3.05*1.5+1.8*3.05+2.6*1.5+1.5*1.5+3.35*1.5+1.8*1+1.8*2.5+1*3+1.05*5.45+(2.55*1.25))*10.764</f>
        <v>2999.7653399999999</v>
      </c>
      <c r="E241" s="68">
        <v>0</v>
      </c>
      <c r="F241" s="68">
        <f>D241*(($F$234)+1)+(IF(E241&lt;101,E241,IF(E241&lt;201,E241/2,IF(E241&lt;=301,E241/3,E241/4))))</f>
        <v>4799.6245440000002</v>
      </c>
      <c r="G241" s="110">
        <f>G238</f>
        <v>0</v>
      </c>
      <c r="H241" s="111"/>
      <c r="I241" s="67"/>
      <c r="J241" s="66"/>
      <c r="K241" s="66"/>
      <c r="L241" s="243"/>
      <c r="M241" s="243"/>
      <c r="N241" s="67"/>
      <c r="O241" s="66"/>
      <c r="P241" s="66"/>
    </row>
    <row r="242" spans="1:16" s="22" customFormat="1" ht="15.75" customHeight="1" x14ac:dyDescent="0.25">
      <c r="A242" s="142" t="s">
        <v>268</v>
      </c>
      <c r="B242" s="143"/>
      <c r="C242" s="143"/>
      <c r="D242" s="143"/>
      <c r="E242" s="143"/>
      <c r="F242" s="143"/>
      <c r="G242" s="143"/>
      <c r="H242" s="144"/>
      <c r="I242" s="67"/>
      <c r="J242" s="66"/>
      <c r="K242" s="66"/>
      <c r="L242" s="243"/>
      <c r="M242" s="243"/>
      <c r="N242" s="66"/>
      <c r="O242" s="66"/>
      <c r="P242" s="66"/>
    </row>
    <row r="243" spans="1:16" s="22" customFormat="1" x14ac:dyDescent="0.25">
      <c r="A243" s="134">
        <v>1</v>
      </c>
      <c r="B243" s="135"/>
      <c r="C243" s="137" t="s">
        <v>267</v>
      </c>
      <c r="D243" s="138"/>
      <c r="E243" s="138"/>
      <c r="F243" s="139"/>
      <c r="G243" s="106" t="str">
        <f>A242</f>
        <v>15th (Part Refuge Area)</v>
      </c>
      <c r="H243" s="129"/>
      <c r="I243" s="67">
        <f>5.65*7.25+1.2*3+4.3*2.75+3.65*4.4+3.65*4.4+1.65*1.8+5.6*3.95+1*0.6+3.65*4.4+1.5*1.5+1.5*2.45+1.8*3.05+3.2*1.5+1.5*2.75+6.65*1.05</f>
        <v>157.58000000000001</v>
      </c>
      <c r="J243" s="79"/>
      <c r="K243" s="66"/>
      <c r="L243" s="66"/>
      <c r="M243" s="66"/>
      <c r="N243" s="67"/>
      <c r="O243" s="66"/>
      <c r="P243" s="66"/>
    </row>
    <row r="244" spans="1:16" s="22" customFormat="1" x14ac:dyDescent="0.25">
      <c r="A244" s="134">
        <v>2</v>
      </c>
      <c r="B244" s="135"/>
      <c r="C244" s="68" t="s">
        <v>274</v>
      </c>
      <c r="D244" s="72">
        <f>(7.4*10+5.7*2.5+2.1*4.6+3.05*3.25+5.3*3.65+5.3*4.25+5.45*4.25+5.45*3.65+1.8*1.65+0.9*1+3.35*3.65+1.8*1.65+5.45*4.85+0.3*1.05+2.6*1.5+3.05*1.5+1.8*3.05+2.6*1.5+2.6*1.5+1.8*3.65+2.1*1.65+1.8*1.2+1.8*2.5+0.9*3+1.5*1.5+1.05*5.6+3.5*1.2+(2.55*1.25))*10.764</f>
        <v>3177.9633599999993</v>
      </c>
      <c r="E244" s="68">
        <v>0</v>
      </c>
      <c r="F244" s="68">
        <f>D244*(($F$234)+1)+(IF(E244&lt;101,E244,IF(E244&lt;201,E244/2,IF(E244&lt;=301,E244/3,E244/4))))</f>
        <v>5084.741375999999</v>
      </c>
      <c r="G244" s="110"/>
      <c r="H244" s="130"/>
      <c r="I244" s="67"/>
      <c r="J244" s="66"/>
      <c r="K244" s="66"/>
      <c r="L244" s="66"/>
      <c r="M244" s="66"/>
      <c r="N244" s="67"/>
      <c r="O244" s="66"/>
      <c r="P244" s="66"/>
    </row>
    <row r="245" spans="1:16" s="27" customFormat="1" ht="15.6" customHeight="1" x14ac:dyDescent="0.25">
      <c r="A245" s="100" t="s">
        <v>269</v>
      </c>
      <c r="B245" s="101"/>
      <c r="C245" s="101"/>
      <c r="D245" s="101"/>
      <c r="E245" s="101"/>
      <c r="F245" s="101"/>
      <c r="G245" s="101"/>
      <c r="H245" s="101"/>
      <c r="I245" s="89"/>
      <c r="J245" s="66"/>
      <c r="K245" s="66"/>
      <c r="L245" s="66"/>
      <c r="M245" s="66"/>
      <c r="N245" s="67"/>
      <c r="O245" s="66"/>
      <c r="P245" s="66"/>
    </row>
    <row r="246" spans="1:16" s="22" customFormat="1" ht="15.75" customHeight="1" x14ac:dyDescent="0.25">
      <c r="A246" s="134">
        <v>1</v>
      </c>
      <c r="B246" s="135"/>
      <c r="C246" s="68" t="s">
        <v>263</v>
      </c>
      <c r="D246" s="72">
        <f>(7.4*6.25+2.02*4.6+3.58*1.2+3.136*3.25+5.3*3.65+5.3*4.85+2.1*1.65+5.45*4.85+5.45*3.65+1.8*1.65+0.9*1+2.52*1.5+3.05*1.5+1.8*3.65+2.6*1.5+1.8*1.2+1.8*2.5+1.05*2.95+1.5*1.5+(2.63*1.5)+(1.9*6.25))*10.764</f>
        <v>2318.4848699999998</v>
      </c>
      <c r="E246" s="68">
        <v>0</v>
      </c>
      <c r="F246" s="68">
        <f>D246*(($F$234)+1)+(IF(E246&lt;101,E246,IF(E246&lt;201,E246/2,IF(E246&lt;=301,E246/3,E246/4))))</f>
        <v>3709.5757919999996</v>
      </c>
      <c r="G246" s="106" t="str">
        <f>A245</f>
        <v>16th &amp; 17th Floor</v>
      </c>
      <c r="H246" s="107"/>
      <c r="I246" s="78">
        <f>7.4*6.25+2.02*4.6+3.58*1.2+3.136*3.25+5.3*3.65+5.3*4.85+2.1*1.65+5.45*4.85+5.45*3.65+1.8*1.65+0.9*1+2.52*1.5+3.05*1.5+1.8*3.65+2.6*1.5+1.8*1.2+1.8*2.5+1.05*2.95+1.5*1.5</f>
        <v>199.57249999999999</v>
      </c>
      <c r="J246" s="66"/>
      <c r="K246" s="66"/>
      <c r="L246" s="66">
        <f>61225000/F246</f>
        <v>16504.582581123337</v>
      </c>
      <c r="M246" s="66"/>
      <c r="N246" s="67"/>
      <c r="O246" s="66"/>
      <c r="P246" s="66"/>
    </row>
    <row r="247" spans="1:16" s="22" customFormat="1" ht="15.75" customHeight="1" x14ac:dyDescent="0.25">
      <c r="A247" s="131">
        <f>A246+1</f>
        <v>2</v>
      </c>
      <c r="B247" s="131"/>
      <c r="C247" s="68" t="s">
        <v>263</v>
      </c>
      <c r="D247" s="72">
        <f>(7.4*6.25+2.1*4.6+3.5*1.2+3.05*3.25+5.3*3.65+5.3*4.25+2.1*1.65+5.45*4.25+5.45*3.65+1.8*1.65+0.9*1+2.6*1.5+3.05*1.5+1.8*3.05+2.6*1.5+1.8*1.2+1.8*2.5+0.9*3+1.5*1.5+(2.55*1.25)+(1.9*6.25))*10.764</f>
        <v>2226.2104799999997</v>
      </c>
      <c r="E247" s="68">
        <v>0</v>
      </c>
      <c r="F247" s="68">
        <f t="shared" ref="F247:F249" si="18">D247*(($F$234)+1)+(IF(E247&lt;101,E247,IF(E247&lt;201,E247/2,IF(E247&lt;=301,E247/3,E247/4))))</f>
        <v>3561.9367679999996</v>
      </c>
      <c r="G247" s="110"/>
      <c r="H247" s="111"/>
      <c r="I247" s="67"/>
      <c r="J247" s="66"/>
      <c r="K247" s="66"/>
      <c r="L247" s="66"/>
      <c r="M247" s="66"/>
      <c r="N247" s="67"/>
      <c r="O247" s="66"/>
      <c r="P247" s="66"/>
    </row>
    <row r="248" spans="1:16" s="27" customFormat="1" x14ac:dyDescent="0.25">
      <c r="A248" s="142" t="s">
        <v>309</v>
      </c>
      <c r="B248" s="143"/>
      <c r="C248" s="143"/>
      <c r="D248" s="143"/>
      <c r="E248" s="143"/>
      <c r="F248" s="143"/>
      <c r="G248" s="143"/>
      <c r="H248" s="144"/>
      <c r="I248" s="67"/>
      <c r="J248" s="66"/>
      <c r="K248" s="66"/>
      <c r="L248" s="66"/>
      <c r="M248" s="66"/>
      <c r="N248" s="67"/>
      <c r="O248" s="66"/>
      <c r="P248" s="66"/>
    </row>
    <row r="249" spans="1:16" s="22" customFormat="1" ht="15.75" customHeight="1" x14ac:dyDescent="0.25">
      <c r="A249" s="131">
        <v>1</v>
      </c>
      <c r="B249" s="131"/>
      <c r="C249" s="68" t="s">
        <v>263</v>
      </c>
      <c r="D249" s="72">
        <f>(7.4*6.25+2.02*4.6+3.58*1.2+3.136*3.25+5.3*3.65+5.3*4.85+2.1*1.65+5.45*4.85+5.45*3.65+1.8*1.65+0.9*1+2.52*1.5+3.05*1.5+1.8*3.65+2.6*1.5+1.8*1.2+1.8*2.5+1.05*2.95+1.5*1.5+(2.63*1.5)+(1.9*6.25))*10.764</f>
        <v>2318.4848699999998</v>
      </c>
      <c r="E249" s="68">
        <v>0</v>
      </c>
      <c r="F249" s="68">
        <f t="shared" si="18"/>
        <v>3709.5757919999996</v>
      </c>
      <c r="G249" s="106" t="str">
        <f>A248</f>
        <v>18th to 20th Floor</v>
      </c>
      <c r="H249" s="107"/>
      <c r="I249" s="67"/>
      <c r="J249" s="66"/>
      <c r="K249" s="66"/>
      <c r="L249" s="66"/>
      <c r="M249" s="66"/>
      <c r="N249" s="67"/>
      <c r="O249" s="66"/>
      <c r="P249" s="66"/>
    </row>
    <row r="250" spans="1:16" s="22" customFormat="1" ht="15.75" customHeight="1" x14ac:dyDescent="0.25">
      <c r="A250" s="145">
        <v>2</v>
      </c>
      <c r="B250" s="145"/>
      <c r="C250" s="68" t="s">
        <v>263</v>
      </c>
      <c r="D250" s="72">
        <f>(7.4*6.25+2.1*4.6+3.5*1.2+3.05*3.25+5.3*3.65+5.3*4.25+2.1*1.65+5.45*4.25+5.45*3.65+1.8*1.65+0.9*1+2.6*1.5+3.05*1.5+1.8*3.05+2.6*1.5+1.8*1.2+1.8*2.5+0.9*3+1.5*1.5+(2.55*1.25)+(1.9*6.25))*10.764</f>
        <v>2226.2104799999997</v>
      </c>
      <c r="E250" s="80">
        <v>0</v>
      </c>
      <c r="F250" s="80">
        <f t="shared" ref="F250" si="19">D250*(($F$234)+1)+(IF(E250&lt;101,E250,IF(E250&lt;201,E250/2,IF(E250&lt;=301,E250/3,E250/4))))</f>
        <v>3561.9367679999996</v>
      </c>
      <c r="G250" s="110"/>
      <c r="H250" s="111"/>
      <c r="I250" s="67"/>
      <c r="J250" s="66"/>
      <c r="K250" s="66"/>
      <c r="L250" s="66"/>
      <c r="M250" s="66"/>
      <c r="N250" s="66"/>
      <c r="O250" s="66"/>
      <c r="P250" s="66"/>
    </row>
    <row r="251" spans="1:16" s="22" customFormat="1" x14ac:dyDescent="0.25">
      <c r="A251" s="132" t="s">
        <v>270</v>
      </c>
      <c r="B251" s="133"/>
      <c r="C251" s="133"/>
      <c r="D251" s="133"/>
      <c r="E251" s="133"/>
      <c r="F251" s="133"/>
      <c r="G251" s="133"/>
      <c r="H251" s="133"/>
      <c r="I251" s="81"/>
      <c r="J251" s="66"/>
      <c r="K251" s="66"/>
      <c r="L251" s="66"/>
      <c r="M251" s="66"/>
      <c r="N251" s="66"/>
      <c r="O251" s="66"/>
      <c r="P251" s="66"/>
    </row>
    <row r="252" spans="1:16" s="27" customFormat="1" ht="15.75" customHeight="1" x14ac:dyDescent="0.25">
      <c r="A252" s="132" t="s">
        <v>310</v>
      </c>
      <c r="B252" s="133"/>
      <c r="C252" s="133"/>
      <c r="D252" s="133"/>
      <c r="E252" s="133"/>
      <c r="F252" s="133"/>
      <c r="G252" s="133"/>
      <c r="H252" s="133"/>
      <c r="I252" s="70"/>
      <c r="J252" s="66"/>
      <c r="K252" s="66"/>
      <c r="L252" s="66"/>
      <c r="M252" s="66"/>
      <c r="N252" s="66"/>
      <c r="O252" s="66"/>
      <c r="P252" s="66"/>
    </row>
    <row r="253" spans="1:16" s="27" customFormat="1" ht="15.75" customHeight="1" x14ac:dyDescent="0.25">
      <c r="A253" s="110">
        <v>1</v>
      </c>
      <c r="B253" s="130"/>
      <c r="C253" s="68" t="s">
        <v>263</v>
      </c>
      <c r="D253" s="72">
        <f>(5.65*7.25+1.2*3+4.3*2.75+3.65*4.4+3.65*4.4+1.65*1.8+5.6*3.95+0.9*0.6+3.65*4.4+1.5*2.45+1.8*3.05+3.2*1.5+1.5*2.75+6.65*1.05+1.5*1.5)*10.764</f>
        <v>1695.5452800000003</v>
      </c>
      <c r="E253" s="82">
        <v>0</v>
      </c>
      <c r="F253" s="82">
        <f>D253*(($F$234)+1)+(IF(E253&lt;101,E253,IF(E253&lt;201,E253/2,IF(E253&lt;=301,E253/3,E253/4))))</f>
        <v>2712.8724480000005</v>
      </c>
      <c r="G253" s="106" t="str">
        <f>A252</f>
        <v>6th, 7th, 9th to 14th &amp; 16th to 20th Floor For Residential</v>
      </c>
      <c r="H253" s="107"/>
      <c r="I253" s="70"/>
      <c r="J253" s="66"/>
      <c r="K253" s="66"/>
      <c r="L253" s="66"/>
      <c r="M253" s="66"/>
      <c r="N253" s="66"/>
      <c r="O253" s="66"/>
      <c r="P253" s="66"/>
    </row>
    <row r="254" spans="1:16" s="27" customFormat="1" ht="15.75" customHeight="1" x14ac:dyDescent="0.25">
      <c r="A254" s="134">
        <v>2</v>
      </c>
      <c r="B254" s="135"/>
      <c r="C254" s="68" t="s">
        <v>263</v>
      </c>
      <c r="D254" s="72">
        <f>(5.65*7.25+1.2*3+4.3*2.75+3.65*4.4+3.65*4.4+1.65*1.8+5.6*3.95+0.9*0.6+3.65*4.4+1.5*2.45+1.8*3.05+3.2*1.5+1.5*2.75+6.65*1.05+1.5*1.5)*10.764</f>
        <v>1695.5452800000003</v>
      </c>
      <c r="E254" s="68">
        <v>0</v>
      </c>
      <c r="F254" s="68">
        <f>D254*(($F$234)+1)+(IF(E254&lt;101,E254,IF(E254&lt;201,E254/2,IF(E254&lt;=301,E254/3,E254/4))))</f>
        <v>2712.8724480000005</v>
      </c>
      <c r="G254" s="110"/>
      <c r="H254" s="111"/>
      <c r="I254" s="70"/>
      <c r="J254" s="66"/>
      <c r="K254" s="66"/>
      <c r="L254" s="66"/>
      <c r="M254" s="66"/>
      <c r="N254" s="66"/>
      <c r="O254" s="66"/>
      <c r="P254" s="66"/>
    </row>
    <row r="255" spans="1:16" s="27" customFormat="1" x14ac:dyDescent="0.25">
      <c r="A255" s="142" t="s">
        <v>271</v>
      </c>
      <c r="B255" s="143"/>
      <c r="C255" s="143"/>
      <c r="D255" s="143"/>
      <c r="E255" s="143"/>
      <c r="F255" s="143"/>
      <c r="G255" s="143"/>
      <c r="H255" s="144"/>
      <c r="I255" s="70"/>
      <c r="J255" s="66"/>
      <c r="K255" s="66"/>
      <c r="L255" s="66"/>
      <c r="M255" s="66"/>
      <c r="N255" s="66"/>
      <c r="O255" s="66"/>
      <c r="P255" s="66"/>
    </row>
    <row r="256" spans="1:16" s="27" customFormat="1" ht="15.75" customHeight="1" x14ac:dyDescent="0.25">
      <c r="A256" s="134">
        <v>1</v>
      </c>
      <c r="B256" s="135"/>
      <c r="C256" s="68" t="s">
        <v>273</v>
      </c>
      <c r="D256" s="72">
        <f>(5.65*7.25+1.2*3+5.8*5.6+4.3*2.75+3.65*4.4+3.65*4.4+1.65*1.8+5.6*3.95+0.9*0.6+3.65*4.4+4.76*5.6+1.65*2.7+1.5*2.45+1.8*3.05+3.2*1.5+1.5*2.75+1.5*2.75+6.65*1.05+1.5*1.5)*10.764</f>
        <v>2424.4403040000002</v>
      </c>
      <c r="E256" s="68">
        <v>0</v>
      </c>
      <c r="F256" s="68">
        <f>D256*(($F$234)+1)+(IF(E256&lt;101,E256,IF(E256&lt;201,E256/2,IF(E256&lt;=301,E256/3,E256/4))))</f>
        <v>3879.1044864000005</v>
      </c>
      <c r="G256" s="106" t="str">
        <f>A255</f>
        <v>8th Floor (Part Refuge Area)</v>
      </c>
      <c r="H256" s="107"/>
      <c r="I256" s="70"/>
      <c r="J256" s="66"/>
      <c r="K256" s="66"/>
      <c r="L256" s="66"/>
      <c r="M256" s="66"/>
      <c r="N256" s="66"/>
      <c r="O256" s="66"/>
      <c r="P256" s="66"/>
    </row>
    <row r="257" spans="1:16" s="27" customFormat="1" ht="15.75" customHeight="1" x14ac:dyDescent="0.25">
      <c r="A257" s="134" t="s">
        <v>265</v>
      </c>
      <c r="B257" s="135"/>
      <c r="C257" s="134" t="s">
        <v>272</v>
      </c>
      <c r="D257" s="148"/>
      <c r="E257" s="148"/>
      <c r="F257" s="135"/>
      <c r="G257" s="110"/>
      <c r="H257" s="111"/>
      <c r="I257" s="70"/>
      <c r="J257" s="66"/>
      <c r="K257" s="66"/>
      <c r="L257" s="66"/>
      <c r="M257" s="66"/>
      <c r="N257" s="66"/>
      <c r="O257" s="66"/>
      <c r="P257" s="66"/>
    </row>
    <row r="258" spans="1:16" s="27" customFormat="1" ht="15.75" customHeight="1" x14ac:dyDescent="0.25">
      <c r="A258" s="142" t="s">
        <v>275</v>
      </c>
      <c r="B258" s="143"/>
      <c r="C258" s="143"/>
      <c r="D258" s="143"/>
      <c r="E258" s="143"/>
      <c r="F258" s="143"/>
      <c r="G258" s="143"/>
      <c r="H258" s="144"/>
      <c r="I258" s="70"/>
      <c r="J258" s="66"/>
      <c r="K258" s="66"/>
      <c r="L258" s="66"/>
      <c r="M258" s="66"/>
      <c r="N258" s="66"/>
      <c r="O258" s="66"/>
      <c r="P258" s="66"/>
    </row>
    <row r="259" spans="1:16" s="27" customFormat="1" ht="15.75" customHeight="1" x14ac:dyDescent="0.25">
      <c r="A259" s="134">
        <v>1</v>
      </c>
      <c r="B259" s="135"/>
      <c r="C259" s="68" t="s">
        <v>273</v>
      </c>
      <c r="D259" s="72">
        <f>(9.95*7.25+1.5*5.6+1.2*3+4.3*2.75+3.65*4.4+3.65*4.4+1.65*1.8+5.6*3.95+0.9*0.6+3.65*4.4+5.25*5.6+1.65*2.7+1.5*2.45+1.8*3.05+3.2*1.5+1.5*2.75+1.5*2.75+6.65*1.05+1.5*1.5)*10.764</f>
        <v>2530.3472999999999</v>
      </c>
      <c r="E259" s="68">
        <v>0</v>
      </c>
      <c r="F259" s="68">
        <f>D259*(($F$234)+1)+(IF(E259&lt;101,E259,IF(E259&lt;201,E259/2,IF(E259&lt;=301,E259/3,E259/4))))</f>
        <v>4048.5556799999999</v>
      </c>
      <c r="G259" s="106" t="str">
        <f>A258</f>
        <v>15th Floor (Part Refuge Area)</v>
      </c>
      <c r="H259" s="129"/>
      <c r="I259" s="70"/>
      <c r="J259" s="66"/>
      <c r="K259" s="66"/>
      <c r="L259" s="66"/>
      <c r="M259" s="66"/>
      <c r="N259" s="66"/>
      <c r="O259" s="66"/>
      <c r="P259" s="66"/>
    </row>
    <row r="260" spans="1:16" s="27" customFormat="1" ht="15.75" customHeight="1" x14ac:dyDescent="0.25">
      <c r="A260" s="134" t="s">
        <v>265</v>
      </c>
      <c r="B260" s="135"/>
      <c r="C260" s="134" t="s">
        <v>272</v>
      </c>
      <c r="D260" s="148"/>
      <c r="E260" s="148"/>
      <c r="F260" s="135"/>
      <c r="G260" s="110"/>
      <c r="H260" s="130"/>
      <c r="I260" s="70"/>
      <c r="J260" s="66"/>
      <c r="K260" s="66"/>
      <c r="L260" s="66"/>
      <c r="M260" s="66"/>
      <c r="N260" s="66"/>
      <c r="O260" s="66"/>
      <c r="P260" s="66"/>
    </row>
    <row r="261" spans="1:16" s="27" customFormat="1" ht="15.75" customHeight="1" x14ac:dyDescent="0.25">
      <c r="A261" s="142" t="s">
        <v>276</v>
      </c>
      <c r="B261" s="143"/>
      <c r="C261" s="143"/>
      <c r="D261" s="143"/>
      <c r="E261" s="143"/>
      <c r="F261" s="143"/>
      <c r="G261" s="143"/>
      <c r="H261" s="144"/>
      <c r="I261" s="70"/>
      <c r="J261" s="66"/>
      <c r="K261" s="66"/>
      <c r="L261" s="66"/>
      <c r="M261" s="66"/>
      <c r="N261" s="66"/>
      <c r="O261" s="66"/>
      <c r="P261" s="66"/>
    </row>
    <row r="262" spans="1:16" s="27" customFormat="1" ht="15.75" customHeight="1" x14ac:dyDescent="0.25">
      <c r="A262" s="142" t="s">
        <v>310</v>
      </c>
      <c r="B262" s="143"/>
      <c r="C262" s="143"/>
      <c r="D262" s="143"/>
      <c r="E262" s="143"/>
      <c r="F262" s="143"/>
      <c r="G262" s="143"/>
      <c r="H262" s="144"/>
      <c r="I262" s="70"/>
      <c r="J262" s="66"/>
      <c r="K262" s="66"/>
      <c r="L262" s="66"/>
      <c r="M262" s="66"/>
      <c r="N262" s="66"/>
      <c r="O262" s="66"/>
      <c r="P262" s="66"/>
    </row>
    <row r="263" spans="1:16" s="27" customFormat="1" ht="15.75" customHeight="1" x14ac:dyDescent="0.25">
      <c r="A263" s="134">
        <v>1</v>
      </c>
      <c r="B263" s="135"/>
      <c r="C263" s="68" t="s">
        <v>263</v>
      </c>
      <c r="D263" s="72">
        <f>(6.8*4.6+4.7*1.65+3.05*1.2+2.75*3.25+3.65*3.65+3.65*4.85+1.05*1.65+3.65*4.85+1.65*1.05+4.1*3.65+2.45*1.5+2.45*1.5+1.5*2.6+2.45*1.5+1.05*5.45+1.5*1.5)*10.764</f>
        <v>1525.1242499999998</v>
      </c>
      <c r="E263" s="68">
        <v>0</v>
      </c>
      <c r="F263" s="68">
        <f>D263*(($F$234)+1)+(IF(E263&lt;101,E263,IF(E263&lt;201,E263/2,IF(E263&lt;=301,E263/3,E263/4))))</f>
        <v>2440.1987999999997</v>
      </c>
      <c r="G263" s="106" t="str">
        <f>A262</f>
        <v>6th, 7th, 9th to 14th &amp; 16th to 20th Floor For Residential</v>
      </c>
      <c r="H263" s="129"/>
      <c r="I263" s="70"/>
      <c r="J263" s="66"/>
      <c r="K263" s="66"/>
      <c r="L263" s="66"/>
      <c r="M263" s="66"/>
      <c r="N263" s="66"/>
      <c r="O263" s="66"/>
      <c r="P263" s="66"/>
    </row>
    <row r="264" spans="1:16" s="27" customFormat="1" x14ac:dyDescent="0.25">
      <c r="A264" s="134">
        <v>2</v>
      </c>
      <c r="B264" s="135"/>
      <c r="C264" s="68" t="s">
        <v>263</v>
      </c>
      <c r="D264" s="72">
        <f>(6.8*4.6+4.7*1.65+3.05*1.2+2.75*3.25+3.65*3.65+3.65*4.85+1.05*1.65+3.65*4.85+1.65*1.05+4.1*3.65+2.45*1.5+2.45*1.5+1.5*2.6+2.45*1.5+1.05*5.45+1.5*1.5)*10.764</f>
        <v>1525.1242499999998</v>
      </c>
      <c r="E264" s="68">
        <v>0</v>
      </c>
      <c r="F264" s="68">
        <f>D264*(($F$234)+1)+(IF(E264&lt;101,E264,IF(E264&lt;201,E264/2,IF(E264&lt;=301,E264/3,E264/4))))</f>
        <v>2440.1987999999997</v>
      </c>
      <c r="G264" s="110"/>
      <c r="H264" s="130"/>
      <c r="I264" s="70"/>
      <c r="J264" s="66"/>
      <c r="K264" s="66"/>
      <c r="L264" s="66"/>
      <c r="M264" s="66"/>
      <c r="N264" s="66"/>
      <c r="O264" s="66"/>
      <c r="P264" s="66"/>
    </row>
    <row r="265" spans="1:16" s="27" customFormat="1" x14ac:dyDescent="0.25">
      <c r="A265" s="136" t="s">
        <v>271</v>
      </c>
      <c r="B265" s="136"/>
      <c r="C265" s="136"/>
      <c r="D265" s="136"/>
      <c r="E265" s="136"/>
      <c r="F265" s="136"/>
      <c r="G265" s="136"/>
      <c r="H265" s="136"/>
      <c r="I265" s="70"/>
      <c r="J265" s="66"/>
      <c r="K265" s="66"/>
      <c r="L265" s="66"/>
      <c r="M265" s="66"/>
      <c r="N265" s="66"/>
      <c r="O265" s="66"/>
      <c r="P265" s="66"/>
    </row>
    <row r="266" spans="1:16" s="27" customFormat="1" ht="15.75" customHeight="1" x14ac:dyDescent="0.25">
      <c r="A266" s="131">
        <v>1</v>
      </c>
      <c r="B266" s="131"/>
      <c r="C266" s="131" t="s">
        <v>272</v>
      </c>
      <c r="D266" s="131"/>
      <c r="E266" s="131"/>
      <c r="F266" s="131"/>
      <c r="G266" s="131" t="str">
        <f>A265</f>
        <v>8th Floor (Part Refuge Area)</v>
      </c>
      <c r="H266" s="131"/>
      <c r="I266" s="70"/>
      <c r="J266" s="66"/>
      <c r="K266" s="66"/>
      <c r="L266" s="66"/>
      <c r="M266" s="66"/>
      <c r="N266" s="66"/>
      <c r="O266" s="66"/>
      <c r="P266" s="66"/>
    </row>
    <row r="267" spans="1:16" s="27" customFormat="1" ht="15.75" customHeight="1" x14ac:dyDescent="0.25">
      <c r="A267" s="131">
        <v>2</v>
      </c>
      <c r="B267" s="131"/>
      <c r="C267" s="83" t="s">
        <v>273</v>
      </c>
      <c r="D267" s="72">
        <f>(6.8*4.6+4.2*6.4+4.7*1.65+3.05*1.2+2.75*3.25+3.65*3.65+3.65*4.55+1.05*1.65+3.65*4.55+1.65*1.05+4.1*3.65+4.8*7.6+3.65*1.05+2.45*1.5+2.45*1.5+2.45*1.5+1.5*2.6+2.45*1.5+1.05*5.45+1.5*1.5+2.2*1.65)*10.764</f>
        <v>2303.44218</v>
      </c>
      <c r="E267" s="96">
        <v>0</v>
      </c>
      <c r="F267" s="96">
        <f>D267*(($F$234)+1)+(IF(E267&lt;101,E267,IF(E267&lt;201,E267/2,IF(E267&lt;=301,E267/3,E267/4))))</f>
        <v>3685.5074880000002</v>
      </c>
      <c r="G267" s="131"/>
      <c r="H267" s="131"/>
      <c r="I267" s="70">
        <f>6.8*4.6+4.2*6.4+4.7*1.65+3.05*1.2+2.75*3.25+3.65*3.65+3.65*4.55+1.05*1.65+3.65*4.55+1.65*1.05+4.1*3.65+4.8*7.6+3.65*1.05+2.45*1.5+2.45*1.5+2.45*1.5+1.5*2.6+2.45*1.5+1.05*5.45+1.5*1.5+2.2*1.65</f>
        <v>213.99500000000003</v>
      </c>
      <c r="J267" s="66"/>
      <c r="K267" s="66"/>
      <c r="L267" s="66"/>
      <c r="M267" s="66"/>
      <c r="N267" s="66"/>
      <c r="O267" s="66"/>
      <c r="P267" s="66"/>
    </row>
    <row r="268" spans="1:16" s="27" customFormat="1" ht="15.75" customHeight="1" x14ac:dyDescent="0.25">
      <c r="A268" s="136" t="s">
        <v>275</v>
      </c>
      <c r="B268" s="136"/>
      <c r="C268" s="136"/>
      <c r="D268" s="136"/>
      <c r="E268" s="136"/>
      <c r="F268" s="136"/>
      <c r="G268" s="136"/>
      <c r="H268" s="136"/>
      <c r="I268" s="70"/>
      <c r="J268" s="66"/>
      <c r="K268" s="66"/>
      <c r="L268" s="66"/>
      <c r="M268" s="66"/>
      <c r="N268" s="66"/>
      <c r="O268" s="66"/>
      <c r="P268" s="66"/>
    </row>
    <row r="269" spans="1:16" s="27" customFormat="1" ht="15.75" customHeight="1" x14ac:dyDescent="0.25">
      <c r="A269" s="131">
        <v>1</v>
      </c>
      <c r="B269" s="131"/>
      <c r="C269" s="131" t="s">
        <v>272</v>
      </c>
      <c r="D269" s="131"/>
      <c r="E269" s="131"/>
      <c r="F269" s="131"/>
      <c r="G269" s="131" t="str">
        <f>A268</f>
        <v>15th Floor (Part Refuge Area)</v>
      </c>
      <c r="H269" s="131"/>
      <c r="I269" s="70"/>
      <c r="J269" s="66"/>
      <c r="K269" s="66"/>
      <c r="L269" s="66"/>
      <c r="M269" s="66"/>
      <c r="N269" s="66"/>
      <c r="O269" s="66"/>
      <c r="P269" s="66"/>
    </row>
    <row r="270" spans="1:16" s="27" customFormat="1" ht="15.75" customHeight="1" x14ac:dyDescent="0.25">
      <c r="A270" s="131">
        <v>2</v>
      </c>
      <c r="B270" s="131"/>
      <c r="C270" s="96" t="s">
        <v>273</v>
      </c>
      <c r="D270" s="83">
        <f>(6.8*4.6+3.65*6.4+4.7*1.65+3.05*1.2+2.75*3.25+3.65*3.65+3.65*4.55+1.05*1.65+3.65*4.55+1.65*1.05+4.1*3.65+4.1*7.6+3.65*1.05+2.45*1.5+2.45*1.5+2.45*1.5+1.5*2.6+2.45*1.5+1.05*5.45+1.5*1.5+1.5*1.65)*10.764</f>
        <v>2195.8560000000007</v>
      </c>
      <c r="E270" s="96">
        <v>0</v>
      </c>
      <c r="F270" s="96">
        <f>D270*(($F$234)+1)+(IF(E270&lt;101,E270,IF(E270&lt;201,E270/2,IF(E270&lt;=301,E270/3,E270/4))))</f>
        <v>3513.3696000000014</v>
      </c>
      <c r="G270" s="131"/>
      <c r="H270" s="131"/>
      <c r="I270" s="70"/>
      <c r="J270" s="66"/>
      <c r="K270" s="66"/>
      <c r="L270" s="66"/>
      <c r="M270" s="66"/>
      <c r="N270" s="66"/>
      <c r="O270" s="66"/>
      <c r="P270" s="66"/>
    </row>
    <row r="271" spans="1:16" s="27" customFormat="1" ht="15.75" customHeight="1" x14ac:dyDescent="0.25">
      <c r="A271" s="136" t="s">
        <v>277</v>
      </c>
      <c r="B271" s="136"/>
      <c r="C271" s="136"/>
      <c r="D271" s="136"/>
      <c r="E271" s="136"/>
      <c r="F271" s="136"/>
      <c r="G271" s="136"/>
      <c r="H271" s="136"/>
      <c r="I271" s="70"/>
      <c r="J271" s="66"/>
      <c r="K271" s="66"/>
      <c r="L271" s="66"/>
      <c r="M271" s="66"/>
      <c r="N271" s="66"/>
      <c r="O271" s="66"/>
      <c r="P271" s="66"/>
    </row>
    <row r="272" spans="1:16" s="27" customFormat="1" ht="15.75" customHeight="1" x14ac:dyDescent="0.25">
      <c r="A272" s="142" t="s">
        <v>311</v>
      </c>
      <c r="B272" s="143"/>
      <c r="C272" s="143"/>
      <c r="D272" s="143"/>
      <c r="E272" s="143"/>
      <c r="F272" s="143"/>
      <c r="G272" s="143"/>
      <c r="H272" s="144"/>
      <c r="I272" s="70"/>
      <c r="J272" s="66"/>
      <c r="K272" s="66"/>
      <c r="L272" s="66"/>
      <c r="M272" s="66"/>
      <c r="N272" s="66"/>
      <c r="O272" s="66"/>
      <c r="P272" s="66"/>
    </row>
    <row r="273" spans="1:16" s="27" customFormat="1" ht="15.75" customHeight="1" x14ac:dyDescent="0.25">
      <c r="A273" s="134">
        <v>1</v>
      </c>
      <c r="B273" s="135"/>
      <c r="C273" s="68" t="s">
        <v>263</v>
      </c>
      <c r="D273" s="72">
        <f>(6.65*4.3+2.75*1.05+2.45*3.1+3.88*3.2+3.43*4.5+0.45*1.05+3.35*4.5+1.65*1.05+4.1*3.2+2.45*1.35+1.5*2.45+1.5*2.45+2.45*1.35+1.05*6.05+1.5*1.35)*10.764</f>
        <v>1288.1386440000001</v>
      </c>
      <c r="E273" s="68">
        <v>0</v>
      </c>
      <c r="F273" s="68">
        <f>D273*(($F$234)+1)+(IF(E273&lt;101,E273,IF(E273&lt;201,E273/2,IF(E273&lt;=301,E273/3,E273/4))))</f>
        <v>2061.0218304000005</v>
      </c>
      <c r="G273" s="106" t="str">
        <f>A272</f>
        <v>6th, 7th, 9th to 12th Floor For Residential</v>
      </c>
      <c r="H273" s="129"/>
      <c r="I273" s="70"/>
      <c r="J273" s="66"/>
      <c r="K273" s="66"/>
      <c r="L273" s="66"/>
      <c r="M273" s="66"/>
      <c r="N273" s="66"/>
      <c r="O273" s="66"/>
      <c r="P273" s="66"/>
    </row>
    <row r="274" spans="1:16" s="27" customFormat="1" ht="15.75" customHeight="1" x14ac:dyDescent="0.25">
      <c r="A274" s="134">
        <v>2</v>
      </c>
      <c r="B274" s="135"/>
      <c r="C274" s="68" t="s">
        <v>263</v>
      </c>
      <c r="D274" s="72">
        <f>(6.65*4.3+2.75*1.05+2.45*3.1+3.88*3.2+3.43*4.5+0.45*1.05+3.35*4.5+1.65*1.05+4.1*3.2+2.45*1.35+1.5*2.45+1.5*2.45+2.45*1.35+1.05*6.05+1.5*1.35)*10.764</f>
        <v>1288.1386440000001</v>
      </c>
      <c r="E274" s="68">
        <v>0</v>
      </c>
      <c r="F274" s="68">
        <f>D274*(($F$234)+1)+(IF(E274&lt;101,E274,IF(E274&lt;201,E274/2,IF(E274&lt;=301,E274/3,E274/4))))</f>
        <v>2061.0218304000005</v>
      </c>
      <c r="G274" s="110"/>
      <c r="H274" s="130"/>
      <c r="I274" s="70"/>
      <c r="J274" s="66"/>
      <c r="K274" s="66"/>
      <c r="L274" s="66"/>
      <c r="M274" s="66"/>
      <c r="N274" s="66"/>
      <c r="O274" s="66"/>
      <c r="P274" s="66"/>
    </row>
    <row r="275" spans="1:16" s="27" customFormat="1" x14ac:dyDescent="0.25">
      <c r="A275" s="142" t="s">
        <v>271</v>
      </c>
      <c r="B275" s="143"/>
      <c r="C275" s="143"/>
      <c r="D275" s="143"/>
      <c r="E275" s="143"/>
      <c r="F275" s="143"/>
      <c r="G275" s="143"/>
      <c r="H275" s="144"/>
      <c r="I275" s="70"/>
      <c r="J275" s="66"/>
      <c r="K275" s="66"/>
      <c r="L275" s="66"/>
      <c r="M275" s="66"/>
      <c r="N275" s="66"/>
      <c r="O275" s="66"/>
      <c r="P275" s="66"/>
    </row>
    <row r="276" spans="1:16" s="27" customFormat="1" ht="15.75" customHeight="1" x14ac:dyDescent="0.25">
      <c r="A276" s="134">
        <v>1</v>
      </c>
      <c r="B276" s="135"/>
      <c r="C276" s="68" t="s">
        <v>264</v>
      </c>
      <c r="D276" s="72">
        <f>(6.65*4.3+2.75*1.05+4.1*4.45+2.45*3.1+3.88*3.2+3.43*4.5+0.45*1.05+3.35*4.5+1.65*1.05+4.1*3.2+4.1*4.85+3.35*4.5+1.65*1.05+2.45*1.35+1.5*2.45+1.5*2.45+2.45*1.35+1.5*2.45+1.05*6.05+1.5*1.35)*10.764</f>
        <v>1919.043594</v>
      </c>
      <c r="E276" s="68">
        <v>0</v>
      </c>
      <c r="F276" s="68">
        <f>D276*(($F$234)+1)+(IF(E276&lt;101,E276,IF(E276&lt;201,E276/2,IF(E276&lt;=301,E276/3,E276/4))))</f>
        <v>3070.4697504000001</v>
      </c>
      <c r="G276" s="106" t="str">
        <f>A275</f>
        <v>8th Floor (Part Refuge Area)</v>
      </c>
      <c r="H276" s="129"/>
      <c r="I276" s="70"/>
      <c r="J276" s="66"/>
      <c r="K276" s="66"/>
      <c r="L276" s="66"/>
      <c r="M276" s="66"/>
      <c r="N276" s="66"/>
      <c r="O276" s="66"/>
      <c r="P276" s="66"/>
    </row>
    <row r="277" spans="1:16" s="27" customFormat="1" ht="15.75" customHeight="1" x14ac:dyDescent="0.25">
      <c r="A277" s="134">
        <v>2</v>
      </c>
      <c r="B277" s="135"/>
      <c r="C277" s="134" t="s">
        <v>272</v>
      </c>
      <c r="D277" s="148"/>
      <c r="E277" s="148"/>
      <c r="F277" s="135"/>
      <c r="G277" s="110"/>
      <c r="H277" s="130"/>
      <c r="I277" s="70"/>
      <c r="J277" s="66"/>
      <c r="K277" s="66"/>
      <c r="L277" s="66"/>
      <c r="M277" s="66"/>
      <c r="N277" s="66"/>
      <c r="O277" s="66"/>
      <c r="P277" s="66"/>
    </row>
    <row r="278" spans="1:16" s="27" customFormat="1" x14ac:dyDescent="0.25">
      <c r="A278" s="142" t="s">
        <v>312</v>
      </c>
      <c r="B278" s="143"/>
      <c r="C278" s="143"/>
      <c r="D278" s="143"/>
      <c r="E278" s="143"/>
      <c r="F278" s="143"/>
      <c r="G278" s="143"/>
      <c r="H278" s="144"/>
      <c r="I278" s="70"/>
      <c r="J278" s="66"/>
      <c r="K278" s="66"/>
      <c r="L278" s="66"/>
      <c r="M278" s="66"/>
      <c r="N278" s="66"/>
      <c r="O278" s="66"/>
      <c r="P278" s="66"/>
    </row>
    <row r="279" spans="1:16" s="27" customFormat="1" ht="15.75" customHeight="1" x14ac:dyDescent="0.25">
      <c r="A279" s="134">
        <v>1</v>
      </c>
      <c r="B279" s="135"/>
      <c r="C279" s="68" t="s">
        <v>263</v>
      </c>
      <c r="D279" s="72">
        <f>(7.55*4.3+2.75*1.05+2.38*3.1+3.88*3.2+3.43*4.5+0.45*1.05+3.35*4.5+1.65*1.05+4.1*3.2+2.45*1.35*2+1.5*2.45*2+1.05*6.05+1.5*1.35)*10.764</f>
        <v>1327.4595360000001</v>
      </c>
      <c r="E279" s="68">
        <v>0</v>
      </c>
      <c r="F279" s="68">
        <f>D279*(($F$234)+1)+(IF(E279&lt;101,E279,IF(E279&lt;201,E279/2,IF(E279&lt;=301,E279/3,E279/4))))</f>
        <v>2123.9352576000001</v>
      </c>
      <c r="G279" s="106" t="str">
        <f>G276</f>
        <v>8th Floor (Part Refuge Area)</v>
      </c>
      <c r="H279" s="129"/>
      <c r="I279" s="70"/>
      <c r="J279" s="66"/>
      <c r="K279" s="66"/>
      <c r="L279" s="66"/>
      <c r="M279" s="66"/>
      <c r="N279" s="66"/>
      <c r="O279" s="66"/>
      <c r="P279" s="66"/>
    </row>
    <row r="280" spans="1:16" s="27" customFormat="1" ht="15.75" customHeight="1" x14ac:dyDescent="0.25">
      <c r="A280" s="134">
        <v>2</v>
      </c>
      <c r="B280" s="135"/>
      <c r="C280" s="68" t="s">
        <v>263</v>
      </c>
      <c r="D280" s="72">
        <f>(7.55*4.3+2.75*1.05+2.38*3.1+3.88*3.2+3.43*4.5+0.45*1.05+3.35*4.5+1.65*1.05+4.1*3.2+2.45*1.35*2+1.5*2.45*2+1.05*6.05+1.5*1.35)*10.764</f>
        <v>1327.4595360000001</v>
      </c>
      <c r="E280" s="68">
        <v>0</v>
      </c>
      <c r="F280" s="68">
        <f>D280*(($F$234)+1)+(IF(E280&lt;101,E280,IF(E280&lt;201,E280/2,IF(E280&lt;=301,E280/3,E280/4))))</f>
        <v>2123.9352576000001</v>
      </c>
      <c r="G280" s="110"/>
      <c r="H280" s="130"/>
      <c r="I280" s="70"/>
      <c r="J280" s="66"/>
      <c r="K280" s="66"/>
      <c r="L280" s="66"/>
      <c r="M280" s="66"/>
      <c r="N280" s="66"/>
      <c r="O280" s="66"/>
      <c r="P280" s="66"/>
    </row>
    <row r="281" spans="1:16" s="27" customFormat="1" x14ac:dyDescent="0.25">
      <c r="A281" s="142" t="s">
        <v>275</v>
      </c>
      <c r="B281" s="143"/>
      <c r="C281" s="143"/>
      <c r="D281" s="143"/>
      <c r="E281" s="143"/>
      <c r="F281" s="143"/>
      <c r="G281" s="143"/>
      <c r="H281" s="144"/>
      <c r="I281" s="70"/>
      <c r="J281" s="66"/>
      <c r="K281" s="66"/>
      <c r="L281" s="66"/>
      <c r="M281" s="66"/>
      <c r="N281" s="66"/>
      <c r="O281" s="66"/>
      <c r="P281" s="66"/>
    </row>
    <row r="282" spans="1:16" s="27" customFormat="1" ht="15.75" customHeight="1" x14ac:dyDescent="0.25">
      <c r="A282" s="134">
        <v>1</v>
      </c>
      <c r="B282" s="135"/>
      <c r="C282" s="68" t="s">
        <v>264</v>
      </c>
      <c r="D282" s="72">
        <f>(7.55*4.3+5*4.45+2.75*1.05+2.38*3.1+3.88*3.2+3.43*4.5+0.45*1.05+3.35*4.5+1.65*1.05+4.1*3.2+4.1*4.85+3.35*4.5+1.65*1.05+2.45*1.35*2+1.5*2.45*2+1.5*2.45+1.05*6.05+1.5*1.35)*10.764</f>
        <v>2001.4743059999998</v>
      </c>
      <c r="E282" s="68">
        <v>0</v>
      </c>
      <c r="F282" s="68">
        <f>D282*(($F$234)+1)+(IF(E282&lt;101,E282,IF(E282&lt;201,E282/2,IF(E282&lt;=301,E282/3,E282/4))))</f>
        <v>3202.3588896000001</v>
      </c>
      <c r="G282" s="106" t="str">
        <f>A281</f>
        <v>15th Floor (Part Refuge Area)</v>
      </c>
      <c r="H282" s="129"/>
      <c r="I282" s="70"/>
      <c r="J282" s="66"/>
      <c r="K282" s="66"/>
      <c r="L282" s="66"/>
      <c r="M282" s="66"/>
      <c r="N282" s="66"/>
      <c r="O282" s="66"/>
      <c r="P282" s="66"/>
    </row>
    <row r="283" spans="1:16" s="27" customFormat="1" ht="15.75" customHeight="1" x14ac:dyDescent="0.25">
      <c r="A283" s="134">
        <v>2</v>
      </c>
      <c r="B283" s="135"/>
      <c r="C283" s="134" t="s">
        <v>272</v>
      </c>
      <c r="D283" s="148"/>
      <c r="E283" s="148"/>
      <c r="F283" s="135"/>
      <c r="G283" s="110"/>
      <c r="H283" s="130"/>
      <c r="I283" s="70"/>
      <c r="J283" s="66"/>
      <c r="K283" s="66"/>
      <c r="L283" s="66"/>
      <c r="M283" s="66"/>
      <c r="N283" s="66"/>
      <c r="O283" s="66"/>
      <c r="P283" s="66"/>
    </row>
    <row r="284" spans="1:16" s="27" customFormat="1" x14ac:dyDescent="0.25">
      <c r="A284" s="142" t="s">
        <v>278</v>
      </c>
      <c r="B284" s="143"/>
      <c r="C284" s="143"/>
      <c r="D284" s="143"/>
      <c r="E284" s="143"/>
      <c r="F284" s="143"/>
      <c r="G284" s="143"/>
      <c r="H284" s="144"/>
      <c r="I284" s="70"/>
      <c r="J284" s="66"/>
      <c r="K284" s="66"/>
      <c r="L284" s="66"/>
      <c r="M284" s="66"/>
      <c r="N284" s="66"/>
      <c r="O284" s="66"/>
      <c r="P284" s="66"/>
    </row>
    <row r="285" spans="1:16" s="27" customFormat="1" x14ac:dyDescent="0.25">
      <c r="A285" s="142" t="s">
        <v>279</v>
      </c>
      <c r="B285" s="143"/>
      <c r="C285" s="143"/>
      <c r="D285" s="143"/>
      <c r="E285" s="143"/>
      <c r="F285" s="143"/>
      <c r="G285" s="143"/>
      <c r="H285" s="144"/>
      <c r="I285" s="70"/>
      <c r="J285" s="66"/>
      <c r="K285" s="66"/>
      <c r="L285" s="66"/>
      <c r="M285" s="66"/>
      <c r="N285" s="66"/>
      <c r="O285" s="66"/>
      <c r="P285" s="66"/>
    </row>
    <row r="286" spans="1:16" s="27" customFormat="1" ht="15.75" customHeight="1" x14ac:dyDescent="0.25">
      <c r="A286" s="134">
        <v>1</v>
      </c>
      <c r="B286" s="135"/>
      <c r="C286" s="68" t="s">
        <v>280</v>
      </c>
      <c r="D286" s="72">
        <f>(3.2*5.6+1.95*2.4+2.45*3.2+3.05*3.05+3.2*4.1+1.5*2.25*2+3.2*0.9)*10.764</f>
        <v>672.66926999999987</v>
      </c>
      <c r="E286" s="68">
        <v>0</v>
      </c>
      <c r="F286" s="68">
        <f>D286*(($F$234)+1)+(IF(E286&lt;101,E286,IF(E286&lt;201,E286/2,IF(E286&lt;=301,E286/3,E286/4))))</f>
        <v>1076.2708319999999</v>
      </c>
      <c r="G286" s="106" t="str">
        <f>A285</f>
        <v>6th &amp; 7th Floor For Residential</v>
      </c>
      <c r="H286" s="107"/>
      <c r="I286" s="70">
        <f>3.2*5.6+1.95*2.4+2.45*3.2+3.05*3.05+3.2*4.1+1.5*2.25*2+3.2*0.9</f>
        <v>62.492499999999993</v>
      </c>
      <c r="J286" s="66"/>
      <c r="K286" s="66"/>
      <c r="L286" s="66"/>
      <c r="M286" s="66"/>
      <c r="N286" s="66"/>
      <c r="O286" s="66"/>
      <c r="P286" s="66"/>
    </row>
    <row r="287" spans="1:16" s="27" customFormat="1" ht="15.75" customHeight="1" x14ac:dyDescent="0.25">
      <c r="A287" s="134">
        <v>2</v>
      </c>
      <c r="B287" s="135"/>
      <c r="C287" s="68" t="s">
        <v>281</v>
      </c>
      <c r="D287" s="69">
        <f>(3.2*6.65+1.95*2.6+2.45*3.2+3.05*3.2+3.2*4.05+3.05*2.9+1.5*2.45*2+1.35*2.4+3.2*0.9+(2.45*0.9))*10.764</f>
        <v>876.51251999999977</v>
      </c>
      <c r="E287" s="68">
        <v>0</v>
      </c>
      <c r="F287" s="68">
        <f>D287*(($F$234)+1)+(IF(E287&lt;101,E287,IF(E287&lt;201,E287/2,IF(E287&lt;=301,E287/3,E287/4))))</f>
        <v>1402.4200319999998</v>
      </c>
      <c r="G287" s="108"/>
      <c r="H287" s="109"/>
      <c r="I287" s="70">
        <f>3.2*6.65+1.95*2.6+2.45*3.2+3.05*3.2+3.2*4.05+3.05*2.9+1.5*2.45*2+1.35*2.4+3.2*0.9</f>
        <v>79.22499999999998</v>
      </c>
      <c r="J287" s="66"/>
      <c r="K287" s="66"/>
      <c r="L287" s="66"/>
      <c r="M287" s="66"/>
      <c r="N287" s="66"/>
      <c r="O287" s="66"/>
      <c r="P287" s="66"/>
    </row>
    <row r="288" spans="1:16" s="27" customFormat="1" ht="15.75" customHeight="1" x14ac:dyDescent="0.25">
      <c r="A288" s="134">
        <v>3</v>
      </c>
      <c r="B288" s="135"/>
      <c r="C288" s="68" t="s">
        <v>280</v>
      </c>
      <c r="D288" s="72">
        <f>(3.05*5.45+1*2.4+2.3*2.9+2.9*3.05+1.6*0.9+3.05*2.9+2.25*1.35+1.35*2.4)*10.764</f>
        <v>550.04039999999986</v>
      </c>
      <c r="E288" s="68">
        <v>0</v>
      </c>
      <c r="F288" s="68">
        <f>D288*(($F$234)+1)+(IF(E288&lt;101,E288,IF(E288&lt;201,E288/2,IF(E288&lt;=301,E288/3,E288/4))))</f>
        <v>880.06463999999983</v>
      </c>
      <c r="G288" s="108"/>
      <c r="H288" s="109"/>
      <c r="I288" s="70"/>
      <c r="J288" s="66"/>
      <c r="K288" s="66"/>
      <c r="L288" s="66"/>
      <c r="M288" s="66"/>
      <c r="N288" s="66"/>
      <c r="O288" s="66"/>
      <c r="P288" s="66"/>
    </row>
    <row r="289" spans="1:16" s="27" customFormat="1" ht="15.75" customHeight="1" x14ac:dyDescent="0.25">
      <c r="A289" s="134">
        <v>4</v>
      </c>
      <c r="B289" s="135"/>
      <c r="C289" s="68" t="s">
        <v>281</v>
      </c>
      <c r="D289" s="72">
        <f>(3.2*6+0.5*1.05+2.45*3.3+3.05*3.3+3.2*3.8+0.9*1.65+3.2*4.8+2.15*1.5+2.2*1.5+5.8*0.9+(3.2*0.95)+(2.45*0.95))*10.764</f>
        <v>904.09526999999991</v>
      </c>
      <c r="E289" s="68">
        <v>0</v>
      </c>
      <c r="F289" s="68">
        <f>D289*(($F$234)+1)+(IF(E289&lt;101,E289,IF(E289&lt;201,E289/2,IF(E289&lt;=301,E289/3,E289/4))))</f>
        <v>1446.552432</v>
      </c>
      <c r="G289" s="108"/>
      <c r="H289" s="109"/>
      <c r="I289" s="70"/>
      <c r="J289" s="66"/>
      <c r="K289" s="66"/>
      <c r="L289" s="66"/>
      <c r="M289" s="66"/>
      <c r="N289" s="66"/>
      <c r="O289" s="66"/>
      <c r="P289" s="66"/>
    </row>
    <row r="290" spans="1:16" s="27" customFormat="1" ht="15.75" customHeight="1" x14ac:dyDescent="0.25">
      <c r="A290" s="134">
        <v>5</v>
      </c>
      <c r="B290" s="135"/>
      <c r="C290" s="68" t="s">
        <v>281</v>
      </c>
      <c r="D290" s="72">
        <f>(3.2*5.9+0.5*1.05+2.45*3.2+3.05*4.25+3.2*3.65+0.9*1.65+4.1*3.15+1.5*0.9+2.2*1.5+2.15*1.5+1.35*2.1+5.65*0.9+(3.2*0.9)+(2.45*0.9))*10.764</f>
        <v>938.27096999999969</v>
      </c>
      <c r="E290" s="68">
        <v>0</v>
      </c>
      <c r="F290" s="68">
        <f>D290*(($F$234)+1)+(IF(E290&lt;101,E290,IF(E290&lt;201,E290/2,IF(E290&lt;=301,E290/3,E290/4))))</f>
        <v>1501.2335519999997</v>
      </c>
      <c r="G290" s="110"/>
      <c r="H290" s="111"/>
      <c r="I290" s="70"/>
      <c r="J290" s="66"/>
      <c r="K290" s="66"/>
      <c r="L290" s="66"/>
      <c r="M290" s="66"/>
      <c r="N290" s="66"/>
      <c r="O290" s="66"/>
      <c r="P290" s="66"/>
    </row>
    <row r="291" spans="1:16" s="27" customFormat="1" x14ac:dyDescent="0.25">
      <c r="A291" s="142" t="s">
        <v>271</v>
      </c>
      <c r="B291" s="143"/>
      <c r="C291" s="143"/>
      <c r="D291" s="143"/>
      <c r="E291" s="143"/>
      <c r="F291" s="143"/>
      <c r="G291" s="143"/>
      <c r="H291" s="144"/>
      <c r="I291" s="70"/>
      <c r="J291" s="66"/>
      <c r="K291" s="66"/>
      <c r="L291" s="66"/>
      <c r="M291" s="66"/>
      <c r="N291" s="66"/>
      <c r="O291" s="66"/>
      <c r="P291" s="66"/>
    </row>
    <row r="292" spans="1:16" s="27" customFormat="1" ht="15.75" customHeight="1" x14ac:dyDescent="0.25">
      <c r="A292" s="134">
        <v>1</v>
      </c>
      <c r="B292" s="135"/>
      <c r="C292" s="68" t="s">
        <v>280</v>
      </c>
      <c r="D292" s="72">
        <f>(3.2*5.6+1.95*2.4+2.45*3.2+3.05*3.05+3.2*4.1+1.5*2.25*2+3.2*0.9)*10.764</f>
        <v>672.66926999999987</v>
      </c>
      <c r="E292" s="68">
        <v>0</v>
      </c>
      <c r="F292" s="68">
        <f>D292*(($F$234)+1)+(IF(E292&lt;101,E292,IF(E292&lt;201,E292/2,IF(E292&lt;=301,E292/3,E292/4))))</f>
        <v>1076.2708319999999</v>
      </c>
      <c r="G292" s="106" t="str">
        <f>A291</f>
        <v>8th Floor (Part Refuge Area)</v>
      </c>
      <c r="H292" s="129"/>
      <c r="I292" s="70"/>
      <c r="J292" s="66"/>
      <c r="K292" s="66"/>
      <c r="L292" s="66"/>
      <c r="M292" s="66"/>
      <c r="N292" s="66"/>
      <c r="O292" s="66"/>
      <c r="P292" s="66"/>
    </row>
    <row r="293" spans="1:16" s="27" customFormat="1" ht="15.75" customHeight="1" x14ac:dyDescent="0.25">
      <c r="A293" s="134">
        <v>2</v>
      </c>
      <c r="B293" s="135"/>
      <c r="C293" s="68" t="s">
        <v>281</v>
      </c>
      <c r="D293" s="72">
        <f>(3.2*6.65+1.95*2.6+2.45*3.2+3.05*3.2+3.2*4.05+3.05*2.9+1.5*2.45*2+1.35*2.4+3.2*0.9+(2.45*0.9))*10.764</f>
        <v>876.51251999999977</v>
      </c>
      <c r="E293" s="68">
        <v>0</v>
      </c>
      <c r="F293" s="68">
        <f>D293*(($F$234)+1)+(IF(E293&lt;101,E293,IF(E293&lt;201,E293/2,IF(E293&lt;=301,E293/3,E293/4))))</f>
        <v>1402.4200319999998</v>
      </c>
      <c r="G293" s="108"/>
      <c r="H293" s="149"/>
      <c r="I293" s="70"/>
      <c r="J293" s="66"/>
      <c r="K293" s="66"/>
      <c r="L293" s="66"/>
      <c r="M293" s="66"/>
      <c r="N293" s="66"/>
      <c r="O293" s="66"/>
      <c r="P293" s="66"/>
    </row>
    <row r="294" spans="1:16" s="27" customFormat="1" ht="15.75" customHeight="1" x14ac:dyDescent="0.25">
      <c r="A294" s="134">
        <v>3</v>
      </c>
      <c r="B294" s="135"/>
      <c r="C294" s="68" t="s">
        <v>280</v>
      </c>
      <c r="D294" s="72">
        <f>(3.05*5.45+1*2.4+2.3*2.9+2.9*3.05+1.6*0.9+3.05*2.9+2.25*1.35+1.35*2.4)*10.764</f>
        <v>550.04039999999986</v>
      </c>
      <c r="E294" s="68">
        <v>0</v>
      </c>
      <c r="F294" s="68">
        <f>D294*(($F$234)+1)+(IF(E294&lt;101,E294,IF(E294&lt;201,E294/2,IF(E294&lt;=301,E294/3,E294/4))))</f>
        <v>880.06463999999983</v>
      </c>
      <c r="G294" s="108"/>
      <c r="H294" s="149"/>
      <c r="I294" s="70"/>
      <c r="J294" s="66"/>
      <c r="K294" s="66"/>
      <c r="L294" s="66"/>
      <c r="M294" s="66"/>
      <c r="N294" s="66"/>
      <c r="O294" s="66"/>
      <c r="P294" s="66"/>
    </row>
    <row r="295" spans="1:16" s="27" customFormat="1" ht="15.75" customHeight="1" x14ac:dyDescent="0.25">
      <c r="A295" s="134">
        <v>4</v>
      </c>
      <c r="B295" s="135"/>
      <c r="C295" s="134" t="s">
        <v>272</v>
      </c>
      <c r="D295" s="148"/>
      <c r="E295" s="148"/>
      <c r="F295" s="135"/>
      <c r="G295" s="108"/>
      <c r="H295" s="149"/>
      <c r="I295" s="70"/>
      <c r="J295" s="66"/>
      <c r="K295" s="66"/>
      <c r="L295" s="66"/>
      <c r="M295" s="66"/>
      <c r="N295" s="66"/>
      <c r="O295" s="66"/>
      <c r="P295" s="66"/>
    </row>
    <row r="296" spans="1:16" s="27" customFormat="1" ht="15.75" customHeight="1" x14ac:dyDescent="0.25">
      <c r="A296" s="134">
        <v>5</v>
      </c>
      <c r="B296" s="135"/>
      <c r="C296" s="68" t="s">
        <v>281</v>
      </c>
      <c r="D296" s="72">
        <f>(3.2*5.9+0.5*1.05+2.45*3.2+3.05*4.25+3.2*3.65+0.9*1.65+4.1*3.15+1.5*0.9+2.2*1.5+2.15*1.5+1.35*2.1+5.65*0.9+(3.2*0.9)+(2.45*0.9))*10.764</f>
        <v>938.27096999999969</v>
      </c>
      <c r="E296" s="68">
        <v>0</v>
      </c>
      <c r="F296" s="68">
        <f>D296*(($F$234)+1)+(IF(E296&lt;101,E296,IF(E296&lt;201,E296/2,IF(E296&lt;=301,E296/3,E296/4))))</f>
        <v>1501.2335519999997</v>
      </c>
      <c r="G296" s="110"/>
      <c r="H296" s="130"/>
      <c r="I296" s="70"/>
      <c r="J296" s="66"/>
      <c r="K296" s="66"/>
      <c r="L296" s="66"/>
      <c r="M296" s="66"/>
      <c r="N296" s="66"/>
      <c r="O296" s="66"/>
      <c r="P296" s="66"/>
    </row>
    <row r="297" spans="1:16" s="27" customFormat="1" x14ac:dyDescent="0.25">
      <c r="A297" s="136" t="s">
        <v>313</v>
      </c>
      <c r="B297" s="136"/>
      <c r="C297" s="136"/>
      <c r="D297" s="136"/>
      <c r="E297" s="136"/>
      <c r="F297" s="136"/>
      <c r="G297" s="136"/>
      <c r="H297" s="136"/>
      <c r="I297" s="70"/>
      <c r="J297" s="66"/>
      <c r="K297" s="66"/>
      <c r="L297" s="66"/>
      <c r="M297" s="66"/>
      <c r="N297" s="66"/>
      <c r="O297" s="66"/>
      <c r="P297" s="66"/>
    </row>
    <row r="298" spans="1:16" s="27" customFormat="1" ht="15.75" customHeight="1" x14ac:dyDescent="0.25">
      <c r="A298" s="134">
        <v>1</v>
      </c>
      <c r="B298" s="135"/>
      <c r="C298" s="68" t="s">
        <v>280</v>
      </c>
      <c r="D298" s="72">
        <f>(3.2*5.6+1.95*2.4+2.45*3.2+3.05*3.05+3.2*4.1+1.5*2.25*2+3.2*0.9)*10.764</f>
        <v>672.66926999999987</v>
      </c>
      <c r="E298" s="68">
        <v>0</v>
      </c>
      <c r="F298" s="68">
        <f>D298*(($F$234)+1)+(IF(E298&lt;101,E298,IF(E298&lt;201,E298/2,IF(E298&lt;=301,E298/3,E298/4))))</f>
        <v>1076.2708319999999</v>
      </c>
      <c r="G298" s="106" t="str">
        <f>A297</f>
        <v>9th to 11th Floor</v>
      </c>
      <c r="H298" s="107"/>
      <c r="I298" s="70"/>
      <c r="J298" s="66">
        <f>15000000/F298</f>
        <v>13937.0124637922</v>
      </c>
      <c r="K298" s="66"/>
      <c r="L298" s="66"/>
      <c r="M298" s="66"/>
      <c r="N298" s="66"/>
      <c r="O298" s="66"/>
      <c r="P298" s="66"/>
    </row>
    <row r="299" spans="1:16" s="27" customFormat="1" ht="15.75" customHeight="1" x14ac:dyDescent="0.25">
      <c r="A299" s="134">
        <v>2</v>
      </c>
      <c r="B299" s="135"/>
      <c r="C299" s="68" t="s">
        <v>281</v>
      </c>
      <c r="D299" s="72">
        <f>(3.2*6.65+1.95*2.6+2.45*3.2+3.05*3.2+3.2*4.05+3.05*2.9+1.5*2.45*2+1.35*2.4+3.2*0.9+(2.45*0.9))*10.764</f>
        <v>876.51251999999977</v>
      </c>
      <c r="E299" s="68">
        <v>0</v>
      </c>
      <c r="F299" s="68">
        <f>D299*(($F$234)+1)+(IF(E299&lt;101,E299,IF(E299&lt;201,E299/2,IF(E299&lt;=301,E299/3,E299/4))))</f>
        <v>1402.4200319999998</v>
      </c>
      <c r="G299" s="108"/>
      <c r="H299" s="109"/>
      <c r="I299" s="70"/>
      <c r="J299" s="66"/>
      <c r="K299" s="66"/>
      <c r="L299" s="66"/>
      <c r="M299" s="66"/>
      <c r="N299" s="66"/>
      <c r="O299" s="66"/>
      <c r="P299" s="66"/>
    </row>
    <row r="300" spans="1:16" s="27" customFormat="1" ht="15.75" customHeight="1" x14ac:dyDescent="0.25">
      <c r="A300" s="134">
        <v>3</v>
      </c>
      <c r="B300" s="135"/>
      <c r="C300" s="68" t="s">
        <v>280</v>
      </c>
      <c r="D300" s="72">
        <f>(3.05*5.45+1*2.4+2.3*2.9+2.9*3.05+1.6*0.9+3.05*2.9+2.25*1.35+1.35*2.4)*10.764</f>
        <v>550.04039999999986</v>
      </c>
      <c r="E300" s="68">
        <v>0</v>
      </c>
      <c r="F300" s="68">
        <f>D300*(($F$234)+1)+(IF(E300&lt;101,E300,IF(E300&lt;201,E300/2,IF(E300&lt;=301,E300/3,E300/4))))</f>
        <v>880.06463999999983</v>
      </c>
      <c r="G300" s="108"/>
      <c r="H300" s="109"/>
      <c r="I300" s="70"/>
      <c r="J300" s="66"/>
      <c r="K300" s="66"/>
      <c r="L300" s="66"/>
      <c r="M300" s="66"/>
      <c r="N300" s="66"/>
      <c r="O300" s="66"/>
      <c r="P300" s="66"/>
    </row>
    <row r="301" spans="1:16" s="27" customFormat="1" ht="15.75" customHeight="1" x14ac:dyDescent="0.25">
      <c r="A301" s="134">
        <v>4</v>
      </c>
      <c r="B301" s="135"/>
      <c r="C301" s="68" t="s">
        <v>281</v>
      </c>
      <c r="D301" s="72">
        <f>(3.2*6+0.5*1.05+2.45*3.3+3.05*3.3+3.2*3.8+0.9*1.65+3.2*4.8+2.15*1.5+2.2*1.5+5.8*0.9+(3.2*0.95)+(2.45*0.95))*10.764</f>
        <v>904.09526999999991</v>
      </c>
      <c r="E301" s="68">
        <v>0</v>
      </c>
      <c r="F301" s="68">
        <f>D301*(($F$234)+1)+(IF(E301&lt;101,E301,IF(E301&lt;201,E301/2,IF(E301&lt;=301,E301/3,E301/4))))</f>
        <v>1446.552432</v>
      </c>
      <c r="G301" s="108"/>
      <c r="H301" s="109"/>
      <c r="I301" s="70"/>
      <c r="J301" s="66"/>
      <c r="K301" s="66"/>
      <c r="L301" s="66"/>
      <c r="M301" s="66"/>
      <c r="N301" s="66"/>
      <c r="O301" s="66"/>
      <c r="P301" s="66"/>
    </row>
    <row r="302" spans="1:16" s="27" customFormat="1" ht="15.75" customHeight="1" x14ac:dyDescent="0.25">
      <c r="A302" s="134">
        <v>5</v>
      </c>
      <c r="B302" s="135"/>
      <c r="C302" s="68" t="s">
        <v>281</v>
      </c>
      <c r="D302" s="72">
        <f>(3.2*5.9+0.5*1.05+2.45*3.2+3.05*4.25+3.2*3.65+0.9*1.65+4.1*3.15+1.5*0.9+2.2*1.5+2.15*1.5+1.35*2.1+5.65*0.9+(3.2*0.9)+(2.45*0.9))*10.764</f>
        <v>938.27096999999969</v>
      </c>
      <c r="E302" s="68">
        <v>0</v>
      </c>
      <c r="F302" s="68">
        <f>D302*(($F$234)+1)+(IF(E302&lt;101,E302,IF(E302&lt;201,E302/2,IF(E302&lt;=301,E302/3,E302/4))))</f>
        <v>1501.2335519999997</v>
      </c>
      <c r="G302" s="110"/>
      <c r="H302" s="111"/>
      <c r="I302" s="70"/>
      <c r="J302" s="66"/>
      <c r="K302" s="66"/>
      <c r="L302" s="66"/>
      <c r="M302" s="66"/>
      <c r="N302" s="66"/>
      <c r="O302" s="66"/>
      <c r="P302" s="66"/>
    </row>
    <row r="303" spans="1:16" s="27" customFormat="1" x14ac:dyDescent="0.25">
      <c r="A303" s="142" t="s">
        <v>291</v>
      </c>
      <c r="B303" s="143"/>
      <c r="C303" s="143"/>
      <c r="D303" s="143"/>
      <c r="E303" s="143"/>
      <c r="F303" s="143"/>
      <c r="G303" s="143"/>
      <c r="H303" s="144"/>
      <c r="I303" s="70"/>
      <c r="J303" s="66"/>
      <c r="K303" s="66"/>
      <c r="L303" s="66"/>
      <c r="M303" s="66"/>
      <c r="N303" s="66"/>
      <c r="O303" s="66"/>
      <c r="P303" s="66"/>
    </row>
    <row r="304" spans="1:16" s="27" customFormat="1" ht="15.75" customHeight="1" x14ac:dyDescent="0.25">
      <c r="A304" s="134">
        <v>1</v>
      </c>
      <c r="B304" s="135"/>
      <c r="C304" s="68" t="s">
        <v>280</v>
      </c>
      <c r="D304" s="72">
        <f>(3.2*5.6+1.95*2.4+2.45*3.2+3.05*3.05+3.2*4.1+1.5*2.25*2+3.2*0.9)*10.764</f>
        <v>672.66926999999987</v>
      </c>
      <c r="E304" s="68">
        <v>0</v>
      </c>
      <c r="F304" s="68">
        <f>D304*(($F$234)+1)+(IF(E304&lt;101,E304,IF(E304&lt;201,E304/2,IF(E304&lt;=301,E304/3,E304/4))))</f>
        <v>1076.2708319999999</v>
      </c>
      <c r="G304" s="106" t="str">
        <f>A303</f>
        <v>12th &amp; 13th Floor</v>
      </c>
      <c r="H304" s="129"/>
      <c r="I304" s="70"/>
      <c r="J304" s="66"/>
      <c r="K304" s="66"/>
      <c r="L304" s="66"/>
      <c r="M304" s="66"/>
      <c r="N304" s="66"/>
      <c r="O304" s="66"/>
      <c r="P304" s="66"/>
    </row>
    <row r="305" spans="1:16" s="27" customFormat="1" ht="15.75" customHeight="1" x14ac:dyDescent="0.25">
      <c r="A305" s="134">
        <v>2</v>
      </c>
      <c r="B305" s="135"/>
      <c r="C305" s="68" t="s">
        <v>281</v>
      </c>
      <c r="D305" s="72">
        <f>(3.2*6.65+1.95*2.6+2.45*3.2+3.05*3.2+3.2*4.05+3.05*2.9+1.5*2.45*2+1.35*2.4+3.2*0.9+(2.45*0.9))*10.764</f>
        <v>876.51251999999977</v>
      </c>
      <c r="E305" s="68">
        <v>0</v>
      </c>
      <c r="F305" s="68">
        <f>D305*(($F$234)+1)+(IF(E305&lt;101,E305,IF(E305&lt;201,E305/2,IF(E305&lt;=301,E305/3,E305/4))))</f>
        <v>1402.4200319999998</v>
      </c>
      <c r="G305" s="108"/>
      <c r="H305" s="149"/>
      <c r="I305" s="70"/>
      <c r="J305" s="66"/>
      <c r="K305" s="66"/>
      <c r="L305" s="66"/>
      <c r="M305" s="66"/>
      <c r="N305" s="66"/>
      <c r="O305" s="66"/>
      <c r="P305" s="66"/>
    </row>
    <row r="306" spans="1:16" s="27" customFormat="1" ht="15.75" customHeight="1" x14ac:dyDescent="0.25">
      <c r="A306" s="134">
        <v>3</v>
      </c>
      <c r="B306" s="135"/>
      <c r="C306" s="68" t="s">
        <v>280</v>
      </c>
      <c r="D306" s="72">
        <f>(3.05*5.7+1*2.4+2.3*2.15+2.9*3.05+1.6*0.9+3.05*3.2+2.25*1.35+1.35*2.4+(2.3*0.9))*10.764</f>
        <v>571.81058999999993</v>
      </c>
      <c r="E306" s="68">
        <v>0</v>
      </c>
      <c r="F306" s="68">
        <f>D306*(($F$234)+1)+(IF(E306&lt;101,E306,IF(E306&lt;201,E306/2,IF(E306&lt;=301,E306/3,E306/4))))</f>
        <v>914.89694399999996</v>
      </c>
      <c r="G306" s="108"/>
      <c r="H306" s="149"/>
      <c r="I306" s="70"/>
      <c r="J306" s="66"/>
      <c r="K306" s="66"/>
      <c r="L306" s="66"/>
      <c r="M306" s="66"/>
      <c r="N306" s="66"/>
      <c r="O306" s="66"/>
      <c r="P306" s="66"/>
    </row>
    <row r="307" spans="1:16" s="27" customFormat="1" ht="15.75" customHeight="1" x14ac:dyDescent="0.25">
      <c r="A307" s="134">
        <v>4</v>
      </c>
      <c r="B307" s="135"/>
      <c r="C307" s="68" t="s">
        <v>281</v>
      </c>
      <c r="D307" s="72">
        <f>(3.2*6+0.5*1.05+2.45*3.3+3.05*3.3+3.2*3.8+0.9*1.65+3.2*4.8+2.15*1.5+2.2*1.5+5.8*0.9+(3.2*0.95)+(2.45*0.95))*10.764</f>
        <v>904.09526999999991</v>
      </c>
      <c r="E307" s="68">
        <v>0</v>
      </c>
      <c r="F307" s="68">
        <f>D307*(($F$234)+1)+(IF(E307&lt;101,E307,IF(E307&lt;201,E307/2,IF(E307&lt;=301,E307/3,E307/4))))</f>
        <v>1446.552432</v>
      </c>
      <c r="G307" s="108"/>
      <c r="H307" s="149"/>
      <c r="I307" s="70"/>
      <c r="J307" s="66"/>
      <c r="K307" s="66"/>
      <c r="L307" s="66"/>
      <c r="M307" s="66"/>
      <c r="N307" s="66"/>
      <c r="O307" s="66"/>
      <c r="P307" s="66"/>
    </row>
    <row r="308" spans="1:16" s="27" customFormat="1" ht="15.75" customHeight="1" x14ac:dyDescent="0.25">
      <c r="A308" s="134">
        <v>5</v>
      </c>
      <c r="B308" s="135"/>
      <c r="C308" s="68" t="s">
        <v>281</v>
      </c>
      <c r="D308" s="72">
        <f>(3.2*5.9+0.5*1.05+2.45*3.2+3.05*4.25+3.2*3.65+0.9*1.65+4.1*3.15+1.5*0.9+2.2*1.5+2.15*1.5+1.35*2.1+5.65*0.9+(3.2*0.9)+(2.45*0.9))*10.764</f>
        <v>938.27096999999969</v>
      </c>
      <c r="E308" s="68">
        <v>0</v>
      </c>
      <c r="F308" s="68">
        <f>D308*(($F$234)+1)+(IF(E308&lt;101,E308,IF(E308&lt;201,E308/2,IF(E308&lt;=301,E308/3,E308/4))))</f>
        <v>1501.2335519999997</v>
      </c>
      <c r="G308" s="110"/>
      <c r="H308" s="130"/>
      <c r="I308" s="70"/>
      <c r="J308" s="66"/>
      <c r="K308" s="66"/>
      <c r="L308" s="66"/>
      <c r="M308" s="66"/>
      <c r="N308" s="66"/>
      <c r="O308" s="66"/>
      <c r="P308" s="66"/>
    </row>
    <row r="309" spans="1:16" s="27" customFormat="1" x14ac:dyDescent="0.25">
      <c r="A309" s="136" t="s">
        <v>282</v>
      </c>
      <c r="B309" s="136"/>
      <c r="C309" s="136"/>
      <c r="D309" s="136"/>
      <c r="E309" s="136"/>
      <c r="F309" s="136"/>
      <c r="G309" s="136"/>
      <c r="H309" s="136"/>
      <c r="I309" s="70"/>
      <c r="J309" s="66"/>
      <c r="K309" s="66"/>
      <c r="L309" s="66"/>
      <c r="M309" s="66"/>
      <c r="N309" s="66"/>
      <c r="O309" s="66"/>
      <c r="P309" s="66"/>
    </row>
    <row r="310" spans="1:16" s="27" customFormat="1" ht="15.75" customHeight="1" x14ac:dyDescent="0.25">
      <c r="A310" s="131">
        <v>1</v>
      </c>
      <c r="B310" s="131"/>
      <c r="C310" s="96" t="s">
        <v>281</v>
      </c>
      <c r="D310" s="72">
        <f>(3.2*6.5+1.95*2.4+2.45*3.05+3.05*3.05+3.2*4.1+3.05*3.35+1.5*2.25*2+1.25*2.1+3.2*0.9+(2.45*0.9))*10.764</f>
        <v>861.68510999999978</v>
      </c>
      <c r="E310" s="96">
        <v>0</v>
      </c>
      <c r="F310" s="96">
        <f>D310*(($F$234)+1)+(IF(E310&lt;101,E310,IF(E310&lt;201,E310/2,IF(E310&lt;=301,E310/3,E310/4))))</f>
        <v>1378.6961759999997</v>
      </c>
      <c r="G310" s="131" t="str">
        <f>A309</f>
        <v>14th &amp; 16th Floor</v>
      </c>
      <c r="H310" s="131"/>
      <c r="I310" s="70"/>
      <c r="J310" s="66"/>
      <c r="K310" s="66"/>
      <c r="L310" s="66"/>
      <c r="M310" s="66"/>
      <c r="N310" s="66"/>
      <c r="O310" s="66"/>
      <c r="P310" s="66"/>
    </row>
    <row r="311" spans="1:16" s="22" customFormat="1" ht="15.75" customHeight="1" x14ac:dyDescent="0.25">
      <c r="A311" s="131">
        <v>2</v>
      </c>
      <c r="B311" s="131"/>
      <c r="C311" s="96" t="s">
        <v>281</v>
      </c>
      <c r="D311" s="72">
        <f>(3.2*6.65+1.95*2.6+2.45*3.2+3.05*3.2+3.2*4.05+3.05*2.9+1.5*2.45*2+1.35*2.4+3.2*0.9+(2.45*0.9))*10.764</f>
        <v>876.51251999999977</v>
      </c>
      <c r="E311" s="96">
        <v>0</v>
      </c>
      <c r="F311" s="96">
        <f>D311*(($F$234)+1)+(IF(E311&lt;101,E311,IF(E311&lt;201,E311/2,IF(E311&lt;=301,E311/3,E311/4))))</f>
        <v>1402.4200319999998</v>
      </c>
      <c r="G311" s="131"/>
      <c r="H311" s="131"/>
      <c r="I311" s="67"/>
      <c r="J311" s="66"/>
      <c r="K311" s="66"/>
      <c r="L311" s="66"/>
      <c r="M311" s="66"/>
      <c r="N311" s="66"/>
      <c r="O311" s="66"/>
      <c r="P311" s="66"/>
    </row>
    <row r="312" spans="1:16" s="22" customFormat="1" ht="15.75" customHeight="1" x14ac:dyDescent="0.25">
      <c r="A312" s="131">
        <v>3</v>
      </c>
      <c r="B312" s="131"/>
      <c r="C312" s="96" t="s">
        <v>280</v>
      </c>
      <c r="D312" s="72">
        <f>(3.05*5.7+1*2.4+2.3*2.15+2.9*3.05+1.6*0.9+3.05*3.2+2.25*1.35+1.35*2.4+(2.3*0.9))*10.764</f>
        <v>571.81058999999993</v>
      </c>
      <c r="E312" s="96">
        <v>0</v>
      </c>
      <c r="F312" s="96">
        <f>D312*(($F$234)+1)+(IF(E312&lt;101,E312,IF(E312&lt;201,E312/2,IF(E312&lt;=301,E312/3,E312/4))))</f>
        <v>914.89694399999996</v>
      </c>
      <c r="G312" s="131"/>
      <c r="H312" s="131"/>
      <c r="I312" s="67"/>
      <c r="J312" s="66"/>
      <c r="K312" s="66"/>
      <c r="L312" s="66"/>
      <c r="M312" s="66"/>
      <c r="N312" s="66"/>
      <c r="O312" s="66"/>
      <c r="P312" s="66"/>
    </row>
    <row r="313" spans="1:16" s="22" customFormat="1" ht="15.75" customHeight="1" x14ac:dyDescent="0.25">
      <c r="A313" s="131">
        <v>4</v>
      </c>
      <c r="B313" s="131"/>
      <c r="C313" s="96" t="s">
        <v>281</v>
      </c>
      <c r="D313" s="72">
        <f>(3.2*6+0.5*1.05+2.45*3.3+3.05*3.3+3.2*3.8+0.9*1.65+3.2*4.8+2.15*1.5+2.2*1.5+5.8*0.9+(3.2*0.95)+(2.45*0.95))*10.764</f>
        <v>904.09526999999991</v>
      </c>
      <c r="E313" s="96">
        <v>0</v>
      </c>
      <c r="F313" s="96">
        <f>D313*(($F$234)+1)+(IF(E313&lt;101,E313,IF(E313&lt;201,E313/2,IF(E313&lt;=301,E313/3,E313/4))))</f>
        <v>1446.552432</v>
      </c>
      <c r="G313" s="131"/>
      <c r="H313" s="131"/>
      <c r="I313" s="67"/>
      <c r="J313" s="66"/>
      <c r="K313" s="66"/>
      <c r="L313" s="66"/>
      <c r="M313" s="66"/>
      <c r="N313" s="66"/>
      <c r="O313" s="66"/>
      <c r="P313" s="66"/>
    </row>
    <row r="314" spans="1:16" s="22" customFormat="1" ht="15.75" customHeight="1" x14ac:dyDescent="0.25">
      <c r="A314" s="131">
        <v>5</v>
      </c>
      <c r="B314" s="131"/>
      <c r="C314" s="96" t="s">
        <v>281</v>
      </c>
      <c r="D314" s="72">
        <f>(3.2*5.9+0.5*1.05+2.45*3.2+3.05*4.25+3.2*3.65+0.9*1.65+4.1*3.15+1.5*0.9+2.2*1.5+2.15*1.5+1.35*2.1+5.65*0.9+(3.2*0.9)+(2.45*0.9))*10.764</f>
        <v>938.27096999999969</v>
      </c>
      <c r="E314" s="96">
        <v>0</v>
      </c>
      <c r="F314" s="96">
        <f>D314*(($F$234)+1)+(IF(E314&lt;101,E314,IF(E314&lt;201,E314/2,IF(E314&lt;=301,E314/3,E314/4))))</f>
        <v>1501.2335519999997</v>
      </c>
      <c r="G314" s="131"/>
      <c r="H314" s="131"/>
      <c r="I314" s="67"/>
      <c r="J314" s="66"/>
      <c r="K314" s="66"/>
      <c r="L314" s="66"/>
      <c r="M314" s="66"/>
      <c r="N314" s="66"/>
      <c r="O314" s="66"/>
      <c r="P314" s="66"/>
    </row>
    <row r="315" spans="1:16" s="22" customFormat="1" x14ac:dyDescent="0.25">
      <c r="A315" s="142" t="s">
        <v>268</v>
      </c>
      <c r="B315" s="143"/>
      <c r="C315" s="143"/>
      <c r="D315" s="143"/>
      <c r="E315" s="143"/>
      <c r="F315" s="143"/>
      <c r="G315" s="143"/>
      <c r="H315" s="144"/>
      <c r="I315" s="67"/>
      <c r="J315" s="66"/>
      <c r="K315" s="66"/>
      <c r="L315" s="66"/>
      <c r="M315" s="66"/>
      <c r="N315" s="66"/>
      <c r="O315" s="66"/>
      <c r="P315" s="66"/>
    </row>
    <row r="316" spans="1:16" s="22" customFormat="1" ht="15.75" customHeight="1" x14ac:dyDescent="0.25">
      <c r="A316" s="134">
        <v>1</v>
      </c>
      <c r="B316" s="135"/>
      <c r="C316" s="68" t="s">
        <v>281</v>
      </c>
      <c r="D316" s="72">
        <f>(3.2*6.5+1.95*2.4+2.45*3.05+3.05*3.05+3.2*4.1+3.05*3.35+1.5*2.25*2+1.25*2.1+3.2*0.9+(2.45*0.9))*10.764</f>
        <v>861.68510999999978</v>
      </c>
      <c r="E316" s="68">
        <v>0</v>
      </c>
      <c r="F316" s="68">
        <f>D316*(($F$234)+1)+(IF(E316&lt;101,E316,IF(E316&lt;201,E316/2,IF(E316&lt;=301,E316/3,E316/4))))</f>
        <v>1378.6961759999997</v>
      </c>
      <c r="G316" s="106" t="str">
        <f>A315</f>
        <v>15th (Part Refuge Area)</v>
      </c>
      <c r="H316" s="129"/>
      <c r="I316" s="67"/>
      <c r="J316" s="66"/>
      <c r="K316" s="66"/>
      <c r="L316" s="66"/>
      <c r="M316" s="66"/>
      <c r="N316" s="66"/>
      <c r="O316" s="66"/>
      <c r="P316" s="66"/>
    </row>
    <row r="317" spans="1:16" s="22" customFormat="1" ht="15.75" customHeight="1" x14ac:dyDescent="0.25">
      <c r="A317" s="134">
        <v>2</v>
      </c>
      <c r="B317" s="135"/>
      <c r="C317" s="68" t="s">
        <v>281</v>
      </c>
      <c r="D317" s="72">
        <f>(3.2*6.65+1.95*2.6+2.45*3.2+3.05*3.2+3.2*4.05+3.05*2.9+1.5*2.45*2+1.35*2.4+3.2*0.9+(2.45*0.9))*10.764</f>
        <v>876.51251999999977</v>
      </c>
      <c r="E317" s="68">
        <v>0</v>
      </c>
      <c r="F317" s="68">
        <f>D317*(($F$234)+1)+(IF(E317&lt;101,E317,IF(E317&lt;201,E317/2,IF(E317&lt;=301,E317/3,E317/4))))</f>
        <v>1402.4200319999998</v>
      </c>
      <c r="G317" s="108"/>
      <c r="H317" s="149"/>
      <c r="I317" s="67"/>
      <c r="J317" s="66"/>
      <c r="K317" s="66"/>
      <c r="L317" s="66"/>
      <c r="M317" s="66"/>
      <c r="N317" s="66"/>
      <c r="O317" s="66"/>
      <c r="P317" s="66"/>
    </row>
    <row r="318" spans="1:16" s="22" customFormat="1" ht="15.75" customHeight="1" x14ac:dyDescent="0.25">
      <c r="A318" s="134">
        <v>3</v>
      </c>
      <c r="B318" s="135"/>
      <c r="C318" s="68" t="s">
        <v>280</v>
      </c>
      <c r="D318" s="72">
        <f>(3.05*5.7+1*2.4+2.3*2.15+2.9*3.05+1.6*0.9+3.05*3.2+2.25*1.35+1.35*2.4+(2.3*0.9))*10.764</f>
        <v>571.81058999999993</v>
      </c>
      <c r="E318" s="68">
        <v>0</v>
      </c>
      <c r="F318" s="68">
        <f>D318*(($F$234)+1)+(IF(E318&lt;101,E318,IF(E318&lt;201,E318/2,IF(E318&lt;=301,E318/3,E318/4))))</f>
        <v>914.89694399999996</v>
      </c>
      <c r="G318" s="108"/>
      <c r="H318" s="149"/>
      <c r="I318" s="67"/>
      <c r="J318" s="66"/>
      <c r="K318" s="66"/>
      <c r="L318" s="66"/>
      <c r="M318" s="66"/>
      <c r="N318" s="66"/>
      <c r="O318" s="66"/>
      <c r="P318" s="66"/>
    </row>
    <row r="319" spans="1:16" s="22" customFormat="1" ht="15.75" customHeight="1" x14ac:dyDescent="0.25">
      <c r="A319" s="134">
        <v>4</v>
      </c>
      <c r="B319" s="135"/>
      <c r="C319" s="134" t="s">
        <v>272</v>
      </c>
      <c r="D319" s="148"/>
      <c r="E319" s="148"/>
      <c r="F319" s="135"/>
      <c r="G319" s="108"/>
      <c r="H319" s="149"/>
      <c r="I319" s="67"/>
      <c r="J319" s="66"/>
      <c r="K319" s="66"/>
      <c r="L319" s="66"/>
      <c r="M319" s="66"/>
      <c r="N319" s="66"/>
      <c r="O319" s="66"/>
      <c r="P319" s="66"/>
    </row>
    <row r="320" spans="1:16" s="22" customFormat="1" ht="15.75" customHeight="1" x14ac:dyDescent="0.25">
      <c r="A320" s="134">
        <v>5</v>
      </c>
      <c r="B320" s="135"/>
      <c r="C320" s="68" t="s">
        <v>281</v>
      </c>
      <c r="D320" s="72">
        <f>(3.2*5.9+0.5*1.05+2.45*3.2+3.05*4.25+3.2*3.65+0.9*1.65+4.1*3.15+1.5*0.9+2.2*1.5+2.15*1.5+1.35*2.1+5.65*0.9+(3.2*0.9)+(2.45*0.9))*10.764</f>
        <v>938.27096999999969</v>
      </c>
      <c r="E320" s="68">
        <v>0</v>
      </c>
      <c r="F320" s="68">
        <f>D320*(($F$234)+1)+(IF(E320&lt;101,E320,IF(E320&lt;201,E320/2,IF(E320&lt;=301,E320/3,E320/4))))</f>
        <v>1501.2335519999997</v>
      </c>
      <c r="G320" s="110"/>
      <c r="H320" s="130"/>
      <c r="I320" s="67"/>
      <c r="J320" s="66"/>
      <c r="K320" s="66"/>
      <c r="L320" s="66"/>
      <c r="M320" s="66"/>
      <c r="N320" s="66"/>
      <c r="O320" s="66"/>
      <c r="P320" s="66"/>
    </row>
    <row r="321" spans="1:16" s="22" customFormat="1" x14ac:dyDescent="0.25">
      <c r="A321" s="142" t="s">
        <v>283</v>
      </c>
      <c r="B321" s="143"/>
      <c r="C321" s="143"/>
      <c r="D321" s="143"/>
      <c r="E321" s="143"/>
      <c r="F321" s="143"/>
      <c r="G321" s="143"/>
      <c r="H321" s="144"/>
      <c r="I321" s="67"/>
      <c r="J321" s="66"/>
      <c r="K321" s="66"/>
      <c r="L321" s="66"/>
      <c r="M321" s="66"/>
      <c r="N321" s="66"/>
      <c r="O321" s="66"/>
      <c r="P321" s="66"/>
    </row>
    <row r="322" spans="1:16" s="27" customFormat="1" ht="15.75" customHeight="1" x14ac:dyDescent="0.25">
      <c r="A322" s="134">
        <v>1</v>
      </c>
      <c r="B322" s="135"/>
      <c r="C322" s="68" t="s">
        <v>281</v>
      </c>
      <c r="D322" s="72">
        <f>(3.2*6.5+1.95*2.4+2.45*3.05+3.05*3.05+3.2*4.1+3.05*3.35+1.5*2.25*2+1.25*2.1+3.2*0.9+(2.45*0.9))*10.764</f>
        <v>861.68510999999978</v>
      </c>
      <c r="E322" s="68">
        <v>0</v>
      </c>
      <c r="F322" s="68">
        <f>D322*(($F$234)+1)+(IF(E322&lt;101,E322,IF(E322&lt;201,E322/2,IF(E322&lt;=301,E322/3,E322/4))))</f>
        <v>1378.6961759999997</v>
      </c>
      <c r="G322" s="106" t="str">
        <f>A321</f>
        <v>17th &amp; 18th  Floor</v>
      </c>
      <c r="H322" s="129"/>
      <c r="I322" s="67"/>
      <c r="J322" s="66"/>
      <c r="K322" s="66"/>
      <c r="L322" s="66"/>
      <c r="M322" s="66"/>
      <c r="N322" s="66"/>
      <c r="O322" s="66"/>
      <c r="P322" s="66"/>
    </row>
    <row r="323" spans="1:16" s="27" customFormat="1" ht="15.75" customHeight="1" x14ac:dyDescent="0.25">
      <c r="A323" s="134">
        <v>2</v>
      </c>
      <c r="B323" s="135"/>
      <c r="C323" s="68" t="s">
        <v>281</v>
      </c>
      <c r="D323" s="72">
        <f>(3.2*6.65+1.95*2.6+2.45*3.2+3.05*3.2+3.2*4.05+3.05*2.9+1.5*2.45*2+1.35*2.4+3.2*0.9+(2.45*0.9))*10.764</f>
        <v>876.51251999999977</v>
      </c>
      <c r="E323" s="68">
        <v>0</v>
      </c>
      <c r="F323" s="68">
        <f>D323*(($F$234)+1)+(IF(E323&lt;101,E323,IF(E323&lt;201,E323/2,IF(E323&lt;=301,E323/3,E323/4))))</f>
        <v>1402.4200319999998</v>
      </c>
      <c r="G323" s="108"/>
      <c r="H323" s="149"/>
      <c r="I323" s="67"/>
      <c r="J323" s="66"/>
      <c r="K323" s="66"/>
      <c r="L323" s="66"/>
      <c r="M323" s="66"/>
      <c r="N323" s="66"/>
      <c r="O323" s="66"/>
      <c r="P323" s="66"/>
    </row>
    <row r="324" spans="1:16" s="27" customFormat="1" ht="15.75" customHeight="1" x14ac:dyDescent="0.25">
      <c r="A324" s="134">
        <v>3</v>
      </c>
      <c r="B324" s="135"/>
      <c r="C324" s="68" t="s">
        <v>280</v>
      </c>
      <c r="D324" s="72">
        <f>(3.05*5.7+1*2.4+2.3*2.15+2.9*3.05+1.6*0.9+3.05*3.2+2.25*1.35+1.35*2.4+(2.3*0.9))*10.764</f>
        <v>571.81058999999993</v>
      </c>
      <c r="E324" s="68">
        <v>0</v>
      </c>
      <c r="F324" s="68">
        <f>D324*(($F$234)+1)+(IF(E324&lt;101,E324,IF(E324&lt;201,E324/2,IF(E324&lt;=301,E324/3,E324/4))))</f>
        <v>914.89694399999996</v>
      </c>
      <c r="G324" s="108"/>
      <c r="H324" s="149"/>
      <c r="I324" s="67"/>
      <c r="J324" s="66"/>
      <c r="K324" s="66"/>
      <c r="L324" s="66"/>
      <c r="M324" s="66"/>
      <c r="N324" s="66"/>
      <c r="O324" s="66"/>
      <c r="P324" s="66"/>
    </row>
    <row r="325" spans="1:16" s="27" customFormat="1" ht="15.75" customHeight="1" x14ac:dyDescent="0.25">
      <c r="A325" s="134">
        <v>4</v>
      </c>
      <c r="B325" s="135"/>
      <c r="C325" s="68" t="s">
        <v>281</v>
      </c>
      <c r="D325" s="72">
        <f>(3.2*6+0.5*1.05+2.45*3.3+3.05*3.3+3.2*3.8+0.9*1.65+3.2*4.8+2.15*1.5+2.2*1.5+5.8*0.9+(3.2*0.95)+(2.45*0.95))*10.764</f>
        <v>904.09526999999991</v>
      </c>
      <c r="E325" s="68">
        <v>0</v>
      </c>
      <c r="F325" s="68">
        <f>D325*(($F$234)+1)+(IF(E325&lt;101,E325,IF(E325&lt;201,E325/2,IF(E325&lt;=301,E325/3,E325/4))))</f>
        <v>1446.552432</v>
      </c>
      <c r="G325" s="108"/>
      <c r="H325" s="149"/>
      <c r="I325" s="67"/>
      <c r="J325" s="66"/>
      <c r="K325" s="66"/>
      <c r="L325" s="66"/>
      <c r="M325" s="66"/>
      <c r="N325" s="66"/>
      <c r="O325" s="66"/>
      <c r="P325" s="66"/>
    </row>
    <row r="326" spans="1:16" s="27" customFormat="1" ht="15.75" customHeight="1" x14ac:dyDescent="0.25">
      <c r="A326" s="134">
        <v>5</v>
      </c>
      <c r="B326" s="135"/>
      <c r="C326" s="68" t="s">
        <v>281</v>
      </c>
      <c r="D326" s="72">
        <f>(3.2*5.9+0.5*1.05+2.45*3.2+3.05*4.25+3.2*3.65+0.9*1.65+4.1*3.15+1.5*0.9+2.2*1.5+2.15*1.5+1.35*2.1+5.65*0.9+(3.2*0.9)+(2.45*0.9)+(3.2*0.9))*10.764</f>
        <v>969.27128999999968</v>
      </c>
      <c r="E326" s="68">
        <v>0</v>
      </c>
      <c r="F326" s="68">
        <f>D326*(($F$234)+1)+(IF(E326&lt;101,E326,IF(E326&lt;201,E326/2,IF(E326&lt;=301,E326/3,E326/4))))</f>
        <v>1550.8340639999997</v>
      </c>
      <c r="G326" s="110"/>
      <c r="H326" s="130"/>
      <c r="I326" s="67"/>
      <c r="J326" s="66"/>
      <c r="K326" s="66"/>
      <c r="L326" s="66"/>
      <c r="M326" s="66"/>
      <c r="N326" s="66"/>
      <c r="O326" s="66"/>
      <c r="P326" s="66"/>
    </row>
    <row r="327" spans="1:16" s="27" customFormat="1" x14ac:dyDescent="0.25">
      <c r="A327" s="142" t="s">
        <v>290</v>
      </c>
      <c r="B327" s="143"/>
      <c r="C327" s="143"/>
      <c r="D327" s="143"/>
      <c r="E327" s="143"/>
      <c r="F327" s="143"/>
      <c r="G327" s="143"/>
      <c r="H327" s="144"/>
      <c r="I327" s="67"/>
      <c r="J327" s="66"/>
      <c r="K327" s="66"/>
      <c r="L327" s="66"/>
      <c r="M327" s="66"/>
      <c r="N327" s="66"/>
      <c r="O327" s="66"/>
      <c r="P327" s="66"/>
    </row>
    <row r="328" spans="1:16" s="27" customFormat="1" x14ac:dyDescent="0.25">
      <c r="A328" s="134">
        <v>1</v>
      </c>
      <c r="B328" s="135"/>
      <c r="C328" s="68" t="s">
        <v>281</v>
      </c>
      <c r="D328" s="72">
        <f>(3.2*6.5+1.95*2.4+2.45*3.05+3.05*3.05+3.2*4.1+3.05*3.35+1.5*2.25*2+1.25*2.1+3.2*0.9+(2.45*0.9))*10.764</f>
        <v>861.68510999999978</v>
      </c>
      <c r="E328" s="68">
        <v>0</v>
      </c>
      <c r="F328" s="68">
        <f>D328*(($F$234)+1)+(IF(E328&lt;101,E328,IF(E328&lt;201,E328/2,IF(E328&lt;=301,E328/3,E328/4))))</f>
        <v>1378.6961759999997</v>
      </c>
      <c r="G328" s="260" t="str">
        <f>A321</f>
        <v>17th &amp; 18th  Floor</v>
      </c>
      <c r="H328" s="261"/>
      <c r="I328" s="67"/>
      <c r="J328" s="66"/>
      <c r="K328" s="66"/>
      <c r="L328" s="66"/>
      <c r="M328" s="66"/>
      <c r="N328" s="66"/>
      <c r="O328" s="66"/>
      <c r="P328" s="66"/>
    </row>
    <row r="329" spans="1:16" s="27" customFormat="1" ht="15.75" customHeight="1" x14ac:dyDescent="0.25">
      <c r="A329" s="134">
        <v>2</v>
      </c>
      <c r="B329" s="135"/>
      <c r="C329" s="68" t="s">
        <v>281</v>
      </c>
      <c r="D329" s="72">
        <f>(3.2*6.65+1.95*2.6+2.45*3.2+3.05*3.2+3.2*4.05+3.05*2.9+1.5*2.45*2+1.35*2.4+3.2*0.9+(2.45*0.9))*10.764</f>
        <v>876.51251999999977</v>
      </c>
      <c r="E329" s="68">
        <v>0</v>
      </c>
      <c r="F329" s="68">
        <f>D329*(($F$234)+1)+(IF(E329&lt;101,E329,IF(E329&lt;201,E329/2,IF(E329&lt;=301,E329/3,E329/4))))</f>
        <v>1402.4200319999998</v>
      </c>
      <c r="G329" s="262"/>
      <c r="H329" s="263"/>
      <c r="I329" s="67"/>
      <c r="J329" s="66"/>
      <c r="K329" s="66"/>
      <c r="L329" s="66"/>
      <c r="M329" s="66"/>
      <c r="N329" s="66"/>
      <c r="O329" s="66"/>
      <c r="P329" s="66"/>
    </row>
    <row r="330" spans="1:16" s="27" customFormat="1" ht="15.75" customHeight="1" x14ac:dyDescent="0.25">
      <c r="A330" s="134">
        <v>3</v>
      </c>
      <c r="B330" s="135"/>
      <c r="C330" s="68" t="s">
        <v>280</v>
      </c>
      <c r="D330" s="72">
        <f>(3.05*5.7+1*2.4+2.3*2.15+2.9*3.05+1.6*0.9+3.05*3.2+2.25*1.35+1.35*2.4+(2.3*0.9))*10.764</f>
        <v>571.81058999999993</v>
      </c>
      <c r="E330" s="68">
        <v>0</v>
      </c>
      <c r="F330" s="68">
        <f>D330*(($F$234)+1)+(IF(E330&lt;101,E330,IF(E330&lt;201,E330/2,IF(E330&lt;=301,E330/3,E330/4))))</f>
        <v>914.89694399999996</v>
      </c>
      <c r="G330" s="262"/>
      <c r="H330" s="263"/>
      <c r="I330" s="67"/>
      <c r="J330" s="66"/>
      <c r="K330" s="66"/>
      <c r="L330" s="66"/>
      <c r="M330" s="66"/>
      <c r="N330" s="66"/>
      <c r="O330" s="66"/>
      <c r="P330" s="66"/>
    </row>
    <row r="331" spans="1:16" s="27" customFormat="1" ht="15.75" customHeight="1" x14ac:dyDescent="0.25">
      <c r="A331" s="134">
        <v>4</v>
      </c>
      <c r="B331" s="135"/>
      <c r="C331" s="68" t="s">
        <v>281</v>
      </c>
      <c r="D331" s="72">
        <f>(3.2*6+0.5*1.05+2.45*3.3+3.05*3.3+3.2*3.8+0.9*1.65+3.2*4.8+2.15*1.5+2.2*1.5+5.8*0.9+(3.2*0.95)+(2.45*0.95))*10.764</f>
        <v>904.09526999999991</v>
      </c>
      <c r="E331" s="68">
        <v>0</v>
      </c>
      <c r="F331" s="68">
        <f>D331*(($F$234)+1)+(IF(E331&lt;101,E331,IF(E331&lt;201,E331/2,IF(E331&lt;=301,E331/3,E331/4))))</f>
        <v>1446.552432</v>
      </c>
      <c r="G331" s="262"/>
      <c r="H331" s="263"/>
      <c r="I331" s="67"/>
      <c r="J331" s="66"/>
      <c r="K331" s="66"/>
      <c r="L331" s="66"/>
      <c r="M331" s="66"/>
      <c r="N331" s="66"/>
      <c r="O331" s="66"/>
      <c r="P331" s="66"/>
    </row>
    <row r="332" spans="1:16" s="22" customFormat="1" ht="15.75" customHeight="1" x14ac:dyDescent="0.25">
      <c r="A332" s="134">
        <v>5</v>
      </c>
      <c r="B332" s="135"/>
      <c r="C332" s="68" t="s">
        <v>281</v>
      </c>
      <c r="D332" s="72">
        <f>(3.2*5.9+0.5*1.05+2.45*3.2+3.05*4.25+3.2*3.65+0.9*1.65+4.1*3.15+1.5*0.9+2.2*1.5+2.15*1.5+1.35*2.1+5.65*0.9+(3.2*0.9)+(2.45*0.9)+(3.2*0.9))*10.764</f>
        <v>969.27128999999968</v>
      </c>
      <c r="E332" s="68">
        <v>0</v>
      </c>
      <c r="F332" s="68">
        <f>D332*(($F$234)+1)+(IF(E332&lt;101,E332,IF(E332&lt;201,E332/2,IF(E332&lt;=301,E332/3,E332/4))))</f>
        <v>1550.8340639999997</v>
      </c>
      <c r="G332" s="264"/>
      <c r="H332" s="265"/>
      <c r="I332" s="67"/>
      <c r="J332" s="66"/>
      <c r="K332" s="66"/>
      <c r="L332" s="66"/>
      <c r="M332" s="66"/>
      <c r="N332" s="66"/>
      <c r="O332" s="66"/>
      <c r="P332" s="66"/>
    </row>
    <row r="333" spans="1:16" s="21" customFormat="1" x14ac:dyDescent="0.25">
      <c r="A333" s="215" t="s">
        <v>68</v>
      </c>
      <c r="B333" s="215"/>
      <c r="C333" s="215"/>
      <c r="D333" s="215"/>
      <c r="E333" s="215"/>
      <c r="F333" s="215"/>
      <c r="G333" s="215"/>
      <c r="H333" s="215"/>
      <c r="I333" s="61"/>
      <c r="J333" s="61"/>
      <c r="K333" s="61"/>
      <c r="L333" s="61"/>
      <c r="M333" s="61"/>
      <c r="N333" s="61"/>
      <c r="O333" s="61"/>
      <c r="P333" s="61"/>
    </row>
    <row r="334" spans="1:16" s="21" customFormat="1" x14ac:dyDescent="0.25">
      <c r="A334" s="84" t="s">
        <v>150</v>
      </c>
      <c r="B334" s="169" t="s">
        <v>328</v>
      </c>
      <c r="C334" s="170"/>
      <c r="D334" s="170"/>
      <c r="E334" s="170"/>
      <c r="F334" s="170"/>
      <c r="G334" s="170"/>
      <c r="H334" s="171"/>
      <c r="I334" s="61"/>
      <c r="J334" s="61"/>
      <c r="K334" s="61"/>
      <c r="L334" s="61"/>
      <c r="M334" s="61"/>
      <c r="N334" s="61"/>
      <c r="O334" s="61"/>
      <c r="P334" s="61"/>
    </row>
    <row r="335" spans="1:16" s="21" customFormat="1" x14ac:dyDescent="0.25">
      <c r="A335" s="84" t="s">
        <v>150</v>
      </c>
      <c r="B335" s="211" t="str">
        <f>(IF(F233="Saleable area Loading :","We have considered Saleable area of Flats as per our Calculation.","We considered Saleable area of Flat as per Builder area Sheet."))</f>
        <v>We have considered Saleable area of Flats as per our Calculation.</v>
      </c>
      <c r="C335" s="212"/>
      <c r="D335" s="212"/>
      <c r="E335" s="212"/>
      <c r="F335" s="212"/>
      <c r="G335" s="212"/>
      <c r="H335" s="213"/>
      <c r="I335" s="61"/>
      <c r="J335" s="61"/>
      <c r="K335" s="61"/>
      <c r="L335" s="61"/>
      <c r="M335" s="61"/>
      <c r="N335" s="61"/>
      <c r="O335" s="61"/>
      <c r="P335" s="61"/>
    </row>
    <row r="336" spans="1:16" s="21" customFormat="1" x14ac:dyDescent="0.25">
      <c r="A336" s="84" t="s">
        <v>150</v>
      </c>
      <c r="B336" s="211" t="str">
        <f>(IF(F171="Saleable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36" s="212"/>
      <c r="D336" s="212"/>
      <c r="E336" s="212"/>
      <c r="F336" s="212"/>
      <c r="G336" s="212"/>
      <c r="H336" s="213"/>
      <c r="I336" s="61"/>
      <c r="J336" s="61"/>
      <c r="K336" s="61"/>
      <c r="L336" s="61"/>
      <c r="M336" s="61"/>
      <c r="N336" s="61"/>
      <c r="O336" s="61"/>
      <c r="P336" s="61"/>
    </row>
    <row r="337" spans="1:16" s="21" customFormat="1" x14ac:dyDescent="0.25">
      <c r="A337" s="84" t="s">
        <v>150</v>
      </c>
      <c r="B337" s="169" t="s">
        <v>120</v>
      </c>
      <c r="C337" s="170"/>
      <c r="D337" s="170"/>
      <c r="E337" s="170"/>
      <c r="F337" s="170"/>
      <c r="G337" s="170"/>
      <c r="H337" s="171"/>
      <c r="I337" s="61"/>
      <c r="J337" s="61"/>
      <c r="K337" s="61"/>
      <c r="L337" s="61"/>
      <c r="M337" s="61"/>
      <c r="N337" s="61"/>
      <c r="O337" s="61"/>
      <c r="P337" s="61"/>
    </row>
    <row r="338" spans="1:16" s="21" customFormat="1" x14ac:dyDescent="0.25">
      <c r="A338" s="84" t="s">
        <v>150</v>
      </c>
      <c r="B338" s="102" t="s">
        <v>284</v>
      </c>
      <c r="C338" s="103"/>
      <c r="D338" s="103"/>
      <c r="E338" s="103"/>
      <c r="F338" s="103"/>
      <c r="G338" s="103"/>
      <c r="H338" s="104"/>
      <c r="I338" s="61"/>
      <c r="J338" s="61"/>
      <c r="K338" s="61"/>
      <c r="L338" s="61"/>
      <c r="M338" s="61"/>
      <c r="N338" s="61"/>
      <c r="O338" s="61"/>
      <c r="P338" s="61"/>
    </row>
    <row r="339" spans="1:16" s="21" customFormat="1" x14ac:dyDescent="0.25">
      <c r="A339" s="84" t="s">
        <v>150</v>
      </c>
      <c r="B339" s="102" t="s">
        <v>149</v>
      </c>
      <c r="C339" s="103"/>
      <c r="D339" s="103"/>
      <c r="E339" s="103"/>
      <c r="F339" s="103"/>
      <c r="G339" s="103"/>
      <c r="H339" s="104"/>
      <c r="I339" s="61"/>
      <c r="J339" s="61"/>
      <c r="K339" s="61"/>
      <c r="L339" s="61"/>
      <c r="M339" s="61"/>
      <c r="N339" s="61"/>
      <c r="O339" s="61"/>
      <c r="P339" s="61"/>
    </row>
    <row r="340" spans="1:16" s="21" customFormat="1" x14ac:dyDescent="0.25">
      <c r="A340" s="84" t="s">
        <v>150</v>
      </c>
      <c r="B340" s="102" t="s">
        <v>121</v>
      </c>
      <c r="C340" s="103"/>
      <c r="D340" s="103"/>
      <c r="E340" s="103"/>
      <c r="F340" s="103"/>
      <c r="G340" s="103"/>
      <c r="H340" s="104"/>
      <c r="I340" s="61"/>
      <c r="J340" s="61"/>
      <c r="K340" s="61"/>
      <c r="L340" s="61"/>
      <c r="M340" s="61"/>
      <c r="N340" s="61"/>
      <c r="O340" s="61"/>
      <c r="P340" s="61"/>
    </row>
    <row r="341" spans="1:16" s="21" customFormat="1" ht="34.5" customHeight="1" x14ac:dyDescent="0.25">
      <c r="A341" s="84" t="s">
        <v>150</v>
      </c>
      <c r="B341" s="102" t="s">
        <v>151</v>
      </c>
      <c r="C341" s="103"/>
      <c r="D341" s="103"/>
      <c r="E341" s="103"/>
      <c r="F341" s="103"/>
      <c r="G341" s="103"/>
      <c r="H341" s="104"/>
      <c r="I341" s="61"/>
      <c r="J341" s="61"/>
      <c r="K341" s="61"/>
      <c r="L341" s="61"/>
      <c r="M341" s="61"/>
      <c r="N341" s="61"/>
      <c r="O341" s="61"/>
      <c r="P341" s="61"/>
    </row>
    <row r="342" spans="1:16" s="21" customFormat="1" x14ac:dyDescent="0.25">
      <c r="A342" s="84" t="s">
        <v>150</v>
      </c>
      <c r="B342" s="102" t="s">
        <v>122</v>
      </c>
      <c r="C342" s="103"/>
      <c r="D342" s="103"/>
      <c r="E342" s="103"/>
      <c r="F342" s="103"/>
      <c r="G342" s="103"/>
      <c r="H342" s="104"/>
      <c r="I342" s="61"/>
      <c r="J342" s="61"/>
      <c r="K342" s="61"/>
      <c r="L342" s="61"/>
      <c r="M342" s="61"/>
      <c r="N342" s="61"/>
      <c r="O342" s="61"/>
      <c r="P342" s="61"/>
    </row>
    <row r="343" spans="1:16" s="21" customFormat="1" ht="32.25" customHeight="1" x14ac:dyDescent="0.25">
      <c r="A343" s="84" t="s">
        <v>150</v>
      </c>
      <c r="B343" s="169" t="s">
        <v>314</v>
      </c>
      <c r="C343" s="170"/>
      <c r="D343" s="170"/>
      <c r="E343" s="170"/>
      <c r="F343" s="170"/>
      <c r="G343" s="170"/>
      <c r="H343" s="171"/>
      <c r="I343" s="61"/>
      <c r="J343" s="61"/>
      <c r="K343" s="61"/>
      <c r="L343" s="61"/>
      <c r="M343" s="61"/>
      <c r="N343" s="61"/>
      <c r="O343" s="61"/>
      <c r="P343" s="61"/>
    </row>
    <row r="344" spans="1:16" s="21" customFormat="1" x14ac:dyDescent="0.25">
      <c r="A344" s="84" t="s">
        <v>150</v>
      </c>
      <c r="B344" s="102" t="s">
        <v>321</v>
      </c>
      <c r="C344" s="103"/>
      <c r="D344" s="103"/>
      <c r="E344" s="103"/>
      <c r="F344" s="103"/>
      <c r="G344" s="103"/>
      <c r="H344" s="104"/>
      <c r="I344" s="61"/>
      <c r="J344" s="61"/>
      <c r="K344" s="61"/>
      <c r="L344" s="61"/>
      <c r="M344" s="61"/>
      <c r="N344" s="61"/>
      <c r="O344" s="61"/>
      <c r="P344" s="61"/>
    </row>
    <row r="345" spans="1:16" s="21" customFormat="1" ht="30.95" customHeight="1" x14ac:dyDescent="0.25">
      <c r="A345" s="84" t="s">
        <v>150</v>
      </c>
      <c r="B345" s="102" t="s">
        <v>323</v>
      </c>
      <c r="C345" s="103"/>
      <c r="D345" s="103"/>
      <c r="E345" s="103"/>
      <c r="F345" s="103"/>
      <c r="G345" s="103"/>
      <c r="H345" s="104"/>
      <c r="I345" s="61"/>
      <c r="J345" s="61"/>
      <c r="K345" s="61"/>
      <c r="L345" s="61"/>
      <c r="M345" s="61"/>
      <c r="N345" s="61"/>
      <c r="O345" s="61"/>
      <c r="P345" s="61"/>
    </row>
    <row r="346" spans="1:16" x14ac:dyDescent="0.25">
      <c r="A346" s="187" t="s">
        <v>61</v>
      </c>
      <c r="B346" s="187"/>
      <c r="C346" s="187"/>
      <c r="D346" s="187"/>
      <c r="E346" s="187"/>
      <c r="F346" s="187"/>
      <c r="G346" s="187"/>
      <c r="H346" s="187"/>
      <c r="I346" s="30"/>
      <c r="J346" s="30"/>
      <c r="K346" s="30"/>
      <c r="L346" s="30"/>
      <c r="M346" s="30"/>
      <c r="N346" s="30" t="s">
        <v>285</v>
      </c>
      <c r="O346" s="30"/>
      <c r="P346" s="30"/>
    </row>
    <row r="347" spans="1:16" x14ac:dyDescent="0.25">
      <c r="A347" s="158" t="s">
        <v>62</v>
      </c>
      <c r="B347" s="158"/>
      <c r="C347" s="158"/>
      <c r="D347" s="158"/>
      <c r="E347" s="158"/>
      <c r="F347" s="158"/>
      <c r="G347" s="158"/>
      <c r="H347" s="158"/>
      <c r="I347" s="30"/>
      <c r="J347" s="30"/>
      <c r="K347" s="30"/>
      <c r="L347" s="30"/>
      <c r="M347" s="30"/>
      <c r="N347" s="30"/>
      <c r="O347" s="30"/>
      <c r="P347" s="30"/>
    </row>
    <row r="348" spans="1:16" ht="15.75" customHeight="1" x14ac:dyDescent="0.25">
      <c r="A348" s="198" t="s">
        <v>63</v>
      </c>
      <c r="B348" s="198"/>
      <c r="C348" s="198"/>
      <c r="D348" s="198"/>
      <c r="E348" s="198"/>
      <c r="F348" s="198"/>
      <c r="G348" s="198"/>
      <c r="H348" s="198"/>
      <c r="I348" s="30"/>
      <c r="J348" s="30"/>
      <c r="K348" s="30"/>
      <c r="L348" s="30"/>
      <c r="M348" s="30"/>
      <c r="N348" s="30"/>
      <c r="O348" s="30"/>
      <c r="P348" s="30"/>
    </row>
    <row r="349" spans="1:16" x14ac:dyDescent="0.25">
      <c r="A349" s="158" t="s">
        <v>64</v>
      </c>
      <c r="B349" s="158"/>
      <c r="C349" s="158"/>
      <c r="D349" s="158"/>
      <c r="E349" s="158"/>
      <c r="F349" s="158"/>
      <c r="G349" s="158"/>
      <c r="H349" s="158"/>
      <c r="I349" s="30"/>
      <c r="J349" s="30"/>
      <c r="K349" s="30"/>
      <c r="L349" s="30"/>
      <c r="M349" s="30"/>
      <c r="N349" s="30"/>
      <c r="O349" s="30"/>
      <c r="P349" s="30"/>
    </row>
    <row r="350" spans="1:16" x14ac:dyDescent="0.25">
      <c r="A350" s="158" t="s">
        <v>65</v>
      </c>
      <c r="B350" s="158"/>
      <c r="C350" s="158"/>
      <c r="D350" s="158"/>
      <c r="E350" s="158"/>
      <c r="F350" s="158"/>
      <c r="G350" s="158"/>
      <c r="H350" s="158"/>
      <c r="I350" s="30"/>
      <c r="J350" s="30"/>
      <c r="K350" s="30"/>
      <c r="L350" s="30"/>
      <c r="M350" s="30"/>
      <c r="N350" s="30"/>
      <c r="O350" s="30"/>
      <c r="P350" s="30"/>
    </row>
    <row r="351" spans="1:16" x14ac:dyDescent="0.25">
      <c r="A351" s="158" t="s">
        <v>123</v>
      </c>
      <c r="B351" s="158"/>
      <c r="C351" s="158"/>
      <c r="D351" s="158"/>
      <c r="E351" s="158"/>
      <c r="F351" s="158"/>
      <c r="G351" s="158"/>
      <c r="H351" s="158"/>
      <c r="I351" s="30"/>
      <c r="J351" s="30"/>
      <c r="K351" s="30"/>
      <c r="L351" s="30"/>
      <c r="M351" s="30"/>
      <c r="N351" s="30"/>
      <c r="O351" s="30"/>
      <c r="P351" s="30"/>
    </row>
    <row r="352" spans="1:16" ht="33.950000000000003" customHeight="1" x14ac:dyDescent="0.25">
      <c r="A352" s="164" t="s">
        <v>124</v>
      </c>
      <c r="B352" s="164"/>
      <c r="C352" s="164"/>
      <c r="D352" s="164"/>
      <c r="E352" s="164"/>
      <c r="F352" s="164"/>
      <c r="G352" s="164"/>
      <c r="H352" s="164"/>
      <c r="I352" s="30"/>
      <c r="J352" s="30"/>
      <c r="K352" s="30"/>
      <c r="L352" s="30"/>
      <c r="M352" s="30"/>
      <c r="N352" s="30"/>
      <c r="O352" s="30"/>
      <c r="P352" s="30"/>
    </row>
    <row r="353" spans="1:16" x14ac:dyDescent="0.25">
      <c r="A353" s="217" t="s">
        <v>76</v>
      </c>
      <c r="B353" s="217"/>
      <c r="C353" s="217" t="s">
        <v>322</v>
      </c>
      <c r="D353" s="217"/>
      <c r="E353" s="217" t="s">
        <v>104</v>
      </c>
      <c r="F353" s="217"/>
      <c r="G353" s="217" t="s">
        <v>329</v>
      </c>
      <c r="H353" s="217"/>
      <c r="I353" s="30"/>
      <c r="J353" s="30"/>
      <c r="K353" s="30"/>
      <c r="L353" s="30"/>
      <c r="M353" s="30"/>
      <c r="N353" s="30"/>
      <c r="O353" s="30"/>
      <c r="P353" s="30"/>
    </row>
    <row r="354" spans="1:16" x14ac:dyDescent="0.25">
      <c r="A354" s="216" t="s">
        <v>78</v>
      </c>
      <c r="B354" s="216"/>
      <c r="C354" s="216"/>
      <c r="D354" s="216"/>
      <c r="E354" s="216"/>
      <c r="F354" s="216"/>
      <c r="G354" s="216"/>
      <c r="H354" s="216"/>
      <c r="I354" s="30"/>
      <c r="J354" s="30"/>
      <c r="K354" s="30"/>
      <c r="L354" s="30"/>
      <c r="M354" s="30"/>
      <c r="N354" s="30"/>
      <c r="O354" s="30"/>
      <c r="P354" s="30"/>
    </row>
    <row r="355" spans="1:16" x14ac:dyDescent="0.25">
      <c r="A355" s="216"/>
      <c r="B355" s="216"/>
      <c r="C355" s="216"/>
      <c r="D355" s="216"/>
      <c r="E355" s="216"/>
      <c r="F355" s="216"/>
      <c r="G355" s="216"/>
      <c r="H355" s="216"/>
      <c r="I355" s="30"/>
      <c r="J355" s="30"/>
      <c r="K355" s="30"/>
      <c r="L355" s="30"/>
      <c r="M355" s="30"/>
      <c r="N355" s="30"/>
      <c r="O355" s="30"/>
      <c r="P355" s="30"/>
    </row>
    <row r="356" spans="1:16" x14ac:dyDescent="0.25">
      <c r="A356" s="216"/>
      <c r="B356" s="216"/>
      <c r="C356" s="216"/>
      <c r="D356" s="216"/>
      <c r="E356" s="216"/>
      <c r="F356" s="216"/>
      <c r="G356" s="216"/>
      <c r="H356" s="216"/>
      <c r="I356" s="30"/>
      <c r="J356" s="30"/>
      <c r="K356" s="30"/>
      <c r="L356" s="30"/>
      <c r="M356" s="30"/>
      <c r="N356" s="30"/>
      <c r="O356" s="30"/>
      <c r="P356" s="30"/>
    </row>
    <row r="357" spans="1:16" x14ac:dyDescent="0.25">
      <c r="A357" s="216"/>
      <c r="B357" s="216"/>
      <c r="C357" s="216"/>
      <c r="D357" s="216"/>
      <c r="E357" s="216"/>
      <c r="F357" s="216"/>
      <c r="G357" s="216"/>
      <c r="H357" s="216"/>
      <c r="I357" s="30"/>
      <c r="J357" s="30"/>
      <c r="K357" s="30"/>
      <c r="L357" s="30"/>
      <c r="M357" s="30"/>
      <c r="N357" s="30"/>
      <c r="O357" s="30"/>
      <c r="P357" s="30"/>
    </row>
    <row r="358" spans="1:16" x14ac:dyDescent="0.25">
      <c r="A358" s="85" t="s">
        <v>66</v>
      </c>
      <c r="B358" s="86"/>
      <c r="C358" s="86"/>
      <c r="D358" s="85" t="str">
        <f>E8</f>
        <v>Tanishkaa Vikrant</v>
      </c>
      <c r="E358" s="87"/>
      <c r="F358" s="86"/>
      <c r="G358" s="86"/>
      <c r="H358" s="86"/>
      <c r="I358" s="30"/>
      <c r="J358" s="30"/>
      <c r="K358" s="30"/>
      <c r="L358" s="30"/>
      <c r="M358" s="30"/>
      <c r="N358" s="30"/>
      <c r="O358" s="30"/>
      <c r="P358" s="30"/>
    </row>
    <row r="359" spans="1:16" x14ac:dyDescent="0.25">
      <c r="A359" s="86"/>
      <c r="B359" s="86"/>
      <c r="C359" s="86"/>
      <c r="D359" s="86"/>
      <c r="E359" s="86"/>
      <c r="F359" s="86"/>
      <c r="G359" s="86"/>
      <c r="H359" s="86"/>
      <c r="I359" s="30"/>
      <c r="J359" s="30"/>
      <c r="K359" s="30"/>
      <c r="L359" s="30"/>
      <c r="M359" s="30"/>
      <c r="N359" s="30"/>
      <c r="O359" s="30"/>
      <c r="P359" s="30"/>
    </row>
    <row r="360" spans="1:16" x14ac:dyDescent="0.25">
      <c r="A360" s="86"/>
      <c r="B360" s="86"/>
      <c r="C360" s="86"/>
      <c r="D360" s="86"/>
      <c r="E360" s="86"/>
      <c r="F360" s="86"/>
      <c r="G360" s="86"/>
      <c r="H360" s="86"/>
      <c r="I360" s="30"/>
      <c r="J360" s="30"/>
      <c r="K360" s="30"/>
      <c r="L360" s="30"/>
      <c r="M360" s="30"/>
      <c r="N360" s="30"/>
      <c r="O360" s="30"/>
      <c r="P360" s="30"/>
    </row>
    <row r="361" spans="1:16" ht="15" customHeight="1" x14ac:dyDescent="0.25">
      <c r="A361" s="87"/>
      <c r="B361" s="87"/>
      <c r="C361" s="87"/>
      <c r="D361" s="87"/>
      <c r="E361" s="87"/>
      <c r="F361" s="87"/>
      <c r="G361" s="87"/>
      <c r="H361" s="87"/>
      <c r="I361" s="30"/>
      <c r="J361" s="30"/>
      <c r="K361" s="30"/>
      <c r="L361" s="30"/>
      <c r="M361" s="30"/>
      <c r="N361" s="30"/>
      <c r="O361" s="30"/>
      <c r="P361" s="30"/>
    </row>
    <row r="362" spans="1:16" x14ac:dyDescent="0.25">
      <c r="A362" s="87"/>
      <c r="B362" s="87"/>
      <c r="C362" s="87"/>
      <c r="D362" s="87"/>
      <c r="E362" s="87"/>
      <c r="F362" s="87"/>
      <c r="G362" s="87"/>
      <c r="H362" s="87"/>
      <c r="I362" s="30"/>
      <c r="J362" s="30"/>
      <c r="K362" s="30"/>
      <c r="L362" s="30"/>
      <c r="M362" s="30"/>
      <c r="N362" s="30"/>
      <c r="O362" s="30"/>
      <c r="P362" s="30"/>
    </row>
    <row r="363" spans="1:16" x14ac:dyDescent="0.25">
      <c r="A363" s="87"/>
      <c r="B363" s="87"/>
      <c r="C363" s="87"/>
      <c r="D363" s="87"/>
      <c r="E363" s="87"/>
      <c r="F363" s="87"/>
      <c r="G363" s="87"/>
      <c r="H363" s="87"/>
      <c r="I363" s="30"/>
      <c r="J363" s="30"/>
      <c r="K363" s="30"/>
      <c r="L363" s="30"/>
      <c r="M363" s="30"/>
      <c r="N363" s="30"/>
      <c r="O363" s="30"/>
      <c r="P363" s="30"/>
    </row>
    <row r="364" spans="1:16" x14ac:dyDescent="0.25">
      <c r="A364" s="87"/>
      <c r="B364" s="87"/>
      <c r="C364" s="87"/>
      <c r="D364" s="87"/>
      <c r="E364" s="87"/>
      <c r="F364" s="87"/>
      <c r="G364" s="87"/>
      <c r="H364" s="87"/>
      <c r="I364" s="30"/>
      <c r="J364" s="30"/>
      <c r="K364" s="30"/>
      <c r="L364" s="30"/>
      <c r="M364" s="30"/>
      <c r="N364" s="30"/>
      <c r="O364" s="30"/>
      <c r="P364" s="30"/>
    </row>
    <row r="365" spans="1:16" x14ac:dyDescent="0.25">
      <c r="A365" s="87"/>
      <c r="B365" s="87"/>
      <c r="C365" s="87"/>
      <c r="D365" s="87"/>
      <c r="E365" s="87"/>
      <c r="F365" s="87"/>
      <c r="G365" s="87"/>
      <c r="H365" s="87"/>
      <c r="I365" s="30"/>
      <c r="J365" s="30"/>
      <c r="K365" s="30"/>
      <c r="L365" s="30"/>
      <c r="M365" s="30"/>
      <c r="N365" s="30"/>
      <c r="O365" s="30"/>
      <c r="P365" s="30"/>
    </row>
    <row r="366" spans="1:16" x14ac:dyDescent="0.25">
      <c r="A366" s="87"/>
      <c r="B366" s="87"/>
      <c r="C366" s="87"/>
      <c r="D366" s="87"/>
      <c r="E366" s="87"/>
      <c r="F366" s="87"/>
      <c r="G366" s="87"/>
      <c r="H366" s="87"/>
      <c r="I366" s="30"/>
      <c r="J366" s="30"/>
      <c r="K366" s="30"/>
      <c r="L366" s="30"/>
      <c r="M366" s="30"/>
      <c r="N366" s="30"/>
      <c r="O366" s="30"/>
      <c r="P366" s="30"/>
    </row>
    <row r="367" spans="1:16" x14ac:dyDescent="0.25">
      <c r="A367" s="87"/>
      <c r="B367" s="87"/>
      <c r="C367" s="87"/>
      <c r="D367" s="87"/>
      <c r="E367" s="87"/>
      <c r="F367" s="87"/>
      <c r="G367" s="87"/>
      <c r="H367" s="87"/>
      <c r="I367" s="30"/>
      <c r="J367" s="30"/>
      <c r="K367" s="30"/>
      <c r="L367" s="30"/>
      <c r="M367" s="30"/>
      <c r="N367" s="30"/>
      <c r="O367" s="30"/>
      <c r="P367" s="30"/>
    </row>
    <row r="368" spans="1:16" x14ac:dyDescent="0.25">
      <c r="A368" s="87"/>
      <c r="B368" s="87"/>
      <c r="C368" s="87"/>
      <c r="D368" s="87"/>
      <c r="E368" s="87"/>
      <c r="F368" s="87"/>
      <c r="G368" s="87"/>
      <c r="H368" s="87"/>
      <c r="I368" s="30"/>
      <c r="J368" s="30"/>
      <c r="K368" s="30"/>
      <c r="L368" s="30"/>
      <c r="M368" s="30"/>
      <c r="N368" s="30"/>
      <c r="O368" s="30"/>
      <c r="P368" s="30"/>
    </row>
    <row r="369" spans="1:16" x14ac:dyDescent="0.25">
      <c r="A369" s="87"/>
      <c r="B369" s="87"/>
      <c r="C369" s="87"/>
      <c r="D369" s="87"/>
      <c r="E369" s="87"/>
      <c r="F369" s="87"/>
      <c r="G369" s="87"/>
      <c r="H369" s="87"/>
      <c r="I369" s="30"/>
      <c r="J369" s="30"/>
      <c r="K369" s="30"/>
      <c r="L369" s="30"/>
      <c r="M369" s="30"/>
      <c r="N369" s="30"/>
      <c r="O369" s="30"/>
      <c r="P369" s="30"/>
    </row>
    <row r="370" spans="1:16" x14ac:dyDescent="0.25">
      <c r="A370" s="87"/>
      <c r="B370" s="87"/>
      <c r="C370" s="87"/>
      <c r="D370" s="87"/>
      <c r="E370" s="87"/>
      <c r="F370" s="87"/>
      <c r="G370" s="87"/>
      <c r="H370" s="87"/>
      <c r="I370" s="30"/>
      <c r="J370" s="30"/>
      <c r="K370" s="30"/>
      <c r="L370" s="30"/>
      <c r="M370" s="30"/>
      <c r="N370" s="30"/>
      <c r="O370" s="30"/>
      <c r="P370" s="30"/>
    </row>
    <row r="371" spans="1:16" x14ac:dyDescent="0.25">
      <c r="A371" s="87"/>
      <c r="B371" s="87"/>
      <c r="C371" s="87"/>
      <c r="D371" s="87"/>
      <c r="E371" s="87"/>
      <c r="F371" s="87"/>
      <c r="G371" s="87"/>
      <c r="H371" s="87"/>
      <c r="I371" s="30"/>
      <c r="J371" s="30"/>
      <c r="K371" s="30"/>
      <c r="L371" s="30"/>
      <c r="M371" s="30"/>
      <c r="N371" s="30"/>
      <c r="O371" s="30"/>
      <c r="P371" s="30"/>
    </row>
    <row r="372" spans="1:16" x14ac:dyDescent="0.25">
      <c r="A372" s="87"/>
      <c r="B372" s="87"/>
      <c r="C372" s="87"/>
      <c r="D372" s="87"/>
      <c r="E372" s="87"/>
      <c r="F372" s="87"/>
      <c r="G372" s="87"/>
      <c r="H372" s="87"/>
      <c r="I372" s="30"/>
      <c r="J372" s="30"/>
      <c r="K372" s="30"/>
      <c r="L372" s="30"/>
      <c r="M372" s="30"/>
      <c r="N372" s="30"/>
      <c r="O372" s="30"/>
      <c r="P372" s="30"/>
    </row>
    <row r="373" spans="1:16" x14ac:dyDescent="0.25">
      <c r="A373" s="87"/>
      <c r="B373" s="87"/>
      <c r="C373" s="87"/>
      <c r="D373" s="87"/>
      <c r="E373" s="87"/>
      <c r="F373" s="87"/>
      <c r="G373" s="87"/>
      <c r="H373" s="87"/>
      <c r="I373" s="30"/>
      <c r="J373" s="30"/>
      <c r="K373" s="30"/>
      <c r="L373" s="30"/>
      <c r="M373" s="30"/>
      <c r="N373" s="30"/>
      <c r="O373" s="30"/>
      <c r="P373" s="30"/>
    </row>
    <row r="374" spans="1:16" x14ac:dyDescent="0.25">
      <c r="A374" s="87"/>
      <c r="B374" s="87"/>
      <c r="C374" s="87"/>
      <c r="D374" s="87"/>
      <c r="E374" s="87"/>
      <c r="F374" s="87"/>
      <c r="G374" s="87"/>
      <c r="H374" s="87"/>
      <c r="I374" s="30"/>
      <c r="J374" s="30"/>
      <c r="K374" s="30"/>
      <c r="L374" s="30"/>
      <c r="M374" s="30"/>
      <c r="N374" s="30"/>
      <c r="O374" s="30"/>
      <c r="P374" s="30"/>
    </row>
    <row r="375" spans="1:16" x14ac:dyDescent="0.25">
      <c r="A375" s="87"/>
      <c r="B375" s="87"/>
      <c r="C375" s="87"/>
      <c r="D375" s="87"/>
      <c r="E375" s="87"/>
      <c r="F375" s="87"/>
      <c r="G375" s="87"/>
      <c r="H375" s="87"/>
      <c r="I375" s="30"/>
      <c r="J375" s="30"/>
      <c r="K375" s="30"/>
      <c r="L375" s="30"/>
      <c r="M375" s="30"/>
      <c r="N375" s="30"/>
      <c r="O375" s="30"/>
      <c r="P375" s="30"/>
    </row>
    <row r="376" spans="1:16" x14ac:dyDescent="0.25">
      <c r="A376" s="87"/>
      <c r="B376" s="87"/>
      <c r="C376" s="87"/>
      <c r="D376" s="87"/>
      <c r="E376" s="87"/>
      <c r="F376" s="87"/>
      <c r="G376" s="87"/>
      <c r="H376" s="87"/>
      <c r="I376" s="30"/>
      <c r="J376" s="30"/>
      <c r="K376" s="30"/>
      <c r="L376" s="30"/>
      <c r="M376" s="30"/>
      <c r="N376" s="30"/>
      <c r="O376" s="30"/>
      <c r="P376" s="30"/>
    </row>
    <row r="377" spans="1:16" x14ac:dyDescent="0.25">
      <c r="A377" s="87"/>
      <c r="B377" s="87"/>
      <c r="C377" s="87"/>
      <c r="D377" s="87"/>
      <c r="E377" s="87"/>
      <c r="F377" s="87"/>
      <c r="G377" s="87"/>
      <c r="H377" s="87"/>
      <c r="I377" s="30"/>
      <c r="J377" s="30"/>
      <c r="K377" s="30"/>
      <c r="L377" s="30"/>
      <c r="M377" s="30"/>
      <c r="N377" s="30"/>
      <c r="O377" s="30"/>
      <c r="P377" s="30"/>
    </row>
    <row r="378" spans="1:16" x14ac:dyDescent="0.25">
      <c r="A378" s="87"/>
      <c r="B378" s="87"/>
      <c r="C378" s="87"/>
      <c r="D378" s="87"/>
      <c r="E378" s="87"/>
      <c r="F378" s="87"/>
      <c r="G378" s="87"/>
      <c r="H378" s="87"/>
      <c r="I378" s="30"/>
      <c r="J378" s="30"/>
      <c r="K378" s="30"/>
      <c r="L378" s="30"/>
      <c r="M378" s="30"/>
      <c r="N378" s="30"/>
      <c r="O378" s="30"/>
      <c r="P378" s="30"/>
    </row>
    <row r="379" spans="1:16" x14ac:dyDescent="0.25">
      <c r="A379" s="87"/>
      <c r="B379" s="87"/>
      <c r="C379" s="87"/>
      <c r="D379" s="87"/>
      <c r="E379" s="87"/>
      <c r="F379" s="87"/>
      <c r="G379" s="87"/>
      <c r="H379" s="87"/>
      <c r="I379" s="30"/>
      <c r="J379" s="30"/>
      <c r="K379" s="30"/>
      <c r="L379" s="30"/>
      <c r="M379" s="30"/>
      <c r="N379" s="30"/>
      <c r="O379" s="30"/>
      <c r="P379" s="30"/>
    </row>
    <row r="380" spans="1:16" x14ac:dyDescent="0.25">
      <c r="A380" s="87"/>
      <c r="B380" s="87"/>
      <c r="C380" s="87"/>
      <c r="D380" s="87"/>
      <c r="E380" s="87"/>
      <c r="F380" s="87"/>
      <c r="G380" s="87"/>
      <c r="H380" s="87"/>
      <c r="I380" s="30"/>
      <c r="J380" s="30"/>
      <c r="K380" s="30"/>
      <c r="L380" s="30"/>
      <c r="M380" s="30"/>
      <c r="N380" s="30"/>
      <c r="O380" s="30"/>
      <c r="P380" s="30"/>
    </row>
    <row r="381" spans="1:16" x14ac:dyDescent="0.25">
      <c r="A381" s="87"/>
      <c r="B381" s="87"/>
      <c r="C381" s="87"/>
      <c r="D381" s="87"/>
      <c r="E381" s="87"/>
      <c r="F381" s="87"/>
      <c r="G381" s="87"/>
      <c r="H381" s="87"/>
      <c r="I381" s="30"/>
      <c r="J381" s="30"/>
      <c r="K381" s="30"/>
      <c r="L381" s="30"/>
      <c r="M381" s="30"/>
      <c r="N381" s="30"/>
      <c r="O381" s="30"/>
      <c r="P381" s="30"/>
    </row>
    <row r="382" spans="1:16" x14ac:dyDescent="0.25">
      <c r="A382" s="87"/>
      <c r="B382" s="87"/>
      <c r="C382" s="87"/>
      <c r="D382" s="87"/>
      <c r="E382" s="87"/>
      <c r="F382" s="87"/>
      <c r="G382" s="87"/>
      <c r="H382" s="87"/>
      <c r="I382" s="30"/>
      <c r="J382" s="30"/>
      <c r="K382" s="30"/>
      <c r="L382" s="30"/>
      <c r="M382" s="30"/>
      <c r="N382" s="30"/>
      <c r="O382" s="30"/>
      <c r="P382" s="30"/>
    </row>
    <row r="383" spans="1:16" x14ac:dyDescent="0.25">
      <c r="A383" s="87"/>
      <c r="B383" s="87"/>
      <c r="C383" s="87"/>
      <c r="D383" s="87"/>
      <c r="E383" s="87"/>
      <c r="F383" s="87"/>
      <c r="G383" s="87"/>
      <c r="H383" s="87"/>
      <c r="I383" s="30"/>
      <c r="J383" s="30"/>
      <c r="K383" s="30"/>
      <c r="L383" s="30"/>
      <c r="M383" s="30"/>
      <c r="N383" s="30"/>
      <c r="O383" s="30"/>
      <c r="P383" s="30"/>
    </row>
    <row r="384" spans="1:16" x14ac:dyDescent="0.25">
      <c r="A384" s="87"/>
      <c r="B384" s="87"/>
      <c r="C384" s="87"/>
      <c r="D384" s="87"/>
      <c r="E384" s="87"/>
      <c r="F384" s="87"/>
      <c r="G384" s="87"/>
      <c r="H384" s="87"/>
      <c r="I384" s="30"/>
      <c r="J384" s="30"/>
      <c r="K384" s="30"/>
      <c r="L384" s="30"/>
      <c r="M384" s="30"/>
      <c r="N384" s="30"/>
      <c r="O384" s="30"/>
      <c r="P384" s="30"/>
    </row>
    <row r="385" spans="1:16" x14ac:dyDescent="0.25">
      <c r="A385" s="87"/>
      <c r="B385" s="87"/>
      <c r="C385" s="87"/>
      <c r="D385" s="87"/>
      <c r="E385" s="87"/>
      <c r="F385" s="87"/>
      <c r="G385" s="87"/>
      <c r="H385" s="87"/>
      <c r="I385" s="30"/>
      <c r="J385" s="30"/>
      <c r="K385" s="30"/>
      <c r="L385" s="30"/>
      <c r="M385" s="30"/>
      <c r="N385" s="30"/>
      <c r="O385" s="30"/>
      <c r="P385" s="30"/>
    </row>
    <row r="386" spans="1:16" x14ac:dyDescent="0.25">
      <c r="A386" s="87"/>
      <c r="B386" s="87"/>
      <c r="C386" s="87"/>
      <c r="D386" s="87"/>
      <c r="E386" s="87"/>
      <c r="F386" s="87"/>
      <c r="G386" s="87"/>
      <c r="H386" s="87"/>
      <c r="I386" s="30"/>
      <c r="J386" s="30"/>
      <c r="K386" s="30"/>
      <c r="L386" s="30"/>
      <c r="M386" s="30"/>
      <c r="N386" s="30"/>
      <c r="O386" s="30"/>
      <c r="P386" s="30"/>
    </row>
    <row r="387" spans="1:16" x14ac:dyDescent="0.25">
      <c r="A387" s="87"/>
      <c r="B387" s="87"/>
      <c r="C387" s="87"/>
      <c r="D387" s="87"/>
      <c r="E387" s="87"/>
      <c r="F387" s="87"/>
      <c r="G387" s="87"/>
      <c r="H387" s="87"/>
      <c r="I387" s="30"/>
      <c r="J387" s="30"/>
      <c r="K387" s="30"/>
      <c r="L387" s="30"/>
      <c r="M387" s="30"/>
      <c r="N387" s="30"/>
      <c r="O387" s="30"/>
      <c r="P387" s="30"/>
    </row>
    <row r="388" spans="1:16" x14ac:dyDescent="0.25">
      <c r="A388" s="87"/>
      <c r="B388" s="87"/>
      <c r="C388" s="87"/>
      <c r="D388" s="87"/>
      <c r="E388" s="87"/>
      <c r="F388" s="87"/>
      <c r="G388" s="87"/>
      <c r="H388" s="87"/>
      <c r="I388" s="30"/>
      <c r="J388" s="30"/>
      <c r="K388" s="30"/>
      <c r="L388" s="30"/>
      <c r="M388" s="30"/>
      <c r="N388" s="30"/>
      <c r="O388" s="30"/>
      <c r="P388" s="30"/>
    </row>
    <row r="389" spans="1:16" x14ac:dyDescent="0.25">
      <c r="A389" s="87"/>
      <c r="B389" s="87"/>
      <c r="C389" s="87"/>
      <c r="D389" s="87"/>
      <c r="E389" s="87"/>
      <c r="F389" s="87"/>
      <c r="G389" s="87"/>
      <c r="H389" s="87"/>
      <c r="I389" s="30"/>
      <c r="J389" s="30"/>
      <c r="K389" s="30"/>
      <c r="L389" s="30"/>
      <c r="M389" s="30"/>
      <c r="N389" s="30"/>
      <c r="O389" s="30"/>
      <c r="P389" s="30"/>
    </row>
    <row r="390" spans="1:16" x14ac:dyDescent="0.25">
      <c r="A390" s="87"/>
      <c r="B390" s="87"/>
      <c r="C390" s="87"/>
      <c r="D390" s="87"/>
      <c r="E390" s="87"/>
      <c r="F390" s="87"/>
      <c r="G390" s="87"/>
      <c r="H390" s="87"/>
      <c r="I390" s="30"/>
      <c r="J390" s="30"/>
      <c r="K390" s="30"/>
      <c r="L390" s="30"/>
      <c r="M390" s="30"/>
      <c r="N390" s="30"/>
      <c r="O390" s="30"/>
      <c r="P390" s="30"/>
    </row>
    <row r="391" spans="1:16" x14ac:dyDescent="0.25">
      <c r="A391" s="87"/>
      <c r="B391" s="87"/>
      <c r="C391" s="87"/>
      <c r="D391" s="87"/>
      <c r="E391" s="87"/>
      <c r="F391" s="87"/>
      <c r="G391" s="87"/>
      <c r="H391" s="87"/>
      <c r="I391" s="30"/>
      <c r="J391" s="30"/>
      <c r="K391" s="30"/>
      <c r="L391" s="30"/>
      <c r="M391" s="30"/>
      <c r="N391" s="30"/>
      <c r="O391" s="30"/>
      <c r="P391" s="30"/>
    </row>
    <row r="392" spans="1:16" x14ac:dyDescent="0.25">
      <c r="A392" s="87"/>
      <c r="B392" s="87"/>
      <c r="C392" s="87"/>
      <c r="D392" s="87"/>
      <c r="E392" s="87"/>
      <c r="F392" s="87"/>
      <c r="G392" s="87"/>
      <c r="H392" s="87"/>
      <c r="I392" s="30"/>
      <c r="J392" s="30"/>
      <c r="K392" s="30"/>
      <c r="L392" s="30"/>
      <c r="M392" s="30"/>
      <c r="N392" s="30"/>
      <c r="O392" s="30"/>
      <c r="P392" s="30"/>
    </row>
    <row r="393" spans="1:16" x14ac:dyDescent="0.25">
      <c r="A393" s="87"/>
      <c r="B393" s="87"/>
      <c r="C393" s="87"/>
      <c r="D393" s="87"/>
      <c r="E393" s="87"/>
      <c r="F393" s="87"/>
      <c r="G393" s="87"/>
      <c r="H393" s="87"/>
      <c r="I393" s="30"/>
      <c r="J393" s="30"/>
      <c r="K393" s="30"/>
      <c r="L393" s="30"/>
      <c r="M393" s="30"/>
      <c r="N393" s="30"/>
      <c r="O393" s="30"/>
      <c r="P393" s="30"/>
    </row>
    <row r="394" spans="1:16" x14ac:dyDescent="0.25">
      <c r="A394" s="87"/>
      <c r="B394" s="87"/>
      <c r="C394" s="87"/>
      <c r="D394" s="87"/>
      <c r="E394" s="87"/>
      <c r="F394" s="87"/>
      <c r="G394" s="87"/>
      <c r="H394" s="87"/>
      <c r="I394" s="30"/>
      <c r="J394" s="30"/>
      <c r="K394" s="30"/>
      <c r="L394" s="30"/>
      <c r="M394" s="30"/>
      <c r="N394" s="30"/>
      <c r="O394" s="30"/>
      <c r="P394" s="30"/>
    </row>
    <row r="395" spans="1:16" x14ac:dyDescent="0.25">
      <c r="A395" s="87"/>
      <c r="B395" s="87"/>
      <c r="C395" s="87"/>
      <c r="D395" s="87"/>
      <c r="E395" s="87"/>
      <c r="F395" s="87"/>
      <c r="G395" s="87"/>
      <c r="H395" s="87"/>
      <c r="I395" s="30"/>
      <c r="J395" s="30"/>
      <c r="K395" s="30"/>
      <c r="L395" s="30"/>
      <c r="M395" s="30"/>
      <c r="N395" s="30"/>
      <c r="O395" s="30"/>
      <c r="P395" s="30"/>
    </row>
    <row r="396" spans="1:16" x14ac:dyDescent="0.25">
      <c r="A396" s="87"/>
      <c r="B396" s="87"/>
      <c r="C396" s="87"/>
      <c r="D396" s="87"/>
      <c r="E396" s="87"/>
      <c r="F396" s="87"/>
      <c r="G396" s="87"/>
      <c r="H396" s="87"/>
      <c r="I396" s="30"/>
      <c r="J396" s="30"/>
      <c r="K396" s="30"/>
      <c r="L396" s="30"/>
      <c r="M396" s="30"/>
      <c r="N396" s="30"/>
      <c r="O396" s="30"/>
      <c r="P396" s="30"/>
    </row>
    <row r="397" spans="1:16" x14ac:dyDescent="0.25">
      <c r="A397" s="87"/>
      <c r="B397" s="87"/>
      <c r="C397" s="87"/>
      <c r="D397" s="87"/>
      <c r="E397" s="87"/>
      <c r="F397" s="87"/>
      <c r="G397" s="87"/>
      <c r="H397" s="87"/>
      <c r="I397" s="30"/>
      <c r="J397" s="30"/>
      <c r="K397" s="30"/>
      <c r="L397" s="30"/>
      <c r="M397" s="30"/>
      <c r="N397" s="30"/>
      <c r="O397" s="30"/>
      <c r="P397" s="30"/>
    </row>
    <row r="398" spans="1:16" x14ac:dyDescent="0.25">
      <c r="A398" s="87"/>
      <c r="B398" s="87"/>
      <c r="C398" s="87"/>
      <c r="D398" s="87"/>
      <c r="E398" s="87"/>
      <c r="F398" s="87"/>
      <c r="G398" s="87"/>
      <c r="H398" s="87"/>
      <c r="I398" s="30"/>
      <c r="J398" s="30"/>
      <c r="K398" s="30"/>
      <c r="L398" s="30"/>
      <c r="M398" s="30"/>
      <c r="N398" s="30"/>
      <c r="O398" s="30"/>
      <c r="P398" s="30"/>
    </row>
    <row r="399" spans="1:16" x14ac:dyDescent="0.25">
      <c r="A399" s="87"/>
      <c r="B399" s="87"/>
      <c r="C399" s="87"/>
      <c r="D399" s="87"/>
      <c r="E399" s="87"/>
      <c r="F399" s="87"/>
      <c r="G399" s="87"/>
      <c r="H399" s="87"/>
      <c r="I399" s="30"/>
      <c r="J399" s="30"/>
      <c r="K399" s="30"/>
      <c r="L399" s="30"/>
      <c r="M399" s="30"/>
      <c r="N399" s="30"/>
      <c r="O399" s="30"/>
      <c r="P399" s="30"/>
    </row>
    <row r="400" spans="1:16" x14ac:dyDescent="0.25">
      <c r="A400" s="87"/>
      <c r="B400" s="87"/>
      <c r="C400" s="87"/>
      <c r="D400" s="87"/>
      <c r="E400" s="87"/>
      <c r="F400" s="87"/>
      <c r="G400" s="87"/>
      <c r="H400" s="87"/>
      <c r="I400" s="30"/>
      <c r="J400" s="30"/>
      <c r="K400" s="30"/>
      <c r="L400" s="30"/>
      <c r="M400" s="30"/>
      <c r="N400" s="30"/>
      <c r="O400" s="30"/>
      <c r="P400" s="30"/>
    </row>
    <row r="401" spans="1:16" x14ac:dyDescent="0.25">
      <c r="A401" s="88" t="s">
        <v>161</v>
      </c>
      <c r="B401" s="87"/>
      <c r="C401" s="87"/>
      <c r="D401" s="87"/>
      <c r="E401" s="87"/>
      <c r="F401" s="87"/>
      <c r="G401" s="87"/>
      <c r="H401" s="87"/>
      <c r="I401" s="30"/>
      <c r="J401" s="30"/>
      <c r="K401" s="30"/>
      <c r="L401" s="30"/>
      <c r="M401" s="30"/>
      <c r="N401" s="30"/>
      <c r="O401" s="30"/>
      <c r="P401" s="30"/>
    </row>
    <row r="402" spans="1:16" x14ac:dyDescent="0.25">
      <c r="A402" s="87"/>
      <c r="B402" s="87"/>
      <c r="C402" s="87"/>
      <c r="D402" s="87"/>
      <c r="E402" s="87"/>
      <c r="F402" s="87"/>
      <c r="G402" s="87"/>
      <c r="H402" s="87"/>
      <c r="I402" s="30"/>
      <c r="J402" s="30"/>
      <c r="K402" s="30"/>
      <c r="L402" s="30"/>
      <c r="M402" s="30"/>
      <c r="N402" s="30"/>
      <c r="O402" s="30"/>
      <c r="P402" s="30"/>
    </row>
    <row r="403" spans="1:16" x14ac:dyDescent="0.25">
      <c r="A403" s="87"/>
      <c r="B403" s="87"/>
      <c r="C403" s="87"/>
      <c r="D403" s="87"/>
      <c r="E403" s="87"/>
      <c r="F403" s="87"/>
      <c r="G403" s="87"/>
      <c r="H403" s="87"/>
      <c r="I403" s="30"/>
      <c r="J403" s="30"/>
      <c r="K403" s="30"/>
      <c r="L403" s="30"/>
      <c r="M403" s="30"/>
      <c r="N403" s="30"/>
      <c r="O403" s="30"/>
      <c r="P403" s="30"/>
    </row>
    <row r="404" spans="1:16" x14ac:dyDescent="0.25">
      <c r="A404" s="87"/>
      <c r="B404" s="87"/>
      <c r="C404" s="87"/>
      <c r="D404" s="87"/>
      <c r="E404" s="87"/>
      <c r="F404" s="87"/>
      <c r="G404" s="87"/>
      <c r="H404" s="87"/>
      <c r="I404" s="30"/>
      <c r="J404" s="30"/>
      <c r="K404" s="30"/>
      <c r="L404" s="30"/>
      <c r="M404" s="30"/>
      <c r="N404" s="30"/>
      <c r="O404" s="30"/>
      <c r="P404" s="30"/>
    </row>
    <row r="405" spans="1:16" x14ac:dyDescent="0.25">
      <c r="A405" s="87"/>
      <c r="B405" s="87"/>
      <c r="C405" s="87"/>
      <c r="D405" s="87"/>
      <c r="E405" s="87"/>
      <c r="F405" s="87"/>
      <c r="G405" s="87"/>
      <c r="H405" s="87"/>
      <c r="I405" s="30"/>
      <c r="J405" s="30"/>
      <c r="K405" s="30"/>
      <c r="L405" s="30"/>
      <c r="M405" s="30"/>
      <c r="N405" s="30"/>
      <c r="O405" s="30"/>
      <c r="P405" s="30"/>
    </row>
    <row r="406" spans="1:16" x14ac:dyDescent="0.25">
      <c r="A406" s="87"/>
      <c r="B406" s="87"/>
      <c r="C406" s="87"/>
      <c r="D406" s="87"/>
      <c r="E406" s="87"/>
      <c r="F406" s="87"/>
      <c r="G406" s="87"/>
      <c r="H406" s="87"/>
      <c r="I406" s="30"/>
      <c r="J406" s="30"/>
      <c r="K406" s="30"/>
      <c r="L406" s="30"/>
      <c r="M406" s="30"/>
      <c r="N406" s="30"/>
      <c r="O406" s="30"/>
      <c r="P406" s="30"/>
    </row>
    <row r="407" spans="1:16" x14ac:dyDescent="0.25">
      <c r="A407" s="87"/>
      <c r="B407" s="87"/>
      <c r="C407" s="87"/>
      <c r="D407" s="87"/>
      <c r="E407" s="87"/>
      <c r="F407" s="87"/>
      <c r="G407" s="87"/>
      <c r="H407" s="87"/>
      <c r="I407" s="30"/>
      <c r="J407" s="30"/>
      <c r="K407" s="30"/>
      <c r="L407" s="30"/>
      <c r="M407" s="30"/>
      <c r="N407" s="30"/>
      <c r="O407" s="30"/>
      <c r="P407" s="30"/>
    </row>
    <row r="408" spans="1:16" x14ac:dyDescent="0.25">
      <c r="A408" s="87"/>
      <c r="B408" s="87"/>
      <c r="C408" s="87"/>
      <c r="D408" s="87"/>
      <c r="E408" s="87"/>
      <c r="F408" s="87"/>
      <c r="G408" s="87"/>
      <c r="H408" s="87"/>
      <c r="I408" s="30"/>
      <c r="J408" s="30"/>
      <c r="K408" s="30"/>
      <c r="L408" s="30"/>
      <c r="M408" s="30"/>
      <c r="N408" s="30"/>
      <c r="O408" s="30"/>
      <c r="P408" s="30"/>
    </row>
    <row r="409" spans="1:16" x14ac:dyDescent="0.25">
      <c r="A409" s="87"/>
      <c r="B409" s="87"/>
      <c r="C409" s="87"/>
      <c r="D409" s="87"/>
      <c r="E409" s="87"/>
      <c r="F409" s="87"/>
      <c r="G409" s="87"/>
      <c r="H409" s="87"/>
      <c r="I409" s="30"/>
      <c r="J409" s="30"/>
      <c r="K409" s="30"/>
      <c r="L409" s="30"/>
      <c r="M409" s="30"/>
      <c r="N409" s="30"/>
      <c r="O409" s="30"/>
      <c r="P409" s="30"/>
    </row>
    <row r="410" spans="1:16" x14ac:dyDescent="0.25">
      <c r="A410" s="87"/>
      <c r="B410" s="87"/>
      <c r="C410" s="87"/>
      <c r="D410" s="87"/>
      <c r="E410" s="87"/>
      <c r="F410" s="87"/>
      <c r="G410" s="87"/>
      <c r="H410" s="87"/>
      <c r="I410" s="30"/>
      <c r="J410" s="30"/>
      <c r="K410" s="30"/>
      <c r="L410" s="30"/>
      <c r="M410" s="30"/>
      <c r="N410" s="30"/>
      <c r="O410" s="30"/>
      <c r="P410" s="30"/>
    </row>
    <row r="411" spans="1:16" x14ac:dyDescent="0.25">
      <c r="A411" s="87"/>
      <c r="B411" s="87"/>
      <c r="C411" s="87"/>
      <c r="D411" s="87"/>
      <c r="E411" s="87"/>
      <c r="F411" s="87"/>
      <c r="G411" s="87"/>
      <c r="H411" s="87"/>
      <c r="I411" s="30"/>
      <c r="J411" s="30"/>
      <c r="K411" s="30"/>
      <c r="L411" s="30"/>
      <c r="M411" s="30"/>
      <c r="N411" s="30"/>
      <c r="O411" s="30"/>
      <c r="P411" s="30"/>
    </row>
    <row r="412" spans="1:16" x14ac:dyDescent="0.25">
      <c r="A412" s="87"/>
      <c r="B412" s="87"/>
      <c r="C412" s="87"/>
      <c r="D412" s="87"/>
      <c r="E412" s="87"/>
      <c r="F412" s="87"/>
      <c r="G412" s="87"/>
      <c r="H412" s="87"/>
      <c r="I412" s="30"/>
      <c r="J412" s="30"/>
      <c r="K412" s="30"/>
      <c r="L412" s="30"/>
      <c r="M412" s="30"/>
      <c r="N412" s="30"/>
      <c r="O412" s="30"/>
      <c r="P412" s="30"/>
    </row>
    <row r="413" spans="1:16" x14ac:dyDescent="0.25">
      <c r="A413" s="87"/>
      <c r="B413" s="87"/>
      <c r="C413" s="87"/>
      <c r="D413" s="87"/>
      <c r="E413" s="87"/>
      <c r="F413" s="87"/>
      <c r="G413" s="87"/>
      <c r="H413" s="87"/>
      <c r="I413" s="30"/>
      <c r="J413" s="30"/>
      <c r="K413" s="30"/>
      <c r="L413" s="30"/>
      <c r="M413" s="30"/>
      <c r="N413" s="30"/>
      <c r="O413" s="30"/>
      <c r="P413" s="30"/>
    </row>
    <row r="414" spans="1:16" x14ac:dyDescent="0.25">
      <c r="A414" s="87"/>
      <c r="B414" s="87"/>
      <c r="C414" s="87"/>
      <c r="D414" s="87"/>
      <c r="E414" s="87"/>
      <c r="F414" s="87"/>
      <c r="G414" s="87"/>
      <c r="H414" s="87"/>
      <c r="I414" s="30"/>
      <c r="J414" s="30"/>
      <c r="K414" s="30"/>
      <c r="L414" s="30"/>
      <c r="M414" s="30"/>
      <c r="N414" s="30"/>
      <c r="O414" s="30"/>
      <c r="P414" s="30"/>
    </row>
    <row r="415" spans="1:16" x14ac:dyDescent="0.25">
      <c r="A415" s="87"/>
      <c r="B415" s="87"/>
      <c r="C415" s="87"/>
      <c r="D415" s="87"/>
      <c r="E415" s="87"/>
      <c r="F415" s="87"/>
      <c r="G415" s="87"/>
      <c r="H415" s="87"/>
      <c r="I415" s="30"/>
      <c r="J415" s="30"/>
      <c r="K415" s="30"/>
      <c r="L415" s="30"/>
      <c r="M415" s="30"/>
      <c r="N415" s="30"/>
      <c r="O415" s="30"/>
      <c r="P415" s="30"/>
    </row>
    <row r="416" spans="1:16" x14ac:dyDescent="0.25">
      <c r="A416" s="87"/>
      <c r="B416" s="87"/>
      <c r="C416" s="87"/>
      <c r="D416" s="87"/>
      <c r="E416" s="87"/>
      <c r="F416" s="87"/>
      <c r="G416" s="87"/>
      <c r="H416" s="87"/>
      <c r="I416" s="30"/>
      <c r="J416" s="30"/>
      <c r="K416" s="30"/>
      <c r="L416" s="30"/>
      <c r="M416" s="30"/>
      <c r="N416" s="30"/>
      <c r="O416" s="30"/>
      <c r="P416" s="30"/>
    </row>
    <row r="417" spans="1:16" x14ac:dyDescent="0.25">
      <c r="A417" s="87"/>
      <c r="B417" s="87"/>
      <c r="C417" s="87"/>
      <c r="D417" s="87"/>
      <c r="E417" s="87"/>
      <c r="F417" s="87"/>
      <c r="G417" s="87"/>
      <c r="H417" s="87"/>
      <c r="I417" s="30"/>
      <c r="J417" s="30"/>
      <c r="K417" s="30"/>
      <c r="L417" s="30"/>
      <c r="M417" s="30"/>
      <c r="N417" s="30"/>
      <c r="O417" s="30"/>
      <c r="P417" s="30"/>
    </row>
    <row r="418" spans="1:16" x14ac:dyDescent="0.25">
      <c r="A418" s="87"/>
      <c r="B418" s="87"/>
      <c r="C418" s="87"/>
      <c r="D418" s="87"/>
      <c r="E418" s="87"/>
      <c r="F418" s="87"/>
      <c r="G418" s="87"/>
      <c r="H418" s="87"/>
      <c r="I418" s="30"/>
      <c r="J418" s="30"/>
      <c r="K418" s="30"/>
      <c r="L418" s="30"/>
      <c r="M418" s="30"/>
      <c r="N418" s="30"/>
      <c r="O418" s="30"/>
      <c r="P418" s="30"/>
    </row>
    <row r="419" spans="1:16" x14ac:dyDescent="0.25">
      <c r="A419" s="87"/>
      <c r="B419" s="87"/>
      <c r="C419" s="87"/>
      <c r="D419" s="87"/>
      <c r="E419" s="87"/>
      <c r="F419" s="87"/>
      <c r="G419" s="87"/>
      <c r="H419" s="87"/>
      <c r="I419" s="30"/>
      <c r="J419" s="30"/>
      <c r="K419" s="30"/>
      <c r="L419" s="30"/>
      <c r="M419" s="30"/>
      <c r="N419" s="30"/>
      <c r="O419" s="30"/>
      <c r="P419" s="30"/>
    </row>
    <row r="420" spans="1:16" x14ac:dyDescent="0.25">
      <c r="A420" s="87"/>
      <c r="B420" s="87"/>
      <c r="C420" s="87"/>
      <c r="D420" s="87"/>
      <c r="E420" s="87"/>
      <c r="F420" s="87"/>
      <c r="G420" s="87"/>
      <c r="H420" s="87"/>
      <c r="I420" s="30"/>
      <c r="J420" s="30"/>
      <c r="K420" s="30"/>
      <c r="L420" s="30"/>
      <c r="M420" s="30"/>
      <c r="N420" s="30"/>
      <c r="O420" s="30"/>
      <c r="P420" s="30"/>
    </row>
    <row r="421" spans="1:16" x14ac:dyDescent="0.25">
      <c r="A421" s="87"/>
      <c r="B421" s="87"/>
      <c r="C421" s="87"/>
      <c r="D421" s="87"/>
      <c r="E421" s="87"/>
      <c r="F421" s="87"/>
      <c r="G421" s="87"/>
      <c r="H421" s="87"/>
      <c r="I421" s="30"/>
      <c r="J421" s="30"/>
      <c r="K421" s="30"/>
      <c r="L421" s="30"/>
      <c r="M421" s="30"/>
      <c r="N421" s="30"/>
      <c r="O421" s="30"/>
      <c r="P421" s="30"/>
    </row>
    <row r="422" spans="1:16" x14ac:dyDescent="0.25">
      <c r="A422" s="87"/>
      <c r="B422" s="87"/>
      <c r="C422" s="87"/>
      <c r="D422" s="87"/>
      <c r="E422" s="87"/>
      <c r="F422" s="87"/>
      <c r="G422" s="87"/>
      <c r="H422" s="87"/>
      <c r="I422" s="30"/>
      <c r="J422" s="30"/>
      <c r="K422" s="30"/>
      <c r="L422" s="30"/>
      <c r="M422" s="30"/>
      <c r="N422" s="30"/>
      <c r="O422" s="30"/>
      <c r="P422" s="30"/>
    </row>
    <row r="423" spans="1:16" x14ac:dyDescent="0.25">
      <c r="A423" s="87"/>
      <c r="B423" s="87"/>
      <c r="C423" s="87"/>
      <c r="D423" s="87"/>
      <c r="E423" s="87"/>
      <c r="F423" s="87"/>
      <c r="G423" s="87"/>
      <c r="H423" s="87"/>
      <c r="I423" s="30"/>
      <c r="J423" s="30"/>
      <c r="K423" s="30"/>
      <c r="L423" s="30"/>
      <c r="M423" s="30"/>
      <c r="N423" s="30"/>
      <c r="O423" s="30"/>
      <c r="P423" s="30"/>
    </row>
    <row r="424" spans="1:16" x14ac:dyDescent="0.25">
      <c r="A424" s="87"/>
      <c r="B424" s="87"/>
      <c r="C424" s="87"/>
      <c r="D424" s="87"/>
      <c r="E424" s="87"/>
      <c r="F424" s="87"/>
      <c r="G424" s="87"/>
      <c r="H424" s="87"/>
      <c r="I424" s="30"/>
      <c r="J424" s="30"/>
      <c r="K424" s="30"/>
      <c r="L424" s="30"/>
      <c r="M424" s="30"/>
      <c r="N424" s="30"/>
      <c r="O424" s="30"/>
      <c r="P424" s="30"/>
    </row>
    <row r="425" spans="1:16" x14ac:dyDescent="0.25">
      <c r="A425" s="87"/>
      <c r="B425" s="87"/>
      <c r="C425" s="87"/>
      <c r="D425" s="87"/>
      <c r="E425" s="87"/>
      <c r="F425" s="87"/>
      <c r="G425" s="87"/>
      <c r="H425" s="87"/>
      <c r="I425" s="30"/>
      <c r="J425" s="30"/>
      <c r="K425" s="30"/>
      <c r="L425" s="30"/>
      <c r="M425" s="30"/>
      <c r="N425" s="30"/>
      <c r="O425" s="30"/>
      <c r="P425" s="30"/>
    </row>
    <row r="426" spans="1:16" x14ac:dyDescent="0.25">
      <c r="A426" s="87"/>
      <c r="B426" s="87"/>
      <c r="C426" s="87"/>
      <c r="D426" s="87"/>
      <c r="E426" s="87"/>
      <c r="F426" s="87"/>
      <c r="G426" s="87"/>
      <c r="H426" s="87"/>
      <c r="I426" s="30"/>
      <c r="J426" s="30"/>
      <c r="K426" s="30"/>
      <c r="L426" s="30"/>
      <c r="M426" s="30"/>
      <c r="N426" s="30"/>
      <c r="O426" s="30"/>
      <c r="P426" s="30"/>
    </row>
    <row r="427" spans="1:16" x14ac:dyDescent="0.25">
      <c r="A427" s="87"/>
      <c r="B427" s="87"/>
      <c r="C427" s="87"/>
      <c r="D427" s="87"/>
      <c r="E427" s="87"/>
      <c r="F427" s="87"/>
      <c r="G427" s="87"/>
      <c r="H427" s="87"/>
      <c r="I427" s="30"/>
      <c r="J427" s="30"/>
      <c r="K427" s="30"/>
      <c r="L427" s="30"/>
      <c r="M427" s="30"/>
      <c r="N427" s="30"/>
      <c r="O427" s="30"/>
      <c r="P427" s="30"/>
    </row>
    <row r="428" spans="1:16" x14ac:dyDescent="0.25">
      <c r="A428" s="87"/>
      <c r="B428" s="87"/>
      <c r="C428" s="87"/>
      <c r="D428" s="87"/>
      <c r="E428" s="87"/>
      <c r="F428" s="87"/>
      <c r="G428" s="87"/>
      <c r="H428" s="87"/>
      <c r="I428" s="30"/>
      <c r="J428" s="30"/>
      <c r="K428" s="30"/>
      <c r="L428" s="30"/>
      <c r="M428" s="30"/>
      <c r="N428" s="30"/>
      <c r="O428" s="30"/>
      <c r="P428" s="30"/>
    </row>
    <row r="429" spans="1:16" x14ac:dyDescent="0.25">
      <c r="A429" s="87"/>
      <c r="B429" s="87"/>
      <c r="C429" s="87"/>
      <c r="D429" s="87"/>
      <c r="E429" s="87"/>
      <c r="F429" s="87"/>
      <c r="G429" s="87"/>
      <c r="H429" s="87"/>
      <c r="I429" s="30"/>
      <c r="J429" s="30"/>
      <c r="K429" s="30"/>
      <c r="L429" s="30"/>
      <c r="M429" s="30"/>
      <c r="N429" s="30"/>
      <c r="O429" s="30"/>
      <c r="P429" s="30"/>
    </row>
    <row r="430" spans="1:16" x14ac:dyDescent="0.25">
      <c r="A430" s="87"/>
      <c r="B430" s="87"/>
      <c r="C430" s="87"/>
      <c r="D430" s="87"/>
      <c r="E430" s="87"/>
      <c r="F430" s="87"/>
      <c r="G430" s="87"/>
      <c r="H430" s="87"/>
      <c r="I430" s="30"/>
      <c r="J430" s="30"/>
      <c r="K430" s="30"/>
      <c r="L430" s="30"/>
      <c r="M430" s="30"/>
      <c r="N430" s="30"/>
      <c r="O430" s="30"/>
      <c r="P430" s="30"/>
    </row>
    <row r="431" spans="1:16" x14ac:dyDescent="0.25">
      <c r="A431" s="87"/>
      <c r="B431" s="87"/>
      <c r="C431" s="87"/>
      <c r="D431" s="87"/>
      <c r="E431" s="87"/>
      <c r="F431" s="87"/>
      <c r="G431" s="87"/>
      <c r="H431" s="87"/>
      <c r="I431" s="30"/>
      <c r="J431" s="30"/>
      <c r="K431" s="30"/>
      <c r="L431" s="30"/>
      <c r="M431" s="30"/>
      <c r="N431" s="30"/>
      <c r="O431" s="30"/>
      <c r="P431" s="30"/>
    </row>
    <row r="432" spans="1:16" x14ac:dyDescent="0.25">
      <c r="A432" s="87"/>
      <c r="B432" s="87"/>
      <c r="C432" s="87"/>
      <c r="D432" s="87"/>
      <c r="E432" s="87"/>
      <c r="F432" s="87"/>
      <c r="G432" s="87"/>
      <c r="H432" s="87"/>
      <c r="I432" s="30"/>
      <c r="J432" s="30"/>
      <c r="K432" s="30"/>
      <c r="L432" s="30"/>
      <c r="M432" s="30"/>
      <c r="N432" s="30"/>
      <c r="O432" s="30"/>
      <c r="P432" s="30"/>
    </row>
    <row r="433" spans="1:16" x14ac:dyDescent="0.25">
      <c r="A433" s="87"/>
      <c r="B433" s="87"/>
      <c r="C433" s="87"/>
      <c r="D433" s="87"/>
      <c r="E433" s="87"/>
      <c r="F433" s="87"/>
      <c r="G433" s="87"/>
      <c r="H433" s="87"/>
      <c r="I433" s="30"/>
      <c r="J433" s="30"/>
      <c r="K433" s="30"/>
      <c r="L433" s="30"/>
      <c r="M433" s="30"/>
      <c r="N433" s="30"/>
      <c r="O433" s="30"/>
      <c r="P433" s="30"/>
    </row>
    <row r="434" spans="1:16" x14ac:dyDescent="0.25">
      <c r="A434" s="87"/>
      <c r="B434" s="87"/>
      <c r="C434" s="87"/>
      <c r="D434" s="87"/>
      <c r="E434" s="87"/>
      <c r="F434" s="87"/>
      <c r="G434" s="87"/>
      <c r="H434" s="87"/>
      <c r="I434" s="30"/>
      <c r="J434" s="30"/>
      <c r="K434" s="30"/>
      <c r="L434" s="30"/>
      <c r="M434" s="30"/>
      <c r="N434" s="30"/>
      <c r="O434" s="30"/>
      <c r="P434" s="30"/>
    </row>
    <row r="435" spans="1:16" x14ac:dyDescent="0.25">
      <c r="A435" s="87"/>
      <c r="B435" s="87"/>
      <c r="C435" s="87"/>
      <c r="D435" s="87"/>
      <c r="E435" s="87"/>
      <c r="F435" s="87"/>
      <c r="G435" s="87"/>
      <c r="H435" s="87"/>
      <c r="I435" s="30"/>
      <c r="J435" s="30"/>
      <c r="K435" s="30"/>
      <c r="L435" s="30"/>
      <c r="M435" s="30"/>
      <c r="N435" s="30"/>
      <c r="O435" s="30"/>
      <c r="P435" s="30"/>
    </row>
    <row r="436" spans="1:16" x14ac:dyDescent="0.25">
      <c r="A436" s="87"/>
      <c r="B436" s="87"/>
      <c r="C436" s="87"/>
      <c r="D436" s="87"/>
      <c r="E436" s="87"/>
      <c r="F436" s="87"/>
      <c r="G436" s="87"/>
      <c r="H436" s="87"/>
      <c r="I436" s="30"/>
      <c r="J436" s="30"/>
      <c r="K436" s="30"/>
      <c r="L436" s="30"/>
      <c r="M436" s="30"/>
      <c r="N436" s="30"/>
      <c r="O436" s="30"/>
      <c r="P436" s="30"/>
    </row>
    <row r="437" spans="1:16" x14ac:dyDescent="0.25">
      <c r="A437" s="87"/>
      <c r="B437" s="87"/>
      <c r="C437" s="87"/>
      <c r="D437" s="87"/>
      <c r="E437" s="87"/>
      <c r="F437" s="87"/>
      <c r="G437" s="87"/>
      <c r="H437" s="87"/>
      <c r="I437" s="30"/>
      <c r="J437" s="30"/>
      <c r="K437" s="30"/>
      <c r="L437" s="30"/>
      <c r="M437" s="30"/>
      <c r="N437" s="30"/>
      <c r="O437" s="30"/>
      <c r="P437" s="30"/>
    </row>
    <row r="438" spans="1:16" x14ac:dyDescent="0.25">
      <c r="A438" s="87"/>
      <c r="B438" s="87"/>
      <c r="C438" s="87"/>
      <c r="D438" s="87"/>
      <c r="E438" s="87"/>
      <c r="F438" s="87"/>
      <c r="G438" s="87"/>
      <c r="H438" s="87"/>
      <c r="I438" s="30"/>
      <c r="J438" s="30"/>
      <c r="K438" s="30"/>
      <c r="L438" s="30"/>
      <c r="M438" s="30"/>
      <c r="N438" s="30"/>
      <c r="O438" s="30"/>
      <c r="P438" s="30"/>
    </row>
    <row r="439" spans="1:16" x14ac:dyDescent="0.25">
      <c r="A439" s="87"/>
      <c r="B439" s="87"/>
      <c r="C439" s="87"/>
      <c r="D439" s="87"/>
      <c r="E439" s="87"/>
      <c r="F439" s="87"/>
      <c r="G439" s="87"/>
      <c r="H439" s="87"/>
      <c r="I439" s="30"/>
      <c r="J439" s="30"/>
      <c r="K439" s="30"/>
      <c r="L439" s="30"/>
      <c r="M439" s="30"/>
      <c r="N439" s="30"/>
      <c r="O439" s="30"/>
      <c r="P439" s="30"/>
    </row>
    <row r="440" spans="1:16" x14ac:dyDescent="0.25">
      <c r="A440" s="87"/>
      <c r="B440" s="87"/>
      <c r="C440" s="87"/>
      <c r="D440" s="87"/>
      <c r="E440" s="87"/>
      <c r="F440" s="87"/>
      <c r="G440" s="87"/>
      <c r="H440" s="87"/>
      <c r="I440" s="30"/>
      <c r="J440" s="30"/>
      <c r="K440" s="30"/>
      <c r="L440" s="30"/>
      <c r="M440" s="30"/>
      <c r="N440" s="30"/>
      <c r="O440" s="30"/>
      <c r="P440" s="30"/>
    </row>
    <row r="441" spans="1:16" x14ac:dyDescent="0.25">
      <c r="A441" s="87"/>
      <c r="B441" s="87"/>
      <c r="C441" s="87"/>
      <c r="D441" s="87"/>
      <c r="E441" s="87"/>
      <c r="F441" s="87"/>
      <c r="G441" s="87"/>
      <c r="H441" s="87"/>
      <c r="I441" s="30"/>
      <c r="J441" s="30"/>
      <c r="K441" s="30"/>
      <c r="L441" s="30"/>
      <c r="M441" s="30"/>
      <c r="N441" s="30"/>
      <c r="O441" s="30"/>
      <c r="P441" s="30"/>
    </row>
    <row r="442" spans="1:16" x14ac:dyDescent="0.25">
      <c r="A442" s="87"/>
      <c r="B442" s="87"/>
      <c r="C442" s="87"/>
      <c r="D442" s="87"/>
      <c r="E442" s="87"/>
      <c r="F442" s="87"/>
      <c r="G442" s="87"/>
      <c r="H442" s="87"/>
      <c r="I442" s="30"/>
      <c r="J442" s="30"/>
      <c r="K442" s="30"/>
      <c r="L442" s="30"/>
      <c r="M442" s="30"/>
      <c r="N442" s="30"/>
      <c r="O442" s="30"/>
      <c r="P442" s="30"/>
    </row>
    <row r="443" spans="1:16" x14ac:dyDescent="0.25">
      <c r="A443" s="87"/>
      <c r="B443" s="87"/>
      <c r="C443" s="87"/>
      <c r="D443" s="87"/>
      <c r="E443" s="87"/>
      <c r="F443" s="87"/>
      <c r="G443" s="87"/>
      <c r="H443" s="87"/>
      <c r="I443" s="30"/>
      <c r="J443" s="30"/>
      <c r="K443" s="30"/>
      <c r="L443" s="30"/>
      <c r="M443" s="30"/>
      <c r="N443" s="30"/>
      <c r="O443" s="30"/>
      <c r="P443" s="30"/>
    </row>
    <row r="444" spans="1:16" x14ac:dyDescent="0.25">
      <c r="A444" s="88" t="s">
        <v>67</v>
      </c>
      <c r="B444" s="87"/>
      <c r="C444" s="87"/>
      <c r="D444" s="87"/>
      <c r="E444" s="87"/>
      <c r="F444" s="87"/>
      <c r="G444" s="87"/>
      <c r="H444" s="87"/>
      <c r="I444" s="30"/>
      <c r="J444" s="30"/>
      <c r="K444" s="30"/>
      <c r="L444" s="30"/>
      <c r="M444" s="30"/>
      <c r="N444" s="30"/>
      <c r="O444" s="30"/>
      <c r="P444" s="30"/>
    </row>
    <row r="445" spans="1:16" x14ac:dyDescent="0.25">
      <c r="A445" s="87"/>
      <c r="B445" s="87"/>
      <c r="C445" s="87"/>
      <c r="D445" s="87"/>
      <c r="E445" s="87"/>
      <c r="F445" s="87"/>
      <c r="G445" s="87"/>
      <c r="H445" s="87"/>
      <c r="I445" s="30"/>
      <c r="J445" s="30"/>
      <c r="K445" s="30"/>
      <c r="L445" s="30"/>
      <c r="M445" s="30"/>
      <c r="N445" s="30"/>
      <c r="O445" s="30"/>
      <c r="P445" s="30"/>
    </row>
    <row r="446" spans="1:16" x14ac:dyDescent="0.25">
      <c r="A446" s="87"/>
      <c r="B446" s="87"/>
      <c r="C446" s="87"/>
      <c r="D446" s="87"/>
      <c r="E446" s="87"/>
      <c r="F446" s="87"/>
      <c r="G446" s="87"/>
      <c r="H446" s="87"/>
      <c r="I446" s="30"/>
      <c r="J446" s="30"/>
      <c r="K446" s="30"/>
      <c r="L446" s="30"/>
      <c r="M446" s="30"/>
      <c r="N446" s="30"/>
      <c r="O446" s="30"/>
      <c r="P446" s="30"/>
    </row>
    <row r="447" spans="1:16" x14ac:dyDescent="0.25">
      <c r="A447" s="87"/>
      <c r="B447" s="87"/>
      <c r="C447" s="87"/>
      <c r="D447" s="87"/>
      <c r="E447" s="87"/>
      <c r="F447" s="87"/>
      <c r="G447" s="87"/>
      <c r="H447" s="87"/>
      <c r="I447" s="30"/>
      <c r="J447" s="30"/>
      <c r="K447" s="30"/>
      <c r="L447" s="30"/>
      <c r="M447" s="30"/>
      <c r="N447" s="30"/>
      <c r="O447" s="30"/>
      <c r="P447" s="30"/>
    </row>
    <row r="448" spans="1:16" x14ac:dyDescent="0.25">
      <c r="A448" s="87"/>
      <c r="B448" s="87"/>
      <c r="C448" s="87"/>
      <c r="D448" s="87"/>
      <c r="E448" s="87"/>
      <c r="F448" s="87"/>
      <c r="G448" s="87"/>
      <c r="H448" s="87"/>
      <c r="I448" s="30"/>
      <c r="J448" s="30"/>
      <c r="K448" s="30"/>
      <c r="L448" s="30"/>
      <c r="M448" s="30"/>
      <c r="N448" s="30"/>
      <c r="O448" s="30"/>
      <c r="P448" s="30"/>
    </row>
    <row r="449" spans="1:16" x14ac:dyDescent="0.25">
      <c r="A449" s="87"/>
      <c r="B449" s="87"/>
      <c r="C449" s="87"/>
      <c r="D449" s="87"/>
      <c r="E449" s="87"/>
      <c r="F449" s="87"/>
      <c r="G449" s="87"/>
      <c r="H449" s="87"/>
      <c r="I449" s="30"/>
      <c r="J449" s="30"/>
      <c r="K449" s="30"/>
      <c r="L449" s="30"/>
      <c r="M449" s="30"/>
      <c r="N449" s="30"/>
      <c r="O449" s="30"/>
      <c r="P449" s="30"/>
    </row>
    <row r="450" spans="1:16" x14ac:dyDescent="0.25">
      <c r="A450" s="87"/>
      <c r="B450" s="87"/>
      <c r="C450" s="87"/>
      <c r="D450" s="87"/>
      <c r="E450" s="87"/>
      <c r="F450" s="87"/>
      <c r="G450" s="87"/>
      <c r="H450" s="87"/>
      <c r="I450" s="30"/>
      <c r="J450" s="30"/>
      <c r="K450" s="30"/>
      <c r="L450" s="30"/>
      <c r="M450" s="30"/>
      <c r="N450" s="30"/>
      <c r="O450" s="30"/>
      <c r="P450" s="30"/>
    </row>
    <row r="451" spans="1:16" x14ac:dyDescent="0.25">
      <c r="A451" s="87"/>
      <c r="B451" s="87"/>
      <c r="C451" s="87"/>
      <c r="D451" s="87"/>
      <c r="E451" s="87"/>
      <c r="F451" s="87"/>
      <c r="G451" s="87"/>
      <c r="H451" s="87"/>
      <c r="I451" s="30"/>
      <c r="J451" s="30"/>
      <c r="K451" s="30"/>
      <c r="L451" s="30"/>
      <c r="M451" s="30"/>
      <c r="N451" s="30"/>
      <c r="O451" s="30"/>
      <c r="P451" s="30"/>
    </row>
    <row r="452" spans="1:16" x14ac:dyDescent="0.25">
      <c r="A452" s="87"/>
      <c r="B452" s="87"/>
      <c r="C452" s="87"/>
      <c r="D452" s="87"/>
      <c r="E452" s="87"/>
      <c r="F452" s="87"/>
      <c r="G452" s="87"/>
      <c r="H452" s="87"/>
      <c r="I452" s="30"/>
      <c r="J452" s="30"/>
      <c r="K452" s="30"/>
      <c r="L452" s="30"/>
      <c r="M452" s="30"/>
      <c r="N452" s="30"/>
      <c r="O452" s="30"/>
      <c r="P452" s="30"/>
    </row>
    <row r="453" spans="1:16" x14ac:dyDescent="0.25">
      <c r="A453" s="87"/>
      <c r="B453" s="87"/>
      <c r="C453" s="87"/>
      <c r="D453" s="87"/>
      <c r="E453" s="87"/>
      <c r="F453" s="87"/>
      <c r="G453" s="87"/>
      <c r="H453" s="87"/>
      <c r="I453" s="30"/>
      <c r="J453" s="30"/>
      <c r="K453" s="30"/>
      <c r="L453" s="30"/>
      <c r="M453" s="30"/>
      <c r="N453" s="30"/>
      <c r="O453" s="30"/>
      <c r="P453" s="30"/>
    </row>
    <row r="454" spans="1:16" x14ac:dyDescent="0.25">
      <c r="A454" s="87"/>
      <c r="B454" s="87"/>
      <c r="C454" s="87"/>
      <c r="D454" s="87"/>
      <c r="E454" s="87"/>
      <c r="F454" s="87"/>
      <c r="G454" s="87"/>
      <c r="H454" s="87"/>
      <c r="I454" s="30"/>
      <c r="J454" s="30"/>
      <c r="K454" s="30"/>
      <c r="L454" s="30"/>
      <c r="M454" s="30"/>
      <c r="N454" s="30"/>
      <c r="O454" s="30"/>
      <c r="P454" s="30"/>
    </row>
    <row r="455" spans="1:16" x14ac:dyDescent="0.25">
      <c r="A455" s="87"/>
      <c r="B455" s="87"/>
      <c r="C455" s="87"/>
      <c r="D455" s="87"/>
      <c r="E455" s="87"/>
      <c r="F455" s="87"/>
      <c r="G455" s="87"/>
      <c r="H455" s="87"/>
      <c r="I455" s="30"/>
      <c r="J455" s="30"/>
      <c r="K455" s="30"/>
      <c r="L455" s="30"/>
      <c r="M455" s="30"/>
      <c r="N455" s="30"/>
      <c r="O455" s="30"/>
      <c r="P455" s="30"/>
    </row>
    <row r="456" spans="1:16" x14ac:dyDescent="0.25">
      <c r="A456" s="87"/>
      <c r="B456" s="87"/>
      <c r="C456" s="87"/>
      <c r="D456" s="87"/>
      <c r="E456" s="87"/>
      <c r="F456" s="87"/>
      <c r="G456" s="87"/>
      <c r="H456" s="87"/>
      <c r="I456" s="30"/>
      <c r="J456" s="30"/>
      <c r="K456" s="30"/>
      <c r="L456" s="30"/>
      <c r="M456" s="30"/>
      <c r="N456" s="30"/>
      <c r="O456" s="30"/>
      <c r="P456" s="30"/>
    </row>
    <row r="457" spans="1:16" x14ac:dyDescent="0.25">
      <c r="A457" s="87"/>
      <c r="B457" s="87"/>
      <c r="C457" s="87"/>
      <c r="D457" s="87"/>
      <c r="E457" s="87"/>
      <c r="F457" s="87"/>
      <c r="G457" s="87"/>
      <c r="H457" s="87"/>
      <c r="I457" s="30"/>
      <c r="J457" s="30"/>
      <c r="K457" s="30"/>
      <c r="L457" s="30"/>
      <c r="M457" s="30"/>
      <c r="N457" s="30"/>
      <c r="O457" s="30"/>
      <c r="P457" s="30"/>
    </row>
    <row r="458" spans="1:16" x14ac:dyDescent="0.25">
      <c r="A458" s="87"/>
      <c r="B458" s="87"/>
      <c r="C458" s="87"/>
      <c r="D458" s="87"/>
      <c r="E458" s="87"/>
      <c r="F458" s="87"/>
      <c r="G458" s="87"/>
      <c r="H458" s="87"/>
      <c r="I458" s="30"/>
      <c r="J458" s="30"/>
      <c r="K458" s="30"/>
      <c r="L458" s="30"/>
      <c r="M458" s="30"/>
      <c r="N458" s="30"/>
      <c r="O458" s="30"/>
      <c r="P458" s="30"/>
    </row>
    <row r="459" spans="1:16" x14ac:dyDescent="0.25">
      <c r="A459" s="87"/>
      <c r="B459" s="87"/>
      <c r="C459" s="87"/>
      <c r="D459" s="87"/>
      <c r="E459" s="87"/>
      <c r="F459" s="87"/>
      <c r="G459" s="87"/>
      <c r="H459" s="87"/>
      <c r="I459" s="30"/>
      <c r="J459" s="30"/>
      <c r="K459" s="30"/>
      <c r="L459" s="30"/>
      <c r="M459" s="30"/>
      <c r="N459" s="30"/>
      <c r="O459" s="30"/>
      <c r="P459" s="30"/>
    </row>
    <row r="460" spans="1:16" x14ac:dyDescent="0.25">
      <c r="A460" s="87"/>
      <c r="B460" s="87"/>
      <c r="C460" s="87"/>
      <c r="D460" s="87"/>
      <c r="E460" s="87"/>
      <c r="F460" s="87"/>
      <c r="G460" s="87"/>
      <c r="H460" s="87"/>
      <c r="I460" s="30"/>
      <c r="J460" s="30"/>
      <c r="K460" s="30"/>
      <c r="L460" s="30"/>
      <c r="M460" s="30"/>
      <c r="N460" s="30"/>
      <c r="O460" s="30"/>
      <c r="P460" s="30"/>
    </row>
    <row r="461" spans="1:16" x14ac:dyDescent="0.25">
      <c r="A461" s="87"/>
      <c r="B461" s="87"/>
      <c r="C461" s="87"/>
      <c r="D461" s="87"/>
      <c r="E461" s="87"/>
      <c r="F461" s="87"/>
      <c r="G461" s="87"/>
      <c r="H461" s="87"/>
      <c r="I461" s="30"/>
      <c r="J461" s="30"/>
      <c r="K461" s="30"/>
      <c r="L461" s="30"/>
      <c r="M461" s="30"/>
      <c r="N461" s="30"/>
      <c r="O461" s="30"/>
      <c r="P461" s="30"/>
    </row>
    <row r="462" spans="1:16" x14ac:dyDescent="0.25">
      <c r="A462" s="87"/>
      <c r="B462" s="87"/>
      <c r="C462" s="87"/>
      <c r="D462" s="87"/>
      <c r="E462" s="87"/>
      <c r="F462" s="87"/>
      <c r="G462" s="87"/>
      <c r="H462" s="87"/>
      <c r="I462" s="30"/>
      <c r="J462" s="30"/>
      <c r="K462" s="30"/>
      <c r="L462" s="30"/>
      <c r="M462" s="30"/>
      <c r="N462" s="30"/>
      <c r="O462" s="30"/>
      <c r="P462" s="30"/>
    </row>
    <row r="463" spans="1:16" x14ac:dyDescent="0.25">
      <c r="A463" s="87"/>
      <c r="B463" s="87"/>
      <c r="C463" s="87"/>
      <c r="D463" s="87"/>
      <c r="E463" s="87"/>
      <c r="F463" s="87"/>
      <c r="G463" s="87"/>
      <c r="H463" s="87"/>
      <c r="I463" s="30"/>
      <c r="J463" s="30"/>
      <c r="K463" s="30"/>
      <c r="L463" s="30"/>
      <c r="M463" s="30"/>
      <c r="N463" s="30"/>
      <c r="O463" s="30"/>
      <c r="P463" s="30"/>
    </row>
    <row r="464" spans="1:16" x14ac:dyDescent="0.25">
      <c r="A464" s="87"/>
      <c r="B464" s="87"/>
      <c r="C464" s="87"/>
      <c r="D464" s="87"/>
      <c r="E464" s="87"/>
      <c r="F464" s="87"/>
      <c r="G464" s="87"/>
      <c r="H464" s="87"/>
      <c r="I464" s="30"/>
      <c r="J464" s="30"/>
      <c r="K464" s="30"/>
      <c r="L464" s="30"/>
      <c r="M464" s="30"/>
      <c r="N464" s="30"/>
      <c r="O464" s="30"/>
      <c r="P464" s="30"/>
    </row>
    <row r="465" spans="1:16" x14ac:dyDescent="0.25">
      <c r="A465" s="87"/>
      <c r="B465" s="87"/>
      <c r="C465" s="87"/>
      <c r="D465" s="87"/>
      <c r="E465" s="87"/>
      <c r="F465" s="87"/>
      <c r="G465" s="87"/>
      <c r="H465" s="87"/>
      <c r="I465" s="30"/>
      <c r="J465" s="30"/>
      <c r="K465" s="30"/>
      <c r="L465" s="30"/>
      <c r="M465" s="30"/>
      <c r="N465" s="30"/>
      <c r="O465" s="30"/>
      <c r="P465" s="30"/>
    </row>
    <row r="466" spans="1:16" x14ac:dyDescent="0.25">
      <c r="A466" s="87"/>
      <c r="B466" s="87"/>
      <c r="C466" s="87"/>
      <c r="D466" s="87"/>
      <c r="E466" s="87"/>
      <c r="F466" s="87"/>
      <c r="G466" s="87"/>
      <c r="H466" s="87"/>
      <c r="I466" s="30"/>
      <c r="J466" s="30"/>
      <c r="K466" s="30"/>
      <c r="L466" s="30"/>
      <c r="M466" s="30"/>
      <c r="N466" s="30"/>
      <c r="O466" s="30"/>
      <c r="P466" s="30"/>
    </row>
    <row r="467" spans="1:16" x14ac:dyDescent="0.25">
      <c r="A467" s="87"/>
      <c r="B467" s="87"/>
      <c r="C467" s="87"/>
      <c r="D467" s="87"/>
      <c r="E467" s="87"/>
      <c r="F467" s="87"/>
      <c r="G467" s="87"/>
      <c r="H467" s="87"/>
      <c r="I467" s="30"/>
      <c r="J467" s="30"/>
      <c r="K467" s="30"/>
      <c r="L467" s="30"/>
      <c r="M467" s="30"/>
      <c r="N467" s="30"/>
      <c r="O467" s="30"/>
      <c r="P467" s="30"/>
    </row>
    <row r="468" spans="1:16" x14ac:dyDescent="0.25">
      <c r="A468" s="87"/>
      <c r="B468" s="87"/>
      <c r="C468" s="87"/>
      <c r="D468" s="87"/>
      <c r="E468" s="87"/>
      <c r="F468" s="87"/>
      <c r="G468" s="87"/>
      <c r="H468" s="87"/>
      <c r="I468" s="30"/>
      <c r="J468" s="30"/>
      <c r="K468" s="30"/>
      <c r="L468" s="30"/>
      <c r="M468" s="30"/>
      <c r="N468" s="30"/>
      <c r="O468" s="30"/>
      <c r="P468" s="30"/>
    </row>
    <row r="469" spans="1:16" x14ac:dyDescent="0.25">
      <c r="A469" s="87"/>
      <c r="B469" s="87"/>
      <c r="C469" s="87"/>
      <c r="D469" s="87"/>
      <c r="E469" s="87"/>
      <c r="F469" s="87"/>
      <c r="G469" s="87"/>
      <c r="H469" s="87"/>
      <c r="I469" s="30"/>
      <c r="J469" s="30"/>
      <c r="K469" s="30"/>
      <c r="L469" s="30"/>
      <c r="M469" s="30"/>
      <c r="N469" s="30"/>
      <c r="O469" s="30"/>
      <c r="P469" s="30"/>
    </row>
    <row r="470" spans="1:16" x14ac:dyDescent="0.25">
      <c r="A470" s="87"/>
      <c r="B470" s="87"/>
      <c r="C470" s="87"/>
      <c r="D470" s="87"/>
      <c r="E470" s="87"/>
      <c r="F470" s="87"/>
      <c r="G470" s="87"/>
      <c r="H470" s="87"/>
      <c r="I470" s="30"/>
      <c r="J470" s="30"/>
      <c r="K470" s="30"/>
      <c r="L470" s="30"/>
      <c r="M470" s="30"/>
      <c r="N470" s="30"/>
      <c r="O470" s="30"/>
      <c r="P470" s="30"/>
    </row>
    <row r="471" spans="1:16" x14ac:dyDescent="0.25">
      <c r="A471" s="87"/>
      <c r="B471" s="87"/>
      <c r="C471" s="87"/>
      <c r="D471" s="87"/>
      <c r="E471" s="87"/>
      <c r="F471" s="87"/>
      <c r="G471" s="87"/>
      <c r="H471" s="87"/>
      <c r="I471" s="30"/>
      <c r="J471" s="30"/>
      <c r="K471" s="30"/>
      <c r="L471" s="30"/>
      <c r="M471" s="30"/>
      <c r="N471" s="30"/>
      <c r="O471" s="30"/>
      <c r="P471" s="30"/>
    </row>
    <row r="472" spans="1:16" x14ac:dyDescent="0.25">
      <c r="A472" s="87"/>
      <c r="B472" s="87"/>
      <c r="C472" s="87"/>
      <c r="D472" s="87"/>
      <c r="E472" s="87"/>
      <c r="F472" s="87"/>
      <c r="G472" s="87"/>
      <c r="H472" s="87"/>
      <c r="I472" s="30"/>
      <c r="J472" s="30"/>
      <c r="K472" s="30"/>
      <c r="L472" s="30"/>
      <c r="M472" s="30"/>
      <c r="N472" s="30"/>
      <c r="O472" s="30"/>
      <c r="P472" s="30"/>
    </row>
    <row r="473" spans="1:16" x14ac:dyDescent="0.25">
      <c r="A473" s="87"/>
      <c r="B473" s="87"/>
      <c r="C473" s="87"/>
      <c r="D473" s="87"/>
      <c r="E473" s="87"/>
      <c r="F473" s="87"/>
      <c r="G473" s="87"/>
      <c r="H473" s="87"/>
      <c r="I473" s="30"/>
      <c r="J473" s="30"/>
      <c r="K473" s="30"/>
      <c r="L473" s="30"/>
      <c r="M473" s="30"/>
      <c r="N473" s="30"/>
      <c r="O473" s="30"/>
      <c r="P473" s="30"/>
    </row>
    <row r="474" spans="1:16" x14ac:dyDescent="0.25">
      <c r="A474" s="87"/>
      <c r="B474" s="87"/>
      <c r="C474" s="87"/>
      <c r="D474" s="87"/>
      <c r="E474" s="87"/>
      <c r="F474" s="87"/>
      <c r="G474" s="87"/>
      <c r="H474" s="87"/>
      <c r="I474" s="30"/>
      <c r="J474" s="30"/>
      <c r="K474" s="30"/>
      <c r="L474" s="30"/>
      <c r="M474" s="30"/>
      <c r="N474" s="30"/>
      <c r="O474" s="30"/>
      <c r="P474" s="30"/>
    </row>
    <row r="475" spans="1:16" x14ac:dyDescent="0.25">
      <c r="A475" s="87"/>
      <c r="B475" s="87"/>
      <c r="C475" s="87"/>
      <c r="D475" s="87"/>
      <c r="E475" s="87"/>
      <c r="F475" s="87"/>
      <c r="G475" s="87"/>
      <c r="H475" s="87"/>
      <c r="I475" s="30"/>
      <c r="J475" s="30"/>
      <c r="K475" s="30"/>
      <c r="L475" s="30"/>
      <c r="M475" s="30"/>
      <c r="N475" s="30"/>
      <c r="O475" s="30"/>
      <c r="P475" s="30"/>
    </row>
    <row r="476" spans="1:16" x14ac:dyDescent="0.25">
      <c r="A476" s="87"/>
      <c r="B476" s="87"/>
      <c r="C476" s="87"/>
      <c r="D476" s="87"/>
      <c r="E476" s="87"/>
      <c r="F476" s="87"/>
      <c r="G476" s="87"/>
      <c r="H476" s="87"/>
      <c r="I476" s="30"/>
      <c r="J476" s="30"/>
      <c r="K476" s="30"/>
      <c r="L476" s="30"/>
      <c r="M476" s="30"/>
      <c r="N476" s="30"/>
      <c r="O476" s="30"/>
      <c r="P476" s="30"/>
    </row>
    <row r="477" spans="1:16" x14ac:dyDescent="0.25">
      <c r="A477" s="87"/>
      <c r="B477" s="87"/>
      <c r="C477" s="87"/>
      <c r="D477" s="87"/>
      <c r="E477" s="87"/>
      <c r="F477" s="87"/>
      <c r="G477" s="87"/>
      <c r="H477" s="87"/>
      <c r="I477" s="30"/>
      <c r="J477" s="30"/>
      <c r="K477" s="30"/>
      <c r="L477" s="30"/>
      <c r="M477" s="30"/>
      <c r="N477" s="30"/>
      <c r="O477" s="30"/>
      <c r="P477" s="30"/>
    </row>
    <row r="478" spans="1:16" x14ac:dyDescent="0.25">
      <c r="A478" s="87"/>
      <c r="B478" s="87"/>
      <c r="C478" s="87"/>
      <c r="D478" s="87"/>
      <c r="E478" s="87"/>
      <c r="F478" s="87"/>
      <c r="G478" s="87"/>
      <c r="H478" s="87"/>
      <c r="I478" s="30"/>
      <c r="J478" s="30"/>
      <c r="K478" s="30"/>
      <c r="L478" s="30"/>
      <c r="M478" s="30"/>
      <c r="N478" s="30"/>
      <c r="O478" s="30"/>
      <c r="P478" s="30"/>
    </row>
    <row r="479" spans="1:16" x14ac:dyDescent="0.25">
      <c r="A479" s="87"/>
      <c r="B479" s="87"/>
      <c r="C479" s="87"/>
      <c r="D479" s="87"/>
      <c r="E479" s="87"/>
      <c r="F479" s="87"/>
      <c r="G479" s="87"/>
      <c r="H479" s="87"/>
      <c r="I479" s="30"/>
      <c r="J479" s="30"/>
      <c r="K479" s="30"/>
      <c r="L479" s="30"/>
      <c r="M479" s="30"/>
      <c r="N479" s="30"/>
      <c r="O479" s="30"/>
      <c r="P479" s="30"/>
    </row>
    <row r="480" spans="1:16" x14ac:dyDescent="0.25">
      <c r="A480" s="87"/>
      <c r="B480" s="87"/>
      <c r="C480" s="87"/>
      <c r="D480" s="87"/>
      <c r="E480" s="87"/>
      <c r="F480" s="87"/>
      <c r="G480" s="87"/>
      <c r="H480" s="87"/>
      <c r="I480" s="30"/>
      <c r="J480" s="30"/>
      <c r="K480" s="30"/>
      <c r="L480" s="30"/>
      <c r="M480" s="30"/>
      <c r="N480" s="30"/>
      <c r="O480" s="30"/>
      <c r="P480" s="30"/>
    </row>
    <row r="481" spans="1:16" x14ac:dyDescent="0.25">
      <c r="A481" s="87"/>
      <c r="B481" s="87"/>
      <c r="C481" s="87"/>
      <c r="D481" s="87"/>
      <c r="E481" s="87"/>
      <c r="F481" s="87"/>
      <c r="G481" s="87"/>
      <c r="H481" s="87"/>
      <c r="I481" s="30"/>
      <c r="J481" s="30"/>
      <c r="K481" s="30"/>
      <c r="L481" s="30"/>
      <c r="M481" s="30"/>
      <c r="N481" s="30"/>
      <c r="O481" s="30"/>
      <c r="P481" s="30"/>
    </row>
    <row r="482" spans="1:16" x14ac:dyDescent="0.25">
      <c r="A482" s="87"/>
      <c r="B482" s="87"/>
      <c r="C482" s="87"/>
      <c r="D482" s="87"/>
      <c r="E482" s="87"/>
      <c r="F482" s="87"/>
      <c r="G482" s="87"/>
      <c r="H482" s="87"/>
      <c r="I482" s="30"/>
      <c r="J482" s="30"/>
      <c r="K482" s="30"/>
      <c r="L482" s="30"/>
      <c r="M482" s="30"/>
      <c r="N482" s="30"/>
      <c r="O482" s="30"/>
      <c r="P482" s="30"/>
    </row>
    <row r="483" spans="1:16" x14ac:dyDescent="0.25">
      <c r="A483" s="87"/>
      <c r="B483" s="87"/>
      <c r="C483" s="87"/>
      <c r="D483" s="87"/>
      <c r="E483" s="87"/>
      <c r="F483" s="87"/>
      <c r="G483" s="87"/>
      <c r="H483" s="87"/>
      <c r="I483" s="30"/>
      <c r="J483" s="30"/>
      <c r="K483" s="30"/>
      <c r="L483" s="30"/>
      <c r="M483" s="30"/>
      <c r="N483" s="30"/>
      <c r="O483" s="30"/>
      <c r="P483" s="30"/>
    </row>
    <row r="484" spans="1:16" x14ac:dyDescent="0.25">
      <c r="A484" s="87"/>
      <c r="B484" s="87"/>
      <c r="C484" s="87"/>
      <c r="D484" s="87"/>
      <c r="E484" s="87"/>
      <c r="F484" s="87"/>
      <c r="G484" s="87"/>
      <c r="H484" s="87"/>
      <c r="I484" s="30"/>
      <c r="J484" s="30"/>
      <c r="K484" s="30"/>
      <c r="L484" s="30"/>
      <c r="M484" s="30"/>
      <c r="N484" s="30"/>
      <c r="O484" s="30"/>
      <c r="P484" s="30"/>
    </row>
    <row r="485" spans="1:16" x14ac:dyDescent="0.25">
      <c r="A485" s="87"/>
      <c r="B485" s="87"/>
      <c r="C485" s="87"/>
      <c r="D485" s="87"/>
      <c r="E485" s="87"/>
      <c r="F485" s="87"/>
      <c r="G485" s="87"/>
      <c r="H485" s="87"/>
      <c r="I485" s="30"/>
      <c r="J485" s="30"/>
      <c r="K485" s="30"/>
      <c r="L485" s="30"/>
      <c r="M485" s="30"/>
      <c r="N485" s="30"/>
      <c r="O485" s="30"/>
      <c r="P485" s="30"/>
    </row>
    <row r="486" spans="1:16" x14ac:dyDescent="0.25">
      <c r="A486" s="87"/>
      <c r="B486" s="87"/>
      <c r="C486" s="87"/>
      <c r="D486" s="87"/>
      <c r="E486" s="87"/>
      <c r="F486" s="87"/>
      <c r="G486" s="87"/>
      <c r="H486" s="87"/>
      <c r="I486" s="30"/>
      <c r="J486" s="30"/>
      <c r="K486" s="30"/>
      <c r="L486" s="30"/>
      <c r="M486" s="30"/>
      <c r="N486" s="30"/>
      <c r="O486" s="30"/>
      <c r="P486" s="30"/>
    </row>
  </sheetData>
  <mergeCells count="565">
    <mergeCell ref="B345:H345"/>
    <mergeCell ref="A238:B238"/>
    <mergeCell ref="A218:H218"/>
    <mergeCell ref="A180:H180"/>
    <mergeCell ref="A181:B181"/>
    <mergeCell ref="G181:H185"/>
    <mergeCell ref="A182:B182"/>
    <mergeCell ref="A183:B183"/>
    <mergeCell ref="A184:B184"/>
    <mergeCell ref="A185:B185"/>
    <mergeCell ref="C181:F181"/>
    <mergeCell ref="C182:F182"/>
    <mergeCell ref="C183:F183"/>
    <mergeCell ref="C184:F184"/>
    <mergeCell ref="C185:F185"/>
    <mergeCell ref="A187:H187"/>
    <mergeCell ref="A200:B200"/>
    <mergeCell ref="A215:H215"/>
    <mergeCell ref="A211:B211"/>
    <mergeCell ref="A212:B212"/>
    <mergeCell ref="A213:B213"/>
    <mergeCell ref="A214:B214"/>
    <mergeCell ref="A207:B207"/>
    <mergeCell ref="A208:B208"/>
    <mergeCell ref="A112:B112"/>
    <mergeCell ref="C112:H112"/>
    <mergeCell ref="A114:B114"/>
    <mergeCell ref="C114:H114"/>
    <mergeCell ref="A115:B115"/>
    <mergeCell ref="E115:F115"/>
    <mergeCell ref="G115:H115"/>
    <mergeCell ref="A116:B116"/>
    <mergeCell ref="E116:F125"/>
    <mergeCell ref="G116:H125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G87:H87"/>
    <mergeCell ref="E88:F97"/>
    <mergeCell ref="A95:B95"/>
    <mergeCell ref="A96:B96"/>
    <mergeCell ref="G101:H101"/>
    <mergeCell ref="A102:B102"/>
    <mergeCell ref="E102:F111"/>
    <mergeCell ref="G102:H111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88:B88"/>
    <mergeCell ref="B341:H341"/>
    <mergeCell ref="A48:B48"/>
    <mergeCell ref="C48:H48"/>
    <mergeCell ref="B339:H339"/>
    <mergeCell ref="A131:B131"/>
    <mergeCell ref="A132:B132"/>
    <mergeCell ref="G88:H97"/>
    <mergeCell ref="A89:B89"/>
    <mergeCell ref="A90:B90"/>
    <mergeCell ref="A91:B91"/>
    <mergeCell ref="F142:H142"/>
    <mergeCell ref="A142:E142"/>
    <mergeCell ref="D171:D172"/>
    <mergeCell ref="A144:E144"/>
    <mergeCell ref="A135:B135"/>
    <mergeCell ref="A137:B137"/>
    <mergeCell ref="A138:B138"/>
    <mergeCell ref="A143:E143"/>
    <mergeCell ref="C52:H52"/>
    <mergeCell ref="A58:C62"/>
    <mergeCell ref="D61:H61"/>
    <mergeCell ref="D62:H62"/>
    <mergeCell ref="A101:B101"/>
    <mergeCell ref="E101:F101"/>
    <mergeCell ref="L241:M241"/>
    <mergeCell ref="F140:H140"/>
    <mergeCell ref="F145:H145"/>
    <mergeCell ref="A237:B237"/>
    <mergeCell ref="A178:B178"/>
    <mergeCell ref="A177:B177"/>
    <mergeCell ref="A146:E146"/>
    <mergeCell ref="F146:H146"/>
    <mergeCell ref="A148:E148"/>
    <mergeCell ref="F143:H143"/>
    <mergeCell ref="A147:E147"/>
    <mergeCell ref="A167:B167"/>
    <mergeCell ref="E167:F167"/>
    <mergeCell ref="A201:B201"/>
    <mergeCell ref="A202:B202"/>
    <mergeCell ref="A145:E145"/>
    <mergeCell ref="A196:B196"/>
    <mergeCell ref="A197:B197"/>
    <mergeCell ref="A198:B198"/>
    <mergeCell ref="A199:B199"/>
    <mergeCell ref="A179:B179"/>
    <mergeCell ref="A188:B188"/>
    <mergeCell ref="L237:M237"/>
    <mergeCell ref="A221:H221"/>
    <mergeCell ref="A327:H327"/>
    <mergeCell ref="A328:B328"/>
    <mergeCell ref="G328:H332"/>
    <mergeCell ref="A140:E140"/>
    <mergeCell ref="F144:H144"/>
    <mergeCell ref="G129:H129"/>
    <mergeCell ref="A128:B128"/>
    <mergeCell ref="C128:H128"/>
    <mergeCell ref="A129:B129"/>
    <mergeCell ref="A241:B241"/>
    <mergeCell ref="A133:B133"/>
    <mergeCell ref="A134:B134"/>
    <mergeCell ref="E129:F129"/>
    <mergeCell ref="A130:B130"/>
    <mergeCell ref="A189:B189"/>
    <mergeCell ref="A190:B190"/>
    <mergeCell ref="A195:B195"/>
    <mergeCell ref="A191:B191"/>
    <mergeCell ref="A192:B192"/>
    <mergeCell ref="A193:B193"/>
    <mergeCell ref="A194:B194"/>
    <mergeCell ref="A186:H186"/>
    <mergeCell ref="A209:B209"/>
    <mergeCell ref="A210:B210"/>
    <mergeCell ref="L242:M242"/>
    <mergeCell ref="A249:B249"/>
    <mergeCell ref="A244:B244"/>
    <mergeCell ref="A246:B246"/>
    <mergeCell ref="A150:E150"/>
    <mergeCell ref="G167:H167"/>
    <mergeCell ref="C156:D156"/>
    <mergeCell ref="E156:F156"/>
    <mergeCell ref="G156:H156"/>
    <mergeCell ref="A159:B159"/>
    <mergeCell ref="C159:D159"/>
    <mergeCell ref="E159:F159"/>
    <mergeCell ref="G159:H159"/>
    <mergeCell ref="A166:B166"/>
    <mergeCell ref="C166:D166"/>
    <mergeCell ref="E166:F166"/>
    <mergeCell ref="G166:H166"/>
    <mergeCell ref="C155:D155"/>
    <mergeCell ref="E155:F155"/>
    <mergeCell ref="B171:B172"/>
    <mergeCell ref="A171:A172"/>
    <mergeCell ref="C233:C234"/>
    <mergeCell ref="A173:H173"/>
    <mergeCell ref="A247:B247"/>
    <mergeCell ref="A38:B38"/>
    <mergeCell ref="C38:H38"/>
    <mergeCell ref="A45:D45"/>
    <mergeCell ref="A81:B81"/>
    <mergeCell ref="C165:D165"/>
    <mergeCell ref="E165:F165"/>
    <mergeCell ref="G165:H165"/>
    <mergeCell ref="A141:E141"/>
    <mergeCell ref="A126:B126"/>
    <mergeCell ref="C126:H126"/>
    <mergeCell ref="A39:B39"/>
    <mergeCell ref="C39:H39"/>
    <mergeCell ref="A66:C66"/>
    <mergeCell ref="D66:H66"/>
    <mergeCell ref="A69:C69"/>
    <mergeCell ref="D69:H69"/>
    <mergeCell ref="A67:C67"/>
    <mergeCell ref="D68:H68"/>
    <mergeCell ref="A74:B74"/>
    <mergeCell ref="G73:H73"/>
    <mergeCell ref="D59:H59"/>
    <mergeCell ref="C157:D157"/>
    <mergeCell ref="E157:F157"/>
    <mergeCell ref="A98:B98"/>
    <mergeCell ref="A57:C57"/>
    <mergeCell ref="L238:M238"/>
    <mergeCell ref="G50:H50"/>
    <mergeCell ref="A51:B52"/>
    <mergeCell ref="A80:B80"/>
    <mergeCell ref="A73:B73"/>
    <mergeCell ref="A76:B76"/>
    <mergeCell ref="A72:B72"/>
    <mergeCell ref="A70:B70"/>
    <mergeCell ref="C70:H70"/>
    <mergeCell ref="A78:B78"/>
    <mergeCell ref="A65:C65"/>
    <mergeCell ref="D65:H65"/>
    <mergeCell ref="C72:H72"/>
    <mergeCell ref="A75:B75"/>
    <mergeCell ref="A77:B77"/>
    <mergeCell ref="E73:F73"/>
    <mergeCell ref="I66:N66"/>
    <mergeCell ref="C98:H98"/>
    <mergeCell ref="A100:B100"/>
    <mergeCell ref="G157:H157"/>
    <mergeCell ref="C100:H100"/>
    <mergeCell ref="A97:B97"/>
    <mergeCell ref="E87:F87"/>
    <mergeCell ref="G130:H139"/>
    <mergeCell ref="A41:D41"/>
    <mergeCell ref="E41:H41"/>
    <mergeCell ref="A40:H40"/>
    <mergeCell ref="A63:C63"/>
    <mergeCell ref="A64:C64"/>
    <mergeCell ref="D63:H63"/>
    <mergeCell ref="E74:F83"/>
    <mergeCell ref="G74:H83"/>
    <mergeCell ref="A82:B82"/>
    <mergeCell ref="A83:B83"/>
    <mergeCell ref="D64:H64"/>
    <mergeCell ref="A43:D43"/>
    <mergeCell ref="E43:H43"/>
    <mergeCell ref="E44:H44"/>
    <mergeCell ref="E45:H45"/>
    <mergeCell ref="A87:B87"/>
    <mergeCell ref="E46:H46"/>
    <mergeCell ref="A86:B86"/>
    <mergeCell ref="C86:H86"/>
    <mergeCell ref="A44:D44"/>
    <mergeCell ref="A46:D46"/>
    <mergeCell ref="A47:H47"/>
    <mergeCell ref="D57:H57"/>
    <mergeCell ref="C32:E32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E20:F20"/>
    <mergeCell ref="G20:H20"/>
    <mergeCell ref="A21:B21"/>
    <mergeCell ref="C21:D21"/>
    <mergeCell ref="E21:F21"/>
    <mergeCell ref="G21:H21"/>
    <mergeCell ref="F33:H33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354:H357"/>
    <mergeCell ref="A353:B353"/>
    <mergeCell ref="E353:F353"/>
    <mergeCell ref="C353:D353"/>
    <mergeCell ref="G353:H353"/>
    <mergeCell ref="A153:H153"/>
    <mergeCell ref="A151:E151"/>
    <mergeCell ref="F151:H151"/>
    <mergeCell ref="A152:E152"/>
    <mergeCell ref="F152:H152"/>
    <mergeCell ref="A242:H242"/>
    <mergeCell ref="A165:B165"/>
    <mergeCell ref="A312:B312"/>
    <mergeCell ref="A349:H349"/>
    <mergeCell ref="A160:H160"/>
    <mergeCell ref="A352:H352"/>
    <mergeCell ref="A350:H350"/>
    <mergeCell ref="A346:H346"/>
    <mergeCell ref="G161:H161"/>
    <mergeCell ref="A314:B314"/>
    <mergeCell ref="C171:C172"/>
    <mergeCell ref="B233:B234"/>
    <mergeCell ref="A317:B317"/>
    <mergeCell ref="A318:B318"/>
    <mergeCell ref="B342:H342"/>
    <mergeCell ref="B340:H340"/>
    <mergeCell ref="B336:H336"/>
    <mergeCell ref="A330:B330"/>
    <mergeCell ref="A321:H321"/>
    <mergeCell ref="A332:B332"/>
    <mergeCell ref="A329:B329"/>
    <mergeCell ref="A331:B331"/>
    <mergeCell ref="A169:H169"/>
    <mergeCell ref="B334:H334"/>
    <mergeCell ref="B335:H335"/>
    <mergeCell ref="A316:B316"/>
    <mergeCell ref="A253:B253"/>
    <mergeCell ref="A254:B254"/>
    <mergeCell ref="A256:B256"/>
    <mergeCell ref="A258:H258"/>
    <mergeCell ref="A259:B259"/>
    <mergeCell ref="A260:B260"/>
    <mergeCell ref="B337:H337"/>
    <mergeCell ref="B338:H338"/>
    <mergeCell ref="A333:H333"/>
    <mergeCell ref="A319:B319"/>
    <mergeCell ref="A320:B320"/>
    <mergeCell ref="A315:H315"/>
    <mergeCell ref="A351:H351"/>
    <mergeCell ref="A348:H348"/>
    <mergeCell ref="A243:B243"/>
    <mergeCell ref="A161:B161"/>
    <mergeCell ref="D233:D234"/>
    <mergeCell ref="E233:E234"/>
    <mergeCell ref="G233:H234"/>
    <mergeCell ref="A92:B92"/>
    <mergeCell ref="A93:B93"/>
    <mergeCell ref="A94:B94"/>
    <mergeCell ref="A136:B136"/>
    <mergeCell ref="F141:H141"/>
    <mergeCell ref="G155:H155"/>
    <mergeCell ref="A139:B139"/>
    <mergeCell ref="F147:H147"/>
    <mergeCell ref="C154:D154"/>
    <mergeCell ref="C167:D167"/>
    <mergeCell ref="A236:H236"/>
    <mergeCell ref="A313:B313"/>
    <mergeCell ref="A175:B175"/>
    <mergeCell ref="E130:F139"/>
    <mergeCell ref="A232:H232"/>
    <mergeCell ref="A347:H347"/>
    <mergeCell ref="E161:F161"/>
    <mergeCell ref="B343:H343"/>
    <mergeCell ref="F34:H34"/>
    <mergeCell ref="A168:B168"/>
    <mergeCell ref="C168:D168"/>
    <mergeCell ref="E168:F168"/>
    <mergeCell ref="G168:H168"/>
    <mergeCell ref="E42:H42"/>
    <mergeCell ref="A42:D42"/>
    <mergeCell ref="A84:B84"/>
    <mergeCell ref="C84:H84"/>
    <mergeCell ref="A79:B79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D60:H60"/>
    <mergeCell ref="C51:E51"/>
    <mergeCell ref="D58:H58"/>
    <mergeCell ref="C50:E50"/>
    <mergeCell ref="I14:P14"/>
    <mergeCell ref="F150:H150"/>
    <mergeCell ref="F148:H148"/>
    <mergeCell ref="A170:H170"/>
    <mergeCell ref="G154:H154"/>
    <mergeCell ref="A149:E149"/>
    <mergeCell ref="A176:B176"/>
    <mergeCell ref="A53:B53"/>
    <mergeCell ref="C53:E53"/>
    <mergeCell ref="D55:H55"/>
    <mergeCell ref="F149:H149"/>
    <mergeCell ref="E154:F154"/>
    <mergeCell ref="A154:B154"/>
    <mergeCell ref="C161:D161"/>
    <mergeCell ref="D67:H67"/>
    <mergeCell ref="A68:C68"/>
    <mergeCell ref="C34:E34"/>
    <mergeCell ref="A24:D24"/>
    <mergeCell ref="E24:H24"/>
    <mergeCell ref="E19:F19"/>
    <mergeCell ref="G19:H19"/>
    <mergeCell ref="A20:B20"/>
    <mergeCell ref="C20:D20"/>
    <mergeCell ref="A282:B282"/>
    <mergeCell ref="A283:B283"/>
    <mergeCell ref="A285:H285"/>
    <mergeCell ref="A286:B286"/>
    <mergeCell ref="C283:F283"/>
    <mergeCell ref="A284:H284"/>
    <mergeCell ref="G282:H283"/>
    <mergeCell ref="A270:B270"/>
    <mergeCell ref="A273:B273"/>
    <mergeCell ref="A274:B274"/>
    <mergeCell ref="A277:B277"/>
    <mergeCell ref="A281:H281"/>
    <mergeCell ref="C277:F277"/>
    <mergeCell ref="A278:H278"/>
    <mergeCell ref="A279:B279"/>
    <mergeCell ref="A280:B280"/>
    <mergeCell ref="A292:B292"/>
    <mergeCell ref="A293:B293"/>
    <mergeCell ref="A294:B294"/>
    <mergeCell ref="A295:B295"/>
    <mergeCell ref="A296:B296"/>
    <mergeCell ref="C295:F295"/>
    <mergeCell ref="G292:H296"/>
    <mergeCell ref="A287:B287"/>
    <mergeCell ref="A288:B288"/>
    <mergeCell ref="A289:B289"/>
    <mergeCell ref="A290:B290"/>
    <mergeCell ref="A291:H291"/>
    <mergeCell ref="G286:H290"/>
    <mergeCell ref="A297:H297"/>
    <mergeCell ref="A298:B298"/>
    <mergeCell ref="A299:B299"/>
    <mergeCell ref="A300:B300"/>
    <mergeCell ref="A301:B301"/>
    <mergeCell ref="A308:B308"/>
    <mergeCell ref="A309:H309"/>
    <mergeCell ref="A310:B310"/>
    <mergeCell ref="A252:H252"/>
    <mergeCell ref="A255:H255"/>
    <mergeCell ref="A257:B257"/>
    <mergeCell ref="C257:F257"/>
    <mergeCell ref="C260:F260"/>
    <mergeCell ref="A261:H261"/>
    <mergeCell ref="A263:B263"/>
    <mergeCell ref="A262:H262"/>
    <mergeCell ref="A265:H265"/>
    <mergeCell ref="C266:F266"/>
    <mergeCell ref="C269:F269"/>
    <mergeCell ref="A272:H272"/>
    <mergeCell ref="A271:H271"/>
    <mergeCell ref="A275:H275"/>
    <mergeCell ref="A276:B276"/>
    <mergeCell ref="A303:H303"/>
    <mergeCell ref="A302:B302"/>
    <mergeCell ref="C319:F319"/>
    <mergeCell ref="A322:B322"/>
    <mergeCell ref="A323:B323"/>
    <mergeCell ref="A324:B324"/>
    <mergeCell ref="G298:H302"/>
    <mergeCell ref="G304:H308"/>
    <mergeCell ref="G310:H314"/>
    <mergeCell ref="G316:H320"/>
    <mergeCell ref="G322:H326"/>
    <mergeCell ref="A304:B304"/>
    <mergeCell ref="A305:B305"/>
    <mergeCell ref="A306:B306"/>
    <mergeCell ref="A307:B307"/>
    <mergeCell ref="A311:B311"/>
    <mergeCell ref="A325:B325"/>
    <mergeCell ref="A326:B326"/>
    <mergeCell ref="G188:H214"/>
    <mergeCell ref="G237:H238"/>
    <mergeCell ref="G240:H241"/>
    <mergeCell ref="G243:H244"/>
    <mergeCell ref="G246:H247"/>
    <mergeCell ref="G249:H250"/>
    <mergeCell ref="A250:B250"/>
    <mergeCell ref="A203:B203"/>
    <mergeCell ref="A204:B204"/>
    <mergeCell ref="A205:B205"/>
    <mergeCell ref="A206:B206"/>
    <mergeCell ref="A216:B216"/>
    <mergeCell ref="A220:B220"/>
    <mergeCell ref="G220:H220"/>
    <mergeCell ref="A217:B217"/>
    <mergeCell ref="A227:B227"/>
    <mergeCell ref="A228:B228"/>
    <mergeCell ref="A229:B229"/>
    <mergeCell ref="A219:H219"/>
    <mergeCell ref="A222:B222"/>
    <mergeCell ref="A223:B223"/>
    <mergeCell ref="A248:H248"/>
    <mergeCell ref="A224:B224"/>
    <mergeCell ref="A225:B225"/>
    <mergeCell ref="G259:H260"/>
    <mergeCell ref="G263:H264"/>
    <mergeCell ref="G266:H267"/>
    <mergeCell ref="G269:H270"/>
    <mergeCell ref="G273:H274"/>
    <mergeCell ref="G276:H277"/>
    <mergeCell ref="G279:H280"/>
    <mergeCell ref="A251:H251"/>
    <mergeCell ref="G216:H217"/>
    <mergeCell ref="G222:H229"/>
    <mergeCell ref="A264:B264"/>
    <mergeCell ref="A266:B266"/>
    <mergeCell ref="A267:B267"/>
    <mergeCell ref="A268:H268"/>
    <mergeCell ref="A269:B269"/>
    <mergeCell ref="A226:B226"/>
    <mergeCell ref="C243:F243"/>
    <mergeCell ref="A230:H230"/>
    <mergeCell ref="A231:H231"/>
    <mergeCell ref="A235:H235"/>
    <mergeCell ref="A239:H239"/>
    <mergeCell ref="A240:B240"/>
    <mergeCell ref="C240:F240"/>
    <mergeCell ref="A233:A234"/>
    <mergeCell ref="A245:H245"/>
    <mergeCell ref="B344:H344"/>
    <mergeCell ref="A156:A157"/>
    <mergeCell ref="G175:H179"/>
    <mergeCell ref="C158:D158"/>
    <mergeCell ref="E158:F158"/>
    <mergeCell ref="G158:H158"/>
    <mergeCell ref="A164:B164"/>
    <mergeCell ref="A163:B163"/>
    <mergeCell ref="A162:B162"/>
    <mergeCell ref="C164:D164"/>
    <mergeCell ref="C163:D163"/>
    <mergeCell ref="C162:D162"/>
    <mergeCell ref="E162:F162"/>
    <mergeCell ref="E163:F163"/>
    <mergeCell ref="E164:F164"/>
    <mergeCell ref="G162:H162"/>
    <mergeCell ref="G163:H163"/>
    <mergeCell ref="G164:H164"/>
    <mergeCell ref="A174:H174"/>
    <mergeCell ref="E171:E172"/>
    <mergeCell ref="G171:H172"/>
    <mergeCell ref="G253:H254"/>
    <mergeCell ref="G256:H257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 Plot Bearing F.P No"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71:E172" xr:uid="{00000000-0002-0000-0000-000003000000}">
      <formula1>"Attached Loft area,Attached Terrace area,Attached Mezzanine area"</formula1>
    </dataValidation>
    <dataValidation type="list" allowBlank="1" showInputMessage="1" showErrorMessage="1" sqref="F172 F234" xr:uid="{00000000-0002-0000-0000-000004000000}">
      <formula1>"45%,50%,55%,60%"</formula1>
    </dataValidation>
    <dataValidation type="list" allowBlank="1" showInputMessage="1" showErrorMessage="1" sqref="G353:H353" xr:uid="{00000000-0002-0000-0000-000005000000}">
      <formula1>"Gaurav Panchal,Kunal Kadam,Shruti Tathare,Pranita Mhatre,Shruti Fule,Pooja Kawale,Mansee Mohite,Anjali Kamble, Hitakshi Mhatre, Sachin Sawant"</formula1>
    </dataValidation>
    <dataValidation type="list" allowBlank="1" showInputMessage="1" showErrorMessage="1" sqref="F140:H140" xr:uid="{00000000-0002-0000-0000-000006000000}">
      <formula1>"On Saleable Area,On Builtup Area,On Carpet Area,On Plot Area"</formula1>
    </dataValidation>
    <dataValidation type="list" allowBlank="1" showInputMessage="1" showErrorMessage="1" sqref="F151:H151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71 F233" xr:uid="{00000000-0002-0000-0000-000008000000}">
      <formula1>"Saleable area Loading :,Builder Saleable area"</formula1>
    </dataValidation>
    <dataValidation type="list" allowBlank="1" showInputMessage="1" showErrorMessage="1" sqref="B171:B172" xr:uid="{00000000-0002-0000-0000-000009000000}">
      <formula1>"Shop No. (Sale Plan),Sale / Rehab,Sale / Mhada"</formula1>
    </dataValidation>
    <dataValidation type="list" allowBlank="1" showInputMessage="1" showErrorMessage="1" sqref="B233:B234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  <hyperlink ref="I66" r:id="rId2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3"/>
  <headerFooter>
    <oddHeader>&amp;C&amp;G</oddHeader>
    <oddFooter>&amp;L&amp;"Times New Roman,Bold"&amp;12Ref No: &amp;F&amp;C&amp;G&amp;R&amp;"Times New Roman,Bold"&amp;12&amp;P</oddFooter>
  </headerFooter>
  <rowBreaks count="6" manualBreakCount="6">
    <brk id="69" max="16383" man="1"/>
    <brk id="97" max="16383" man="1"/>
    <brk id="125" max="16383" man="1"/>
    <brk id="357" max="16383" man="1"/>
    <brk id="400" max="16383" man="1"/>
    <brk id="443" max="16383" man="1"/>
  </rowBreaks>
  <ignoredErrors>
    <ignoredError sqref="I186 E175:E179 G175 E229:F229 A238:B238 E238:F238 B241 E241 G241:H241 A247:B247 E247 B249 E249 A265:H265 B272:H272 B273 B274 E273:F274 A263:C263 A264:C264 A268:H268 B266:G266 A267:C267 A270:C270 B269:G269 A321:H321 A316:C316 A319:F319 A225 E263:G263 E264:F264 E267:F267 E316:G316 A317:C318 E317:F318 A320:C320 E320:F320 G162:H162 C163:F168 G168:H168 H163 E222:E228 D130:J139 I179 E270:F270 D162:F162" unlockedFormula="1"/>
  </ignoredError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94" t="s">
        <v>105</v>
      </c>
      <c r="C3" s="294"/>
      <c r="D3" s="294"/>
      <c r="E3" s="294"/>
      <c r="F3" s="294"/>
      <c r="G3" s="294"/>
      <c r="H3" s="294"/>
    </row>
    <row r="4" spans="1:9" x14ac:dyDescent="0.25">
      <c r="A4" s="2"/>
      <c r="B4" s="3" t="s">
        <v>106</v>
      </c>
      <c r="C4" s="3" t="s">
        <v>107</v>
      </c>
      <c r="D4" s="3" t="s">
        <v>69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2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24"/>
      <c r="C4" s="24" t="s">
        <v>12</v>
      </c>
      <c r="D4" s="25" t="s">
        <v>176</v>
      </c>
      <c r="E4" s="25" t="s">
        <v>186</v>
      </c>
      <c r="F4" s="25" t="s">
        <v>170</v>
      </c>
      <c r="G4" s="25" t="s">
        <v>191</v>
      </c>
      <c r="H4" s="25" t="s">
        <v>209</v>
      </c>
      <c r="J4" t="s">
        <v>191</v>
      </c>
      <c r="K4" t="s">
        <v>207</v>
      </c>
    </row>
    <row r="5" spans="2:11" x14ac:dyDescent="0.25">
      <c r="B5" s="24"/>
      <c r="C5" s="24"/>
      <c r="D5" s="25" t="s">
        <v>177</v>
      </c>
      <c r="E5" s="25" t="s">
        <v>184</v>
      </c>
      <c r="F5" s="25" t="s">
        <v>206</v>
      </c>
      <c r="G5" s="25" t="s">
        <v>192</v>
      </c>
      <c r="H5" s="25" t="s">
        <v>210</v>
      </c>
    </row>
    <row r="6" spans="2:11" x14ac:dyDescent="0.25">
      <c r="B6" s="24"/>
      <c r="C6" s="24"/>
      <c r="D6" s="25" t="s">
        <v>178</v>
      </c>
      <c r="E6" s="25" t="s">
        <v>185</v>
      </c>
      <c r="F6" s="25" t="s">
        <v>207</v>
      </c>
      <c r="G6" s="25" t="s">
        <v>193</v>
      </c>
      <c r="H6" s="25" t="s">
        <v>223</v>
      </c>
    </row>
    <row r="7" spans="2:11" x14ac:dyDescent="0.25">
      <c r="B7" s="24"/>
      <c r="C7" s="24"/>
      <c r="D7" s="25" t="s">
        <v>179</v>
      </c>
      <c r="E7" s="25" t="s">
        <v>187</v>
      </c>
      <c r="F7" s="25" t="s">
        <v>208</v>
      </c>
      <c r="G7" s="25" t="s">
        <v>194</v>
      </c>
      <c r="H7" s="25" t="s">
        <v>211</v>
      </c>
    </row>
    <row r="8" spans="2:11" x14ac:dyDescent="0.25">
      <c r="B8" s="24"/>
      <c r="C8" s="24"/>
      <c r="D8" s="25" t="s">
        <v>180</v>
      </c>
      <c r="E8" s="25" t="s">
        <v>188</v>
      </c>
      <c r="F8" s="25"/>
      <c r="G8" s="25" t="s">
        <v>195</v>
      </c>
      <c r="H8" s="25" t="s">
        <v>212</v>
      </c>
    </row>
    <row r="9" spans="2:11" x14ac:dyDescent="0.25">
      <c r="B9" s="24"/>
      <c r="C9" s="24"/>
      <c r="D9" s="25" t="s">
        <v>181</v>
      </c>
      <c r="E9" s="25" t="s">
        <v>186</v>
      </c>
      <c r="F9" s="25"/>
      <c r="G9" s="25" t="s">
        <v>196</v>
      </c>
      <c r="H9" s="25" t="s">
        <v>213</v>
      </c>
    </row>
    <row r="10" spans="2:11" x14ac:dyDescent="0.25">
      <c r="B10" s="24"/>
      <c r="C10" s="24"/>
      <c r="D10" s="25" t="s">
        <v>182</v>
      </c>
      <c r="E10" s="25" t="s">
        <v>189</v>
      </c>
      <c r="F10" s="25"/>
      <c r="G10" s="25" t="s">
        <v>197</v>
      </c>
      <c r="H10" s="25" t="s">
        <v>214</v>
      </c>
    </row>
    <row r="11" spans="2:11" x14ac:dyDescent="0.25">
      <c r="B11" s="24"/>
      <c r="C11" s="24"/>
      <c r="D11" s="25" t="s">
        <v>183</v>
      </c>
      <c r="E11" s="25" t="s">
        <v>190</v>
      </c>
      <c r="F11" s="25"/>
      <c r="G11" s="25" t="s">
        <v>198</v>
      </c>
      <c r="H11" s="25" t="s">
        <v>215</v>
      </c>
    </row>
    <row r="12" spans="2:11" x14ac:dyDescent="0.25">
      <c r="B12" s="24"/>
      <c r="C12" s="24"/>
      <c r="D12" s="25"/>
      <c r="E12" s="25"/>
      <c r="F12" s="25"/>
      <c r="G12" s="25" t="s">
        <v>199</v>
      </c>
      <c r="H12" s="25" t="s">
        <v>216</v>
      </c>
    </row>
    <row r="13" spans="2:11" x14ac:dyDescent="0.25">
      <c r="B13" s="24"/>
      <c r="C13" s="24"/>
      <c r="D13" s="25"/>
      <c r="E13" s="25"/>
      <c r="F13" s="25"/>
      <c r="G13" s="25" t="s">
        <v>200</v>
      </c>
      <c r="H13" s="25" t="s">
        <v>217</v>
      </c>
    </row>
    <row r="14" spans="2:11" x14ac:dyDescent="0.25">
      <c r="B14" s="24"/>
      <c r="C14" s="24"/>
      <c r="D14" s="25"/>
      <c r="E14" s="25"/>
      <c r="F14" s="25"/>
      <c r="G14" s="25" t="s">
        <v>201</v>
      </c>
      <c r="H14" s="25" t="s">
        <v>218</v>
      </c>
    </row>
    <row r="15" spans="2:11" x14ac:dyDescent="0.25">
      <c r="B15" s="24"/>
      <c r="C15" s="24"/>
      <c r="D15" s="25"/>
      <c r="E15" s="25"/>
      <c r="F15" s="25"/>
      <c r="G15" s="25" t="s">
        <v>202</v>
      </c>
      <c r="H15" s="25" t="s">
        <v>219</v>
      </c>
    </row>
    <row r="16" spans="2:11" x14ac:dyDescent="0.25">
      <c r="B16" s="24"/>
      <c r="C16" s="24"/>
      <c r="D16" s="25"/>
      <c r="E16" s="25"/>
      <c r="F16" s="25"/>
      <c r="G16" s="25" t="s">
        <v>203</v>
      </c>
      <c r="H16" s="25" t="s">
        <v>220</v>
      </c>
    </row>
    <row r="17" spans="2:8" x14ac:dyDescent="0.25">
      <c r="B17" s="24"/>
      <c r="C17" s="24"/>
      <c r="D17" s="25"/>
      <c r="E17" s="25"/>
      <c r="F17" s="25"/>
      <c r="G17" s="25" t="s">
        <v>204</v>
      </c>
      <c r="H17" s="25" t="s">
        <v>221</v>
      </c>
    </row>
    <row r="18" spans="2:8" x14ac:dyDescent="0.25">
      <c r="B18" s="24"/>
      <c r="C18" s="24"/>
      <c r="D18" s="25"/>
      <c r="E18" s="25"/>
      <c r="F18" s="25"/>
      <c r="G18" s="25" t="s">
        <v>205</v>
      </c>
      <c r="H18" s="25" t="s">
        <v>222</v>
      </c>
    </row>
    <row r="24" spans="2:8" x14ac:dyDescent="0.25">
      <c r="C24" t="s">
        <v>167</v>
      </c>
    </row>
    <row r="25" spans="2:8" x14ac:dyDescent="0.25">
      <c r="C25" t="s">
        <v>224</v>
      </c>
    </row>
    <row r="26" spans="2:8" x14ac:dyDescent="0.25">
      <c r="C26" t="s">
        <v>225</v>
      </c>
    </row>
    <row r="27" spans="2:8" x14ac:dyDescent="0.25">
      <c r="C27" t="s">
        <v>226</v>
      </c>
    </row>
    <row r="28" spans="2:8" x14ac:dyDescent="0.25">
      <c r="C28" t="s">
        <v>227</v>
      </c>
    </row>
    <row r="29" spans="2:8" x14ac:dyDescent="0.25">
      <c r="C29" t="s">
        <v>228</v>
      </c>
    </row>
    <row r="30" spans="2:8" x14ac:dyDescent="0.25">
      <c r="C30" t="s">
        <v>167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2025-07-15T05:48:36Z</cp:lastPrinted>
  <dcterms:created xsi:type="dcterms:W3CDTF">2019-07-16T09:29:46Z</dcterms:created>
  <dcterms:modified xsi:type="dcterms:W3CDTF">2025-07-15T05:49:39Z</dcterms:modified>
</cp:coreProperties>
</file>