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15-07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1" l="1"/>
  <c r="J89" i="1"/>
  <c r="J88" i="1"/>
  <c r="J87" i="1"/>
  <c r="C86" i="1"/>
  <c r="C72" i="1" l="1"/>
  <c r="D192" i="1" l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G167" i="1"/>
  <c r="D167" i="1"/>
  <c r="F167" i="1" s="1"/>
  <c r="D141" i="1"/>
  <c r="D142" i="1"/>
  <c r="D143" i="1"/>
  <c r="D144" i="1"/>
  <c r="D145" i="1"/>
  <c r="D146" i="1"/>
  <c r="D147" i="1"/>
  <c r="D148" i="1"/>
  <c r="D149" i="1"/>
  <c r="D150" i="1"/>
  <c r="D151" i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J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40" i="1"/>
  <c r="D128" i="1"/>
  <c r="D129" i="1"/>
  <c r="D127" i="1"/>
  <c r="D130" i="1"/>
  <c r="D126" i="1"/>
  <c r="D125" i="1"/>
  <c r="D131" i="1"/>
  <c r="D124" i="1"/>
  <c r="D132" i="1"/>
  <c r="D123" i="1"/>
  <c r="D133" i="1"/>
  <c r="D122" i="1"/>
  <c r="C112" i="1" l="1"/>
  <c r="C113" i="1" s="1"/>
  <c r="E112" i="1"/>
  <c r="E109" i="1"/>
  <c r="F122" i="1"/>
  <c r="F133" i="1"/>
  <c r="G122" i="1"/>
  <c r="F132" i="1"/>
  <c r="F131" i="1"/>
  <c r="F130" i="1"/>
  <c r="F129" i="1"/>
  <c r="F128" i="1"/>
  <c r="F127" i="1"/>
  <c r="F126" i="1"/>
  <c r="F125" i="1"/>
  <c r="I125" i="1" s="1"/>
  <c r="F124" i="1"/>
  <c r="I124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F123" i="1"/>
  <c r="I123" i="1" s="1"/>
  <c r="E113" i="1" l="1"/>
  <c r="I122" i="1"/>
  <c r="G109" i="1"/>
  <c r="I131" i="1"/>
  <c r="I130" i="1"/>
  <c r="G49" i="1" l="1"/>
  <c r="G50" i="1" s="1"/>
  <c r="C49" i="1"/>
  <c r="F145" i="1" l="1"/>
  <c r="F146" i="1"/>
  <c r="F147" i="1"/>
  <c r="F148" i="1"/>
  <c r="F149" i="1"/>
  <c r="F150" i="1"/>
  <c r="F151" i="1"/>
  <c r="F140" i="1"/>
  <c r="C13" i="1" l="1"/>
  <c r="E28" i="1" l="1"/>
  <c r="F106" i="1" l="1"/>
  <c r="B195" i="1" l="1"/>
  <c r="F144" i="1" l="1"/>
  <c r="F143" i="1"/>
  <c r="F142" i="1"/>
  <c r="F141" i="1"/>
  <c r="G112" i="1" l="1"/>
  <c r="G11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6" i="1"/>
  <c r="G140" i="1"/>
  <c r="J76" i="1"/>
  <c r="J75" i="1"/>
  <c r="J74" i="1"/>
  <c r="J73" i="1"/>
  <c r="E41" i="1"/>
  <c r="E42" i="1" s="1"/>
  <c r="E25" i="1"/>
  <c r="E23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D71" i="1"/>
  <c r="J67" i="1"/>
  <c r="D69" i="1"/>
  <c r="H80" i="1"/>
  <c r="J85" i="1" l="1"/>
  <c r="J86" i="1" s="1"/>
  <c r="J91" i="1" s="1"/>
  <c r="J92" i="1" s="1"/>
  <c r="C84" i="1" s="1"/>
  <c r="D85" i="1"/>
  <c r="D91" i="1"/>
  <c r="J84" i="1"/>
  <c r="C83" i="1" s="1"/>
  <c r="J82" i="1"/>
  <c r="J79" i="1"/>
  <c r="J81" i="1" s="1"/>
  <c r="D87" i="1"/>
  <c r="D90" i="1"/>
  <c r="J83" i="1"/>
  <c r="D89" i="1"/>
  <c r="D86" i="1"/>
  <c r="D92" i="1"/>
  <c r="D88" i="1"/>
  <c r="J78" i="1"/>
  <c r="C70" i="1" s="1"/>
  <c r="E83" i="1" l="1"/>
  <c r="D84" i="1"/>
  <c r="G83" i="1"/>
  <c r="D83" i="1"/>
  <c r="E69" i="1"/>
  <c r="D70" i="1"/>
  <c r="G69" i="1"/>
  <c r="D63" i="1" s="1"/>
  <c r="J66" i="1"/>
  <c r="I80" i="1" l="1"/>
  <c r="I81" i="1" s="1"/>
  <c r="J80" i="1"/>
  <c r="I66" i="1"/>
  <c r="I67" i="1" s="1"/>
  <c r="F64" i="1"/>
  <c r="D64" i="1"/>
  <c r="I79" i="1" l="1"/>
  <c r="C81" i="1" s="1"/>
  <c r="I65" i="1"/>
  <c r="C67" i="1" s="1"/>
</calcChain>
</file>

<file path=xl/sharedStrings.xml><?xml version="1.0" encoding="utf-8"?>
<sst xmlns="http://schemas.openxmlformats.org/spreadsheetml/2006/main" count="380" uniqueCount="231">
  <si>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</si>
  <si>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</si>
  <si>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</si>
  <si>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</si>
  <si>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</si>
  <si>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</si>
  <si>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</si>
  <si>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</si>
  <si>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</si>
  <si>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</si>
  <si>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</si>
  <si>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</si>
  <si>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</si>
  <si>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</si>
  <si>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</si>
  <si>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</si>
  <si>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</si>
  <si>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</si>
  <si>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</si>
  <si>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</si>
  <si>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</si>
  <si>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</si>
  <si>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</si>
  <si>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</si>
  <si>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</si>
  <si>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</si>
  <si>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</si>
  <si>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</si>
  <si>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</si>
  <si>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</si>
  <si>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</si>
  <si>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</si>
  <si>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</si>
  <si>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</si>
  <si>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</si>
  <si>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</si>
  <si>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</si>
  <si>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</si>
  <si>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</si>
  <si>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</si>
  <si>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</si>
  <si>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</si>
  <si>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</si>
  <si>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</si>
  <si>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</si>
  <si>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</si>
  <si>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</si>
  <si>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</si>
  <si>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</si>
  <si>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</si>
  <si>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</si>
  <si>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</si>
  <si>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</si>
  <si>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</si>
  <si>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</si>
  <si>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</si>
  <si>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</si>
  <si>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</si>
  <si>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</si>
  <si>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</si>
  <si>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</si>
  <si>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</si>
  <si>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</si>
  <si>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</si>
  <si>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</si>
  <si>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</si>
  <si>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</si>
  <si>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</si>
  <si>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</si>
  <si>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</si>
  <si>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</si>
  <si>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</si>
  <si>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</si>
  <si>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</si>
  <si>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</si>
  <si>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</si>
  <si>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</si>
  <si>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</si>
  <si>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</si>
  <si>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</si>
  <si>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</si>
  <si>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</si>
  <si>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</si>
  <si>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</si>
  <si>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</si>
  <si>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</si>
  <si>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</si>
  <si>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</si>
  <si>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</si>
  <si>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</si>
  <si>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</si>
  <si>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</si>
  <si>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</si>
  <si>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</si>
  <si>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</si>
  <si>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</si>
  <si>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</si>
  <si>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</si>
  <si>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</si>
  <si>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</si>
  <si>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</si>
  <si>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</si>
  <si>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</si>
  <si>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</si>
  <si>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</si>
  <si>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</si>
  <si>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</si>
  <si>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</si>
  <si>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</si>
  <si>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</si>
  <si>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</si>
  <si>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</si>
  <si>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</si>
  <si>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</si>
  <si>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</si>
  <si>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</si>
  <si>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</si>
  <si>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</si>
  <si>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</si>
  <si>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</si>
  <si>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</si>
  <si>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</si>
  <si>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</si>
  <si>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</si>
  <si>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</si>
  <si>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</si>
  <si>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</si>
  <si>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</si>
  <si>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</si>
  <si>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</si>
  <si>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</si>
  <si>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</si>
  <si>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</si>
  <si>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</si>
  <si>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</si>
  <si>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</si>
  <si>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</si>
  <si>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</si>
  <si>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</si>
  <si>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</si>
  <si>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</si>
  <si>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</si>
  <si>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</si>
  <si>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</si>
  <si>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</si>
  <si>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</si>
  <si>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</si>
  <si>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</si>
  <si>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</si>
  <si>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</si>
  <si>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</si>
  <si>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</si>
  <si>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</si>
  <si>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</si>
  <si>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</si>
  <si>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</si>
  <si>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</si>
  <si>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</si>
  <si>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</si>
  <si>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</si>
  <si>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</si>
  <si>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</si>
  <si>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</si>
  <si>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</si>
  <si>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>Refuge Area</t>
  </si>
  <si>
    <t>1BHK</t>
  </si>
  <si>
    <t>Axis Thane</t>
  </si>
  <si>
    <t>Rajendra Giri - 9820248856</t>
  </si>
  <si>
    <t>Approved Plans, CC.</t>
  </si>
  <si>
    <t>Survey No</t>
  </si>
  <si>
    <t>Kalyan</t>
  </si>
  <si>
    <t>Thane</t>
  </si>
  <si>
    <t xml:space="preserve">Town Planning, Thane
</t>
  </si>
  <si>
    <t>As per RERA - 31/12/2025</t>
  </si>
  <si>
    <t>We considered Gross carpet area = Net carpet.</t>
  </si>
  <si>
    <t>H</t>
  </si>
  <si>
    <t>rate sheet</t>
  </si>
  <si>
    <t>Market sheet</t>
  </si>
  <si>
    <t>MB</t>
  </si>
  <si>
    <t>Kalyan east</t>
  </si>
  <si>
    <t xml:space="preserve">Open plot </t>
  </si>
  <si>
    <t>Internal road</t>
  </si>
  <si>
    <t>1st to 7th, 9th to 12th Floor
14th Floor (15th Floor as per builder)</t>
  </si>
  <si>
    <t>8th Floor 
13th Floor (14th Floor as per builder) (Part Refuge Area)</t>
  </si>
  <si>
    <t>Floor Rise Rate per sq. ft from 1st floor</t>
  </si>
  <si>
    <t>Akash Sir</t>
  </si>
  <si>
    <t>6000 to 7500</t>
  </si>
  <si>
    <t xml:space="preserve">1.Vitrified tiles flooring 2. Granite Kitchen Platform  3. Decorative Enternace  etc. 
</t>
  </si>
  <si>
    <t>On Site, we meet Mr.Rajendra Giri - 9820248856</t>
  </si>
  <si>
    <t>Layout Plan</t>
  </si>
  <si>
    <t>Latitude, Longitude</t>
  </si>
  <si>
    <t>2 Wings</t>
  </si>
  <si>
    <t xml:space="preserve">Commencement-CC No
Valid Up to: </t>
  </si>
  <si>
    <t>Ground Floor for Residential, Store Room, Meter Room, Entrance Lobby</t>
  </si>
  <si>
    <t xml:space="preserve">We have updated revised plans &amp; CC of Wing B (on 13/02/2023) &amp; Wing A (on 28/04/2023)
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</si>
  <si>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</si>
  <si>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Tulip C &amp; D</t>
  </si>
  <si>
    <t>(Sector I2) (Cluster No. 10.05) - Wing C &amp; D</t>
  </si>
  <si>
    <t>Wing C &amp; D - P51700051956</t>
  </si>
  <si>
    <t>Macrotech Developers Limited</t>
  </si>
  <si>
    <t>Khoni</t>
  </si>
  <si>
    <t>55/2A P, 55/3P, 139/1P, 26/B, 29/1A/1, 29/2,….., 169/1, 170 &amp; Others.</t>
  </si>
  <si>
    <t>Khoni Taloja road</t>
  </si>
  <si>
    <t>https://goo.gl/maps/CJqxnTranc4HDFYr6</t>
  </si>
  <si>
    <t>As per layout</t>
  </si>
  <si>
    <t>15.00M wide Road</t>
  </si>
  <si>
    <t>Open Plot</t>
  </si>
  <si>
    <t>Cluster No.10.06</t>
  </si>
  <si>
    <t xml:space="preserve">(Sector I2) (Cluster No. 10.05) Wing C &amp; D = G/St + 1st to 14th Floor.
</t>
  </si>
  <si>
    <t>(Sector I2) (Cluster No. 10.05) Wing C &amp; D = G/St + 1st to 14th Floor.</t>
  </si>
  <si>
    <t>Ekatmik Nagarvasahat/ Mouje Antarli, Khoni, Hedutane, Kole, Gharivali, Katai &amp; Mangaon, Taluka-Kalyan &amp; Mouje Umbroli, Taluka-Ambernath SSThane/5059</t>
  </si>
  <si>
    <t>Ekatmik Nagarvasahat/ Mouje Antarli, Khoni &amp; etc/ Sector- D, E, F, I1, I2, O &amp; P /SSThane/5059</t>
  </si>
  <si>
    <t xml:space="preserve"> Sector I2 (Cluster No. 10.05)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</si>
  <si>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</si>
  <si>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</si>
  <si>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Wing C + D</t>
  </si>
  <si>
    <t>Shop</t>
  </si>
  <si>
    <t>Commercial Area Details :</t>
  </si>
  <si>
    <t>Grand Total</t>
  </si>
  <si>
    <t>Flats - 360 &amp; Shop - 12</t>
  </si>
  <si>
    <t xml:space="preserve">C &amp; D Wing </t>
  </si>
  <si>
    <t>Lodha Codename Golden Sunrise</t>
  </si>
  <si>
    <t>Taloja Bypass Phata</t>
  </si>
  <si>
    <t>10.1 KM from Dombivli Railway Station</t>
  </si>
  <si>
    <t xml:space="preserve">C &amp; D Wing = Construction work is in process at the time of Visit. </t>
  </si>
  <si>
    <t>19.161566,73.118637</t>
  </si>
  <si>
    <t>(Sector I2) (Cluster No. 10.05) Wing C = G/St + 1st to 14th Floor.</t>
  </si>
  <si>
    <t>(Sector I2) (Cluster No. 10.05) Wing D = G/St + 1st to 14th Floor.</t>
  </si>
  <si>
    <t>23/05/2023.</t>
  </si>
  <si>
    <t>Gaurav Panchal</t>
  </si>
  <si>
    <t>Krishna Kambli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</si>
</sst>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vertical="top" wrapText="1"/>
      <protection locked="0"/>
    </xf>
    <xf numFmtId="0" fontId="12" fillId="0" borderId="20" xfId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755150</xdr:colOff>
      <xdr:row>294</xdr:row>
      <xdr:rowOff>44823</xdr:rowOff>
    </xdr:from>
    <xdr:to>
      <xdr:col>7</xdr:col>
      <xdr:colOff>89183</xdr:colOff>
      <xdr:row>312</xdr:row>
      <xdr:rowOff>175234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541" t="31839" r="30740" b="16745"/>
        <a:stretch/>
      </xdr:blipFill>
      <xdr:spPr>
        <a:xfrm>
          <a:off x="755150" y="62226264"/>
          <a:ext cx="5037827" cy="37611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694765</xdr:colOff>
      <xdr:row>314</xdr:row>
      <xdr:rowOff>47868</xdr:rowOff>
    </xdr:from>
    <xdr:to>
      <xdr:col>7</xdr:col>
      <xdr:colOff>149567</xdr:colOff>
      <xdr:row>330</xdr:row>
      <xdr:rowOff>115865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862" t="31604" r="15490" b="23348"/>
        <a:stretch/>
      </xdr:blipFill>
      <xdr:spPr>
        <a:xfrm>
          <a:off x="694765" y="66263427"/>
          <a:ext cx="5158596" cy="32952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358588</xdr:colOff>
      <xdr:row>259</xdr:row>
      <xdr:rowOff>145677</xdr:rowOff>
    </xdr:from>
    <xdr:to>
      <xdr:col>7</xdr:col>
      <xdr:colOff>538010</xdr:colOff>
      <xdr:row>283</xdr:row>
      <xdr:rowOff>94975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502" t="27358" r="29281" b="7311"/>
        <a:stretch/>
      </xdr:blipFill>
      <xdr:spPr>
        <a:xfrm>
          <a:off x="358588" y="53463265"/>
          <a:ext cx="5883216" cy="47790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828178</xdr:colOff>
      <xdr:row>274</xdr:row>
      <xdr:rowOff>69391</xdr:rowOff>
    </xdr:from>
    <xdr:to>
      <xdr:col>4</xdr:col>
      <xdr:colOff>359639</xdr:colOff>
      <xdr:row>276</xdr:row>
      <xdr:rowOff>35312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2385796" y="56401362"/>
          <a:ext cx="132440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&amp; D Wing </a:t>
          </a:r>
        </a:p>
      </xdr:txBody>
    </xdr:sp>
    <xdr:clientData/>
  </xdr:twoCellAnchor>
  <xdr:twoCellAnchor>
    <xdr:from>
      <xdr:col>8</xdr:col>
      <xdr:colOff>276225</xdr:colOff>
      <xdr:row>216</xdr:row>
      <xdr:rowOff>47625</xdr:rowOff>
    </xdr:from>
    <xdr:to>
      <xdr:col>15</xdr:col>
      <xdr:colOff>504825</xdr:colOff>
      <xdr:row>256</xdr:row>
      <xdr:rowOff>28575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pSpPr/>
      </xdr:nvGrpSpPr>
      <xdr:grpSpPr>
        <a:xfrm>
          <a:off x="6800850" y="46482000"/>
          <a:ext cx="5895975" cy="7972425"/>
          <a:chOff x="453034" y="273495"/>
          <a:chExt cx="5929367" cy="8491891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1627" y="6965386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5213" y="696538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0351" y="428144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67749" y="4281443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034" y="273495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2401" y="273495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752475</xdr:colOff>
      <xdr:row>216</xdr:row>
      <xdr:rowOff>12700</xdr:rowOff>
    </xdr:from>
    <xdr:to>
      <xdr:col>16</xdr:col>
      <xdr:colOff>98013</xdr:colOff>
      <xdr:row>247</xdr:row>
      <xdr:rowOff>189087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7277100" y="46447075"/>
          <a:ext cx="5793963" cy="6367637"/>
          <a:chOff x="419100" y="45885100"/>
          <a:chExt cx="6073363" cy="6269212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2702" y="499943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100" y="458851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6899" y="49994312"/>
            <a:ext cx="162506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7845" y="499943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5556" y="458851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619125</xdr:colOff>
      <xdr:row>216</xdr:row>
      <xdr:rowOff>123825</xdr:rowOff>
    </xdr:from>
    <xdr:to>
      <xdr:col>6</xdr:col>
      <xdr:colOff>780084</xdr:colOff>
      <xdr:row>256</xdr:row>
      <xdr:rowOff>146249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F701D7B3-B8F4-4B39-B2F1-7BD7665ACF9B}"/>
            </a:ext>
          </a:extLst>
        </xdr:cNvPr>
        <xdr:cNvGrpSpPr/>
      </xdr:nvGrpSpPr>
      <xdr:grpSpPr>
        <a:xfrm>
          <a:off x="619125" y="46558200"/>
          <a:ext cx="5075859" cy="8013899"/>
          <a:chOff x="891070" y="270754"/>
          <a:chExt cx="5075859" cy="8013899"/>
        </a:xfrm>
      </xdr:grpSpPr>
      <xdr:grpSp>
        <xdr:nvGrpSpPr>
          <xdr:cNvPr id="22" name="Group 21">
            <a:extLst>
              <a:ext uri="{FF2B5EF4-FFF2-40B4-BE49-F238E27FC236}">
                <a16:creationId xmlns:a16="http://schemas.microsoft.com/office/drawing/2014/main" xmlns="" id="{65E445CA-51D5-4244-89E7-7BE1BBAA9306}"/>
              </a:ext>
            </a:extLst>
          </xdr:cNvPr>
          <xdr:cNvGrpSpPr/>
        </xdr:nvGrpSpPr>
        <xdr:grpSpPr>
          <a:xfrm>
            <a:off x="891070" y="282303"/>
            <a:ext cx="5075859" cy="8002350"/>
            <a:chOff x="484094" y="312502"/>
            <a:chExt cx="5075859" cy="800235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xmlns="" id="{63EBC78B-8871-442F-BFE7-933E50C85D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4094" y="312502"/>
              <a:ext cx="5075859" cy="364837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xmlns="" id="{6B181630-D009-4E9D-83C7-3168AAE3D0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9953" y="415786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xmlns="" id="{F8727202-F0FF-414C-B669-110A1A1691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06781" y="4157866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xmlns="" id="{5B24B9C5-0F3D-4CA9-A827-A9820F4925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27811" y="6694852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xmlns="" id="{F33ADA39-6448-413F-8C12-F08497571E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26317" y="6694852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3" name="TextBox 69">
            <a:extLst>
              <a:ext uri="{FF2B5EF4-FFF2-40B4-BE49-F238E27FC236}">
                <a16:creationId xmlns:a16="http://schemas.microsoft.com/office/drawing/2014/main" xmlns="" id="{E84A9208-A5C7-4D34-A9BC-58B48185C243}"/>
              </a:ext>
            </a:extLst>
          </xdr:cNvPr>
          <xdr:cNvSpPr txBox="1"/>
        </xdr:nvSpPr>
        <xdr:spPr>
          <a:xfrm>
            <a:off x="1270645" y="568369"/>
            <a:ext cx="82041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Tulip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4" name="TextBox 70">
            <a:extLst>
              <a:ext uri="{FF2B5EF4-FFF2-40B4-BE49-F238E27FC236}">
                <a16:creationId xmlns:a16="http://schemas.microsoft.com/office/drawing/2014/main" xmlns="" id="{8E55ADC9-DB3F-4D97-B894-59A71322DAA4}"/>
              </a:ext>
            </a:extLst>
          </xdr:cNvPr>
          <xdr:cNvSpPr txBox="1"/>
        </xdr:nvSpPr>
        <xdr:spPr>
          <a:xfrm>
            <a:off x="1027826" y="4127667"/>
            <a:ext cx="82041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Tulip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0" name="TextBox 71">
            <a:extLst>
              <a:ext uri="{FF2B5EF4-FFF2-40B4-BE49-F238E27FC236}">
                <a16:creationId xmlns:a16="http://schemas.microsoft.com/office/drawing/2014/main" xmlns="" id="{67BFFDA5-FECD-48A8-8300-DCBACCF2253A}"/>
              </a:ext>
            </a:extLst>
          </xdr:cNvPr>
          <xdr:cNvSpPr txBox="1"/>
        </xdr:nvSpPr>
        <xdr:spPr>
          <a:xfrm>
            <a:off x="4778190" y="270754"/>
            <a:ext cx="84446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Tulip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3" name="TextBox 72">
            <a:extLst>
              <a:ext uri="{FF2B5EF4-FFF2-40B4-BE49-F238E27FC236}">
                <a16:creationId xmlns:a16="http://schemas.microsoft.com/office/drawing/2014/main" xmlns="" id="{0E12E0B3-12EB-43F6-BFC3-B30627E9409C}"/>
              </a:ext>
            </a:extLst>
          </xdr:cNvPr>
          <xdr:cNvSpPr txBox="1"/>
        </xdr:nvSpPr>
        <xdr:spPr>
          <a:xfrm>
            <a:off x="4297476" y="4109738"/>
            <a:ext cx="84446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Tulip D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83388</xdr:rowOff>
    </xdr:from>
    <xdr:to>
      <xdr:col>2</xdr:col>
      <xdr:colOff>2362699</xdr:colOff>
      <xdr:row>38</xdr:row>
      <xdr:rowOff>147888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23809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138264</xdr:colOff>
      <xdr:row>27</xdr:row>
      <xdr:rowOff>83388</xdr:rowOff>
    </xdr:from>
    <xdr:to>
      <xdr:col>7</xdr:col>
      <xdr:colOff>192550</xdr:colOff>
      <xdr:row>38</xdr:row>
      <xdr:rowOff>147888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5440" y="523809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15</xdr:row>
      <xdr:rowOff>0</xdr:rowOff>
    </xdr:from>
    <xdr:to>
      <xdr:col>2</xdr:col>
      <xdr:colOff>2362700</xdr:colOff>
      <xdr:row>26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868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138264</xdr:colOff>
      <xdr:row>15</xdr:row>
      <xdr:rowOff>0</xdr:rowOff>
    </xdr:from>
    <xdr:to>
      <xdr:col>7</xdr:col>
      <xdr:colOff>192550</xdr:colOff>
      <xdr:row>26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5440" y="2868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15</xdr:col>
      <xdr:colOff>101974</xdr:colOff>
      <xdr:row>79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2706" y="78217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JqxnTranc4HDFYr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4"/>
  <sheetViews>
    <sheetView tabSelected="1" view="pageBreakPreview" zoomScaleNormal="100" zoomScaleSheetLayoutView="100" workbookViewId="0">
      <selection activeCell="K12" sqref="K12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1.285156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45" t="s">
        <v>195</v>
      </c>
      <c r="B1" s="145"/>
      <c r="C1" s="145"/>
      <c r="D1" s="145"/>
      <c r="E1" s="145"/>
      <c r="F1" s="145"/>
      <c r="G1" s="145"/>
      <c r="H1" s="145"/>
    </row>
    <row r="2" spans="1:8" ht="16.5" customHeight="1" x14ac:dyDescent="0.25">
      <c r="A2" s="146" t="s">
        <v>0</v>
      </c>
      <c r="B2" s="146"/>
      <c r="C2" s="146"/>
      <c r="D2" s="146"/>
      <c r="E2" s="146"/>
      <c r="F2" s="146"/>
      <c r="G2" s="146"/>
      <c r="H2" s="146"/>
    </row>
    <row r="3" spans="1:8" x14ac:dyDescent="0.25">
      <c r="A3" s="138" t="s">
        <v>1</v>
      </c>
      <c r="B3" s="138"/>
      <c r="C3" s="138"/>
      <c r="D3" s="138"/>
      <c r="E3" s="138" t="str">
        <f ca="1">TEXT(TODAY(),"DD/MM/YYYY")</f>
        <v>15/07/2025</v>
      </c>
      <c r="F3" s="138"/>
      <c r="G3" s="138"/>
      <c r="H3" s="138"/>
    </row>
    <row r="4" spans="1:8" ht="15" customHeight="1" x14ac:dyDescent="0.25">
      <c r="A4" s="138" t="s">
        <v>2</v>
      </c>
      <c r="B4" s="138"/>
      <c r="C4" s="138"/>
      <c r="D4" s="138"/>
      <c r="E4" s="138" t="s">
        <v>166</v>
      </c>
      <c r="F4" s="138"/>
      <c r="G4" s="138"/>
      <c r="H4" s="138"/>
    </row>
    <row r="5" spans="1:8" x14ac:dyDescent="0.25">
      <c r="A5" s="138" t="s">
        <v>3</v>
      </c>
      <c r="B5" s="138"/>
      <c r="C5" s="138"/>
      <c r="D5" s="138"/>
      <c r="E5" s="144">
        <v>45847</v>
      </c>
      <c r="F5" s="138"/>
      <c r="G5" s="138"/>
      <c r="H5" s="138"/>
    </row>
    <row r="6" spans="1:8" ht="16.5" customHeight="1" x14ac:dyDescent="0.25">
      <c r="A6" s="138" t="s">
        <v>4</v>
      </c>
      <c r="B6" s="138"/>
      <c r="C6" s="138"/>
      <c r="D6" s="138"/>
      <c r="E6" s="138" t="s">
        <v>199</v>
      </c>
      <c r="F6" s="138"/>
      <c r="G6" s="138"/>
      <c r="H6" s="138"/>
    </row>
    <row r="7" spans="1:8" ht="15" customHeight="1" x14ac:dyDescent="0.25">
      <c r="A7" s="138" t="s">
        <v>5</v>
      </c>
      <c r="B7" s="138"/>
      <c r="C7" s="138"/>
      <c r="D7" s="138"/>
      <c r="E7" s="138" t="str">
        <f>E6</f>
        <v>Macrotech Developers Limited</v>
      </c>
      <c r="F7" s="138"/>
      <c r="G7" s="138"/>
      <c r="H7" s="138"/>
    </row>
    <row r="8" spans="1:8" x14ac:dyDescent="0.25">
      <c r="A8" s="138" t="s">
        <v>6</v>
      </c>
      <c r="B8" s="138"/>
      <c r="C8" s="138"/>
      <c r="D8" s="138"/>
      <c r="E8" s="116" t="s">
        <v>196</v>
      </c>
      <c r="F8" s="116"/>
      <c r="G8" s="116"/>
      <c r="H8" s="116"/>
    </row>
    <row r="9" spans="1:8" x14ac:dyDescent="0.25">
      <c r="A9" s="138" t="s">
        <v>122</v>
      </c>
      <c r="B9" s="138"/>
      <c r="C9" s="138"/>
      <c r="D9" s="138"/>
      <c r="E9" s="138" t="s">
        <v>167</v>
      </c>
      <c r="F9" s="138"/>
      <c r="G9" s="138"/>
      <c r="H9" s="138"/>
    </row>
    <row r="10" spans="1:8" x14ac:dyDescent="0.25">
      <c r="A10" s="138" t="s">
        <v>7</v>
      </c>
      <c r="B10" s="138"/>
      <c r="C10" s="138"/>
      <c r="D10" s="138"/>
      <c r="E10" s="103" t="s">
        <v>197</v>
      </c>
      <c r="F10" s="138"/>
      <c r="G10" s="138"/>
      <c r="H10" s="138"/>
    </row>
    <row r="11" spans="1:8" x14ac:dyDescent="0.25">
      <c r="A11" s="138" t="s">
        <v>8</v>
      </c>
      <c r="B11" s="138"/>
      <c r="C11" s="138"/>
      <c r="D11" s="138"/>
      <c r="E11" s="103" t="s">
        <v>168</v>
      </c>
      <c r="F11" s="103"/>
      <c r="G11" s="103"/>
      <c r="H11" s="103"/>
    </row>
    <row r="12" spans="1:8" x14ac:dyDescent="0.25">
      <c r="A12" s="138" t="s">
        <v>9</v>
      </c>
      <c r="B12" s="138"/>
      <c r="C12" s="138"/>
      <c r="D12" s="138"/>
      <c r="E12" s="103" t="s">
        <v>198</v>
      </c>
      <c r="F12" s="138"/>
      <c r="G12" s="138"/>
      <c r="H12" s="138"/>
    </row>
    <row r="13" spans="1:8" ht="50.25" customHeight="1" x14ac:dyDescent="0.25">
      <c r="A13" s="103" t="s">
        <v>10</v>
      </c>
      <c r="B13" s="103"/>
      <c r="C13" s="103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Tulip C &amp; D, Survey No.55/2A P, 55/3P, 139/1P, 26/B, 29/1A/1, 29/2,….., 169/1, 170 &amp; Others., near Lodha Codename Golden Sunrise, Khoni Taloja road, Taloja Bypass Phata, Khoni, Kalyan east, Kalyan, Thane - 421204.</v>
      </c>
      <c r="D13" s="103"/>
      <c r="E13" s="103"/>
      <c r="F13" s="103"/>
      <c r="G13" s="103"/>
      <c r="H13" s="103"/>
    </row>
    <row r="14" spans="1:8" x14ac:dyDescent="0.25">
      <c r="A14" s="103" t="s">
        <v>169</v>
      </c>
      <c r="B14" s="103"/>
      <c r="C14" s="103" t="s">
        <v>201</v>
      </c>
      <c r="D14" s="103"/>
      <c r="E14" s="103"/>
      <c r="F14" s="103"/>
      <c r="G14" s="103"/>
      <c r="H14" s="103"/>
    </row>
    <row r="15" spans="1:8" ht="15.75" customHeight="1" x14ac:dyDescent="0.25">
      <c r="A15" s="98" t="s">
        <v>162</v>
      </c>
      <c r="B15" s="99"/>
      <c r="C15" s="98" t="s">
        <v>222</v>
      </c>
      <c r="D15" s="100"/>
      <c r="E15" s="100"/>
      <c r="F15" s="100"/>
      <c r="G15" s="100"/>
      <c r="H15" s="99"/>
    </row>
    <row r="16" spans="1:8" ht="15.75" customHeight="1" x14ac:dyDescent="0.25">
      <c r="A16" s="103" t="s">
        <v>11</v>
      </c>
      <c r="B16" s="103"/>
      <c r="C16" s="138" t="s">
        <v>202</v>
      </c>
      <c r="D16" s="138"/>
      <c r="E16" s="103" t="s">
        <v>163</v>
      </c>
      <c r="F16" s="103"/>
      <c r="G16" s="103" t="s">
        <v>200</v>
      </c>
      <c r="H16" s="103"/>
    </row>
    <row r="17" spans="1:8" x14ac:dyDescent="0.25">
      <c r="A17" s="138" t="s">
        <v>13</v>
      </c>
      <c r="B17" s="138"/>
      <c r="C17" s="103" t="s">
        <v>179</v>
      </c>
      <c r="D17" s="103"/>
      <c r="E17" s="103" t="s">
        <v>12</v>
      </c>
      <c r="F17" s="103"/>
      <c r="G17" s="143" t="s">
        <v>171</v>
      </c>
      <c r="H17" s="143"/>
    </row>
    <row r="18" spans="1:8" x14ac:dyDescent="0.25">
      <c r="A18" s="101" t="s">
        <v>74</v>
      </c>
      <c r="B18" s="101"/>
      <c r="C18" s="103" t="s">
        <v>170</v>
      </c>
      <c r="D18" s="103"/>
      <c r="E18" s="103" t="s">
        <v>14</v>
      </c>
      <c r="F18" s="103"/>
      <c r="G18" s="103">
        <v>421204</v>
      </c>
      <c r="H18" s="103"/>
    </row>
    <row r="19" spans="1:8" ht="32.25" customHeight="1" x14ac:dyDescent="0.25">
      <c r="A19" s="101" t="s">
        <v>123</v>
      </c>
      <c r="B19" s="101"/>
      <c r="C19" s="103" t="s">
        <v>221</v>
      </c>
      <c r="D19" s="103"/>
      <c r="E19" s="103" t="s">
        <v>15</v>
      </c>
      <c r="F19" s="103"/>
      <c r="G19" s="103" t="s">
        <v>223</v>
      </c>
      <c r="H19" s="103"/>
    </row>
    <row r="20" spans="1:8" ht="15" customHeight="1" x14ac:dyDescent="0.25">
      <c r="A20" s="139" t="s">
        <v>76</v>
      </c>
      <c r="B20" s="139"/>
      <c r="C20" s="139"/>
      <c r="D20" s="139"/>
      <c r="E20" s="138" t="s">
        <v>16</v>
      </c>
      <c r="F20" s="138"/>
      <c r="G20" s="138"/>
      <c r="H20" s="138"/>
    </row>
    <row r="21" spans="1:8" ht="18.75" customHeight="1" x14ac:dyDescent="0.25">
      <c r="A21" s="139"/>
      <c r="B21" s="139"/>
      <c r="C21" s="139"/>
      <c r="D21" s="139"/>
      <c r="E21" s="138"/>
      <c r="F21" s="138"/>
      <c r="G21" s="138"/>
      <c r="H21" s="138"/>
    </row>
    <row r="22" spans="1:8" ht="15" customHeight="1" x14ac:dyDescent="0.25">
      <c r="A22" s="139" t="s">
        <v>17</v>
      </c>
      <c r="B22" s="139"/>
      <c r="C22" s="139"/>
      <c r="D22" s="139"/>
      <c r="E22" s="103" t="s">
        <v>18</v>
      </c>
      <c r="F22" s="103"/>
      <c r="G22" s="103"/>
      <c r="H22" s="103"/>
    </row>
    <row r="23" spans="1:8" ht="15" customHeight="1" x14ac:dyDescent="0.25">
      <c r="A23" s="101" t="s">
        <v>19</v>
      </c>
      <c r="B23" s="101"/>
      <c r="C23" s="101"/>
      <c r="D23" s="101"/>
      <c r="E23" s="103" t="str">
        <f>IF(AND(G17="Mumbai"),"Upper Class","Middle Class")</f>
        <v>Middle Class</v>
      </c>
      <c r="F23" s="103"/>
      <c r="G23" s="103"/>
      <c r="H23" s="103"/>
    </row>
    <row r="24" spans="1:8" x14ac:dyDescent="0.25">
      <c r="A24" s="101" t="s">
        <v>20</v>
      </c>
      <c r="B24" s="101"/>
      <c r="C24" s="101"/>
      <c r="D24" s="101"/>
      <c r="E24" s="103" t="s">
        <v>21</v>
      </c>
      <c r="F24" s="103"/>
      <c r="G24" s="103"/>
      <c r="H24" s="103"/>
    </row>
    <row r="25" spans="1:8" ht="15.75" customHeight="1" x14ac:dyDescent="0.25">
      <c r="A25" s="101" t="s">
        <v>22</v>
      </c>
      <c r="B25" s="101"/>
      <c r="C25" s="101"/>
      <c r="D25" s="101"/>
      <c r="E25" s="103" t="str">
        <f>IF(AND(G17="Mumbai"),"Developed","Developing")</f>
        <v>Developing</v>
      </c>
      <c r="F25" s="103"/>
      <c r="G25" s="103"/>
      <c r="H25" s="103"/>
    </row>
    <row r="26" spans="1:8" x14ac:dyDescent="0.25">
      <c r="A26" s="101" t="s">
        <v>23</v>
      </c>
      <c r="B26" s="101"/>
      <c r="C26" s="101"/>
      <c r="D26" s="101"/>
      <c r="E26" s="103" t="s">
        <v>24</v>
      </c>
      <c r="F26" s="103"/>
      <c r="G26" s="103"/>
      <c r="H26" s="103"/>
    </row>
    <row r="27" spans="1:8" ht="15.75" customHeight="1" x14ac:dyDescent="0.25">
      <c r="A27" s="101" t="s">
        <v>81</v>
      </c>
      <c r="B27" s="101"/>
      <c r="C27" s="101"/>
      <c r="D27" s="101"/>
      <c r="E27" s="103" t="s">
        <v>82</v>
      </c>
      <c r="F27" s="103"/>
      <c r="G27" s="103"/>
      <c r="H27" s="103"/>
    </row>
    <row r="28" spans="1:8" ht="15" customHeight="1" x14ac:dyDescent="0.25">
      <c r="A28" s="101" t="s">
        <v>32</v>
      </c>
      <c r="B28" s="101"/>
      <c r="C28" s="101"/>
      <c r="D28" s="101"/>
      <c r="E28" s="10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103"/>
      <c r="G28" s="103"/>
      <c r="H28" s="103"/>
    </row>
    <row r="29" spans="1:8" ht="15.75" customHeight="1" x14ac:dyDescent="0.25">
      <c r="A29" s="101" t="s">
        <v>93</v>
      </c>
      <c r="B29" s="101"/>
      <c r="C29" s="101"/>
      <c r="D29" s="101"/>
      <c r="E29" s="103" t="s">
        <v>33</v>
      </c>
      <c r="F29" s="103"/>
      <c r="G29" s="103"/>
      <c r="H29" s="103"/>
    </row>
    <row r="30" spans="1:8" s="20" customFormat="1" x14ac:dyDescent="0.25">
      <c r="A30" s="142" t="s">
        <v>94</v>
      </c>
      <c r="B30" s="142"/>
      <c r="C30" s="141" t="s">
        <v>204</v>
      </c>
      <c r="D30" s="141"/>
      <c r="E30" s="141"/>
      <c r="F30" s="141" t="s">
        <v>30</v>
      </c>
      <c r="G30" s="141"/>
      <c r="H30" s="141"/>
    </row>
    <row r="31" spans="1:8" s="20" customFormat="1" x14ac:dyDescent="0.25">
      <c r="A31" s="121" t="s">
        <v>25</v>
      </c>
      <c r="B31" s="121" t="s">
        <v>29</v>
      </c>
      <c r="C31" s="113" t="s">
        <v>206</v>
      </c>
      <c r="D31" s="113"/>
      <c r="E31" s="113"/>
      <c r="F31" s="113" t="s">
        <v>180</v>
      </c>
      <c r="G31" s="113"/>
      <c r="H31" s="113"/>
    </row>
    <row r="32" spans="1:8" x14ac:dyDescent="0.25">
      <c r="A32" s="121" t="s">
        <v>26</v>
      </c>
      <c r="B32" s="121" t="s">
        <v>29</v>
      </c>
      <c r="C32" s="113" t="s">
        <v>205</v>
      </c>
      <c r="D32" s="113"/>
      <c r="E32" s="113"/>
      <c r="F32" s="113" t="s">
        <v>180</v>
      </c>
      <c r="G32" s="113"/>
      <c r="H32" s="113"/>
    </row>
    <row r="33" spans="1:8" s="20" customFormat="1" x14ac:dyDescent="0.25">
      <c r="A33" s="121" t="s">
        <v>28</v>
      </c>
      <c r="B33" s="121" t="s">
        <v>29</v>
      </c>
      <c r="C33" s="113" t="s">
        <v>207</v>
      </c>
      <c r="D33" s="113"/>
      <c r="E33" s="113"/>
      <c r="F33" s="113" t="s">
        <v>180</v>
      </c>
      <c r="G33" s="113"/>
      <c r="H33" s="113"/>
    </row>
    <row r="34" spans="1:8" x14ac:dyDescent="0.25">
      <c r="A34" s="121" t="s">
        <v>27</v>
      </c>
      <c r="B34" s="121" t="s">
        <v>29</v>
      </c>
      <c r="C34" s="113" t="s">
        <v>205</v>
      </c>
      <c r="D34" s="113"/>
      <c r="E34" s="113"/>
      <c r="F34" s="113" t="s">
        <v>181</v>
      </c>
      <c r="G34" s="113"/>
      <c r="H34" s="113"/>
    </row>
    <row r="35" spans="1:8" x14ac:dyDescent="0.25">
      <c r="A35" s="101" t="s">
        <v>31</v>
      </c>
      <c r="B35" s="101"/>
      <c r="C35" s="101"/>
      <c r="D35" s="101"/>
      <c r="E35" s="101"/>
      <c r="F35" s="101"/>
      <c r="G35" s="101"/>
      <c r="H35" s="101"/>
    </row>
    <row r="36" spans="1:8" ht="15.75" customHeight="1" x14ac:dyDescent="0.25">
      <c r="A36" s="101" t="s">
        <v>190</v>
      </c>
      <c r="B36" s="101"/>
      <c r="C36" s="123" t="s">
        <v>225</v>
      </c>
      <c r="D36" s="123"/>
      <c r="E36" s="123"/>
      <c r="F36" s="123"/>
      <c r="G36" s="123"/>
      <c r="H36" s="123"/>
    </row>
    <row r="37" spans="1:8" s="57" customFormat="1" x14ac:dyDescent="0.25">
      <c r="A37" s="101" t="s">
        <v>161</v>
      </c>
      <c r="B37" s="101"/>
      <c r="C37" s="102" t="s">
        <v>203</v>
      </c>
      <c r="D37" s="103"/>
      <c r="E37" s="103"/>
      <c r="F37" s="103"/>
      <c r="G37" s="103"/>
      <c r="H37" s="103"/>
    </row>
    <row r="38" spans="1:8" ht="15" customHeight="1" x14ac:dyDescent="0.25">
      <c r="A38" s="122" t="s">
        <v>34</v>
      </c>
      <c r="B38" s="122"/>
      <c r="C38" s="122"/>
      <c r="D38" s="122"/>
      <c r="E38" s="122"/>
      <c r="F38" s="122"/>
      <c r="G38" s="122"/>
      <c r="H38" s="122"/>
    </row>
    <row r="39" spans="1:8" x14ac:dyDescent="0.25">
      <c r="A39" s="101" t="s">
        <v>35</v>
      </c>
      <c r="B39" s="101"/>
      <c r="C39" s="101"/>
      <c r="D39" s="101"/>
      <c r="E39" s="112">
        <v>23573.35</v>
      </c>
      <c r="F39" s="112"/>
      <c r="G39" s="112"/>
      <c r="H39" s="112"/>
    </row>
    <row r="40" spans="1:8" x14ac:dyDescent="0.25">
      <c r="A40" s="101" t="s">
        <v>36</v>
      </c>
      <c r="B40" s="101"/>
      <c r="C40" s="101"/>
      <c r="D40" s="101"/>
      <c r="E40" s="136">
        <v>1.8</v>
      </c>
      <c r="F40" s="136"/>
      <c r="G40" s="136"/>
      <c r="H40" s="136"/>
    </row>
    <row r="41" spans="1:8" x14ac:dyDescent="0.25">
      <c r="A41" s="101" t="s">
        <v>37</v>
      </c>
      <c r="B41" s="101"/>
      <c r="C41" s="101"/>
      <c r="D41" s="101"/>
      <c r="E41" s="136">
        <f>E43/E39-E40</f>
        <v>3.3802387017543118</v>
      </c>
      <c r="F41" s="136"/>
      <c r="G41" s="136"/>
      <c r="H41" s="136"/>
    </row>
    <row r="42" spans="1:8" x14ac:dyDescent="0.25">
      <c r="A42" s="101" t="s">
        <v>38</v>
      </c>
      <c r="B42" s="101"/>
      <c r="C42" s="101"/>
      <c r="D42" s="101"/>
      <c r="E42" s="136">
        <f>E40+E41</f>
        <v>5.1802387017543117</v>
      </c>
      <c r="F42" s="136"/>
      <c r="G42" s="136"/>
      <c r="H42" s="136"/>
    </row>
    <row r="43" spans="1:8" x14ac:dyDescent="0.25">
      <c r="A43" s="101" t="s">
        <v>92</v>
      </c>
      <c r="B43" s="101"/>
      <c r="C43" s="101"/>
      <c r="D43" s="101"/>
      <c r="E43" s="137">
        <v>122115.58</v>
      </c>
      <c r="F43" s="137"/>
      <c r="G43" s="137"/>
      <c r="H43" s="137"/>
    </row>
    <row r="44" spans="1:8" x14ac:dyDescent="0.25">
      <c r="A44" s="138" t="s">
        <v>39</v>
      </c>
      <c r="B44" s="138"/>
      <c r="C44" s="138"/>
      <c r="D44" s="138"/>
      <c r="E44" s="138" t="s">
        <v>191</v>
      </c>
      <c r="F44" s="138"/>
      <c r="G44" s="138"/>
      <c r="H44" s="138"/>
    </row>
    <row r="45" spans="1:8" x14ac:dyDescent="0.25">
      <c r="A45" s="116" t="s">
        <v>40</v>
      </c>
      <c r="B45" s="116"/>
      <c r="C45" s="116"/>
      <c r="D45" s="116"/>
      <c r="E45" s="116"/>
      <c r="F45" s="116"/>
      <c r="G45" s="116"/>
      <c r="H45" s="116"/>
    </row>
    <row r="46" spans="1:8" ht="33.75" customHeight="1" x14ac:dyDescent="0.25">
      <c r="A46" s="98" t="s">
        <v>151</v>
      </c>
      <c r="B46" s="99"/>
      <c r="C46" s="107" t="s">
        <v>172</v>
      </c>
      <c r="D46" s="108"/>
      <c r="E46" s="108"/>
      <c r="F46" s="108"/>
      <c r="G46" s="108"/>
      <c r="H46" s="109"/>
    </row>
    <row r="47" spans="1:8" x14ac:dyDescent="0.25">
      <c r="A47" s="141" t="s">
        <v>220</v>
      </c>
      <c r="B47" s="141"/>
      <c r="C47" s="141"/>
      <c r="D47" s="141"/>
      <c r="E47" s="141"/>
      <c r="F47" s="141"/>
      <c r="G47" s="141"/>
      <c r="H47" s="141"/>
    </row>
    <row r="48" spans="1:8" ht="66" customHeight="1" x14ac:dyDescent="0.25">
      <c r="A48" s="98" t="s">
        <v>41</v>
      </c>
      <c r="B48" s="99"/>
      <c r="C48" s="175" t="s">
        <v>210</v>
      </c>
      <c r="D48" s="176"/>
      <c r="E48" s="177"/>
      <c r="F48" s="48" t="s">
        <v>42</v>
      </c>
      <c r="G48" s="178" t="s">
        <v>228</v>
      </c>
      <c r="H48" s="99"/>
    </row>
    <row r="49" spans="1:14" ht="66.599999999999994" customHeight="1" x14ac:dyDescent="0.25">
      <c r="A49" s="93" t="s">
        <v>43</v>
      </c>
      <c r="B49" s="95"/>
      <c r="C49" s="93" t="str">
        <f>C48</f>
        <v>Ekatmik Nagarvasahat/ Mouje Antarli, Khoni, Hedutane, Kole, Gharivali, Katai &amp; Mangaon, Taluka-Kalyan &amp; Mouje Umbroli, Taluka-Ambernath SSThane/5059</v>
      </c>
      <c r="D49" s="94"/>
      <c r="E49" s="95"/>
      <c r="F49" s="18" t="s">
        <v>42</v>
      </c>
      <c r="G49" s="96" t="str">
        <f>G48</f>
        <v>23/05/2023.</v>
      </c>
      <c r="H49" s="97"/>
    </row>
    <row r="50" spans="1:14" s="21" customFormat="1" ht="46.5" customHeight="1" x14ac:dyDescent="0.25">
      <c r="A50" s="179" t="s">
        <v>192</v>
      </c>
      <c r="B50" s="180"/>
      <c r="C50" s="93" t="s">
        <v>211</v>
      </c>
      <c r="D50" s="94"/>
      <c r="E50" s="95"/>
      <c r="F50" s="18" t="s">
        <v>42</v>
      </c>
      <c r="G50" s="96" t="str">
        <f>G49</f>
        <v>23/05/2023.</v>
      </c>
      <c r="H50" s="97"/>
    </row>
    <row r="51" spans="1:14" s="21" customFormat="1" x14ac:dyDescent="0.25">
      <c r="A51" s="181"/>
      <c r="B51" s="182"/>
      <c r="C51" s="93" t="s">
        <v>209</v>
      </c>
      <c r="D51" s="94"/>
      <c r="E51" s="94"/>
      <c r="F51" s="94"/>
      <c r="G51" s="94"/>
      <c r="H51" s="95"/>
    </row>
    <row r="52" spans="1:14" x14ac:dyDescent="0.25">
      <c r="A52" s="169" t="s">
        <v>44</v>
      </c>
      <c r="B52" s="170"/>
      <c r="C52" s="169" t="s">
        <v>106</v>
      </c>
      <c r="D52" s="171"/>
      <c r="E52" s="170"/>
      <c r="F52" s="42" t="s">
        <v>42</v>
      </c>
      <c r="G52" s="173" t="s">
        <v>29</v>
      </c>
      <c r="H52" s="174"/>
    </row>
    <row r="53" spans="1:14" x14ac:dyDescent="0.25">
      <c r="A53" s="172" t="s">
        <v>46</v>
      </c>
      <c r="B53" s="172"/>
      <c r="C53" s="172"/>
      <c r="D53" s="172"/>
      <c r="E53" s="172"/>
      <c r="F53" s="172"/>
      <c r="G53" s="172"/>
      <c r="H53" s="172"/>
    </row>
    <row r="54" spans="1:14" x14ac:dyDescent="0.25">
      <c r="A54" s="139" t="s">
        <v>91</v>
      </c>
      <c r="B54" s="139"/>
      <c r="C54" s="139"/>
      <c r="D54" s="138">
        <v>14915.38</v>
      </c>
      <c r="E54" s="138"/>
      <c r="F54" s="138"/>
      <c r="G54" s="138"/>
      <c r="H54" s="138"/>
    </row>
    <row r="55" spans="1:14" x14ac:dyDescent="0.25">
      <c r="A55" s="103" t="s">
        <v>47</v>
      </c>
      <c r="B55" s="138"/>
      <c r="C55" s="138"/>
      <c r="D55" s="138" t="s">
        <v>219</v>
      </c>
      <c r="E55" s="138"/>
      <c r="F55" s="138"/>
      <c r="G55" s="138"/>
      <c r="H55" s="138"/>
      <c r="I55" s="22"/>
    </row>
    <row r="56" spans="1:14" ht="30.95" customHeight="1" x14ac:dyDescent="0.25">
      <c r="A56" s="118" t="s">
        <v>48</v>
      </c>
      <c r="B56" s="119"/>
      <c r="C56" s="120"/>
      <c r="D56" s="167" t="s">
        <v>208</v>
      </c>
      <c r="E56" s="168"/>
      <c r="F56" s="168"/>
      <c r="G56" s="168"/>
      <c r="H56" s="168"/>
    </row>
    <row r="57" spans="1:14" ht="30.95" customHeight="1" x14ac:dyDescent="0.25">
      <c r="A57" s="118" t="s">
        <v>89</v>
      </c>
      <c r="B57" s="119"/>
      <c r="C57" s="120"/>
      <c r="D57" s="167" t="s">
        <v>209</v>
      </c>
      <c r="E57" s="168"/>
      <c r="F57" s="168"/>
      <c r="G57" s="168"/>
      <c r="H57" s="168"/>
    </row>
    <row r="58" spans="1:14" ht="15.75" customHeight="1" x14ac:dyDescent="0.25">
      <c r="A58" s="101" t="s">
        <v>45</v>
      </c>
      <c r="B58" s="101"/>
      <c r="C58" s="101"/>
      <c r="D58" s="103" t="s">
        <v>173</v>
      </c>
      <c r="E58" s="103"/>
      <c r="F58" s="103"/>
      <c r="G58" s="103"/>
      <c r="H58" s="103"/>
      <c r="J58" s="23"/>
      <c r="K58" s="22"/>
      <c r="N58" s="22"/>
    </row>
    <row r="59" spans="1:14" ht="15.75" customHeight="1" x14ac:dyDescent="0.25">
      <c r="A59" s="101" t="s">
        <v>87</v>
      </c>
      <c r="B59" s="101"/>
      <c r="C59" s="101"/>
      <c r="D59" s="135" t="str">
        <f>(IF(G52="NA","60 Years After Completion",IF(G52&lt;&gt;"NA",""&amp;60-ROUNDDOWN((E3-G52)/360,0)&amp;" Years"," ")))</f>
        <v>60 Years After Completion</v>
      </c>
      <c r="E59" s="135"/>
      <c r="F59" s="135"/>
      <c r="G59" s="135"/>
      <c r="H59" s="135"/>
      <c r="N59" s="22"/>
    </row>
    <row r="60" spans="1:14" ht="15.75" customHeight="1" x14ac:dyDescent="0.25">
      <c r="A60" s="101" t="s">
        <v>88</v>
      </c>
      <c r="B60" s="101"/>
      <c r="C60" s="101"/>
      <c r="D60" s="103" t="s">
        <v>24</v>
      </c>
      <c r="E60" s="103"/>
      <c r="F60" s="103"/>
      <c r="G60" s="103"/>
      <c r="H60" s="103"/>
      <c r="J60" s="24"/>
      <c r="K60" s="24"/>
    </row>
    <row r="61" spans="1:14" ht="30.75" customHeight="1" x14ac:dyDescent="0.25">
      <c r="A61" s="101" t="s">
        <v>75</v>
      </c>
      <c r="B61" s="101"/>
      <c r="C61" s="101"/>
      <c r="D61" s="103" t="s">
        <v>187</v>
      </c>
      <c r="E61" s="139"/>
      <c r="F61" s="139"/>
      <c r="G61" s="139"/>
      <c r="H61" s="139"/>
    </row>
    <row r="62" spans="1:14" x14ac:dyDescent="0.25">
      <c r="A62" s="139" t="s">
        <v>149</v>
      </c>
      <c r="B62" s="139"/>
      <c r="C62" s="139"/>
      <c r="D62" s="139" t="s">
        <v>29</v>
      </c>
      <c r="E62" s="139"/>
      <c r="F62" s="139"/>
      <c r="G62" s="139"/>
      <c r="H62" s="139"/>
      <c r="I62" s="25"/>
      <c r="J62" s="25"/>
      <c r="K62" s="25"/>
      <c r="L62" s="25"/>
      <c r="M62" s="25"/>
      <c r="N62" s="25"/>
    </row>
    <row r="63" spans="1:14" ht="15.75" customHeight="1" x14ac:dyDescent="0.25">
      <c r="A63" s="101" t="s">
        <v>86</v>
      </c>
      <c r="B63" s="101"/>
      <c r="C63" s="101"/>
      <c r="D63" s="103" t="str">
        <f ca="1">(IF(G69&gt;95%,"Nothing",IF(G69&gt;0%,"Cement, Aggregate, Steel, etc",IF(G69=0%,"Work not yet Started"))))</f>
        <v>Cement, Aggregate, Steel, etc</v>
      </c>
      <c r="E63" s="103"/>
      <c r="F63" s="103"/>
      <c r="G63" s="103"/>
      <c r="H63" s="103"/>
      <c r="J63" s="24"/>
    </row>
    <row r="64" spans="1:14" ht="33.75" customHeight="1" thickBot="1" x14ac:dyDescent="0.3">
      <c r="A64" s="139" t="s">
        <v>119</v>
      </c>
      <c r="B64" s="139"/>
      <c r="C64" s="139"/>
      <c r="D64" s="103" t="str">
        <f ca="1">(IF(D63="Nothing","Yes",IF(D63="Cement, Aggregate, Steel, etc","Under Construction",IF(D63="Work not yet Started","Work not yet Started"))))</f>
        <v>Under Construction</v>
      </c>
      <c r="E64" s="103"/>
      <c r="F64" s="103" t="str">
        <f ca="1">(IF(D63="Nothing","Yes",IF(D63="Cement, Aggregate, Steel, etc","Under Construction",IF(D63="Work not yet Started","Work not yet Started"))))</f>
        <v>Under Construction</v>
      </c>
      <c r="G64" s="103"/>
      <c r="H64" s="103"/>
    </row>
    <row r="65" spans="1:10" ht="15.75" customHeight="1" x14ac:dyDescent="0.25">
      <c r="A65" s="117" t="s">
        <v>141</v>
      </c>
      <c r="B65" s="117"/>
      <c r="C65" s="117" t="s">
        <v>226</v>
      </c>
      <c r="D65" s="117"/>
      <c r="E65" s="117"/>
      <c r="F65" s="117"/>
      <c r="G65" s="117"/>
      <c r="H65" s="117"/>
      <c r="I65" s="66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13 Floor, Painting upto 11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13 Floor, Painting upto 11 Floor</v>
      </c>
    </row>
    <row r="66" spans="1:10" x14ac:dyDescent="0.25">
      <c r="A66" s="63" t="s">
        <v>143</v>
      </c>
      <c r="B66" s="63">
        <v>0</v>
      </c>
      <c r="C66" s="63" t="s">
        <v>73</v>
      </c>
      <c r="D66" s="63">
        <v>1</v>
      </c>
      <c r="E66" s="63" t="s">
        <v>72</v>
      </c>
      <c r="F66" s="63">
        <v>0</v>
      </c>
      <c r="G66" s="63" t="s">
        <v>80</v>
      </c>
      <c r="H66" s="63">
        <f ca="1">--TRIM(RIGHT(SUBSTITUTE(LEFT(C65,_xlfn.AGGREGATE(16,6,FIND({0,1,2,3,4,5,6,7,8,9},C65,ROW(INDIRECT("1:"&amp;LEN(C65)))),1))," ",REPT(" ",LEN(C65))),LEN(C65)))</f>
        <v>14</v>
      </c>
      <c r="I66" s="67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6" customHeight="1" x14ac:dyDescent="0.25">
      <c r="A67" s="116" t="s">
        <v>90</v>
      </c>
      <c r="B67" s="116"/>
      <c r="C67" s="117" t="str">
        <f ca="1">(IF($G$52="NA",I65,"All work Completed. OC Received."))</f>
        <v>Excavation, Plinth, RCC Slab, Brickwork, Internal Plaster, External Plaster Completed, Flooring upto 13 Floor, Painting upto 11 Floor Completed</v>
      </c>
      <c r="D67" s="117"/>
      <c r="E67" s="117"/>
      <c r="F67" s="117"/>
      <c r="G67" s="117"/>
      <c r="H67" s="117"/>
      <c r="I67" s="67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0" ht="15.75" customHeight="1" x14ac:dyDescent="0.25">
      <c r="A68" s="114" t="s">
        <v>49</v>
      </c>
      <c r="B68" s="115"/>
      <c r="C68" s="51" t="s">
        <v>140</v>
      </c>
      <c r="D68" s="51" t="s">
        <v>83</v>
      </c>
      <c r="E68" s="115" t="s">
        <v>85</v>
      </c>
      <c r="F68" s="115"/>
      <c r="G68" s="115" t="s">
        <v>84</v>
      </c>
      <c r="H68" s="140"/>
      <c r="I68" s="14" t="s">
        <v>142</v>
      </c>
      <c r="J68" s="26">
        <f ca="1">H66*25%</f>
        <v>3.5</v>
      </c>
    </row>
    <row r="69" spans="1:10" x14ac:dyDescent="0.25">
      <c r="A69" s="114" t="s">
        <v>129</v>
      </c>
      <c r="B69" s="115"/>
      <c r="C69" s="51">
        <f ca="1">J70</f>
        <v>14</v>
      </c>
      <c r="D69" s="49">
        <f ca="1">((100/H66)*C69)/100</f>
        <v>1</v>
      </c>
      <c r="E69" s="124">
        <f ca="1">(((C70/H66*10)+(40/(D66+F66+H66)*C71)+(7.5/(H66)*C72)+(7.5/(H66)*C73)+(10/H66*C74)+(10/H66*C75)+(5/H66*C76)+(5/H66*C77)+(5/H66*C78))/100)</f>
        <v>0.88214285714285723</v>
      </c>
      <c r="F69" s="125"/>
      <c r="G69" s="124">
        <f ca="1">((((C69/H66)*20)+((C70/H66)*25)+(30/(H66+F66+D66)*C71)+(5/H66*C72)+(5/H66*C73)+(5/H66*C74)+(5/H66*C75)+(0/H66*C76)+(0/H66*C77)+(5/H66*C78))/100)</f>
        <v>0.9464285714285714</v>
      </c>
      <c r="H69" s="130"/>
      <c r="I69" s="14" t="s">
        <v>101</v>
      </c>
      <c r="J69" s="27">
        <f ca="1">H66*50%</f>
        <v>7</v>
      </c>
    </row>
    <row r="70" spans="1:10" x14ac:dyDescent="0.25">
      <c r="A70" s="114" t="s">
        <v>50</v>
      </c>
      <c r="B70" s="115"/>
      <c r="C70" s="56">
        <f ca="1">J78</f>
        <v>14</v>
      </c>
      <c r="D70" s="49">
        <f ca="1">((100/H66)*C70)/100</f>
        <v>1</v>
      </c>
      <c r="E70" s="126"/>
      <c r="F70" s="127"/>
      <c r="G70" s="126"/>
      <c r="H70" s="131"/>
      <c r="I70" s="14" t="s">
        <v>102</v>
      </c>
      <c r="J70" s="27">
        <f ca="1">H66</f>
        <v>14</v>
      </c>
    </row>
    <row r="71" spans="1:10" ht="15.75" customHeight="1" x14ac:dyDescent="0.25">
      <c r="A71" s="114" t="s">
        <v>130</v>
      </c>
      <c r="B71" s="115"/>
      <c r="C71" s="51">
        <v>15</v>
      </c>
      <c r="D71" s="49">
        <f ca="1">((100/(D66+F66+H66))*C71)/100</f>
        <v>1</v>
      </c>
      <c r="E71" s="126"/>
      <c r="F71" s="127"/>
      <c r="G71" s="126"/>
      <c r="H71" s="131"/>
      <c r="I71" s="14" t="s">
        <v>103</v>
      </c>
      <c r="J71" s="28">
        <f ca="1">(IF(B66&gt;1,(H66/(B66+2)),H66/4))</f>
        <v>3.5</v>
      </c>
    </row>
    <row r="72" spans="1:10" ht="15.75" customHeight="1" x14ac:dyDescent="0.25">
      <c r="A72" s="114" t="s">
        <v>137</v>
      </c>
      <c r="B72" s="115" t="s">
        <v>131</v>
      </c>
      <c r="C72" s="51">
        <f>C71-1</f>
        <v>14</v>
      </c>
      <c r="D72" s="49">
        <f ca="1">((100/H66)*C72)/100</f>
        <v>1</v>
      </c>
      <c r="E72" s="126"/>
      <c r="F72" s="127"/>
      <c r="G72" s="126"/>
      <c r="H72" s="131"/>
      <c r="I72" s="14" t="s">
        <v>104</v>
      </c>
      <c r="J72" s="28">
        <f ca="1">(IF(B66&gt;1,(H66/(B66+2)+J71),H66/4+J71))</f>
        <v>7</v>
      </c>
    </row>
    <row r="73" spans="1:10" ht="15.75" customHeight="1" x14ac:dyDescent="0.25">
      <c r="A73" s="114" t="s">
        <v>138</v>
      </c>
      <c r="B73" s="115" t="s">
        <v>131</v>
      </c>
      <c r="C73" s="56">
        <v>14</v>
      </c>
      <c r="D73" s="49">
        <f ca="1">((100/H66)*C73)/100</f>
        <v>1</v>
      </c>
      <c r="E73" s="126"/>
      <c r="F73" s="127"/>
      <c r="G73" s="126"/>
      <c r="H73" s="131"/>
      <c r="I73" s="14" t="s">
        <v>147</v>
      </c>
      <c r="J73" s="28">
        <f>(IF(B66&gt;1,(H66/(B66+2)+J72),0))</f>
        <v>0</v>
      </c>
    </row>
    <row r="74" spans="1:10" ht="15" customHeight="1" x14ac:dyDescent="0.25">
      <c r="A74" s="114" t="s">
        <v>136</v>
      </c>
      <c r="B74" s="115" t="s">
        <v>133</v>
      </c>
      <c r="C74" s="56">
        <v>14</v>
      </c>
      <c r="D74" s="49">
        <f ca="1">((100/(H66))*C74)/100</f>
        <v>1</v>
      </c>
      <c r="E74" s="126"/>
      <c r="F74" s="127"/>
      <c r="G74" s="126"/>
      <c r="H74" s="131"/>
      <c r="I74" s="14" t="s">
        <v>144</v>
      </c>
      <c r="J74" s="28">
        <f>(IF(B66&gt;2,(H66/(B66+2)+J73),0))</f>
        <v>0</v>
      </c>
    </row>
    <row r="75" spans="1:10" ht="15.75" customHeight="1" x14ac:dyDescent="0.25">
      <c r="A75" s="114" t="s">
        <v>132</v>
      </c>
      <c r="B75" s="115" t="s">
        <v>132</v>
      </c>
      <c r="C75" s="51">
        <v>13</v>
      </c>
      <c r="D75" s="49">
        <f ca="1">((100/H66)*C75)/100</f>
        <v>0.9285714285714286</v>
      </c>
      <c r="E75" s="126"/>
      <c r="F75" s="127"/>
      <c r="G75" s="126"/>
      <c r="H75" s="131"/>
      <c r="I75" s="14" t="s">
        <v>145</v>
      </c>
      <c r="J75" s="29">
        <f>(IF(B66&gt;3,(H66/(B66+2)+J74),0))</f>
        <v>0</v>
      </c>
    </row>
    <row r="76" spans="1:10" ht="15.75" customHeight="1" x14ac:dyDescent="0.25">
      <c r="A76" s="114" t="s">
        <v>139</v>
      </c>
      <c r="B76" s="115"/>
      <c r="C76" s="51">
        <v>11</v>
      </c>
      <c r="D76" s="49">
        <f ca="1">((100/H66)*C76)/100</f>
        <v>0.7857142857142857</v>
      </c>
      <c r="E76" s="126"/>
      <c r="F76" s="127"/>
      <c r="G76" s="126"/>
      <c r="H76" s="131"/>
      <c r="I76" s="14" t="s">
        <v>146</v>
      </c>
      <c r="J76" s="28">
        <f>(IF(B66&gt;4,(H66/(B66+2)+J75),0))</f>
        <v>0</v>
      </c>
    </row>
    <row r="77" spans="1:10" ht="15.75" customHeight="1" x14ac:dyDescent="0.25">
      <c r="A77" s="114" t="s">
        <v>134</v>
      </c>
      <c r="B77" s="115" t="s">
        <v>134</v>
      </c>
      <c r="C77" s="51">
        <v>0</v>
      </c>
      <c r="D77" s="49">
        <f ca="1">((100/(H66))*C77)/100</f>
        <v>0</v>
      </c>
      <c r="E77" s="126"/>
      <c r="F77" s="127"/>
      <c r="G77" s="126"/>
      <c r="H77" s="131"/>
      <c r="I77" s="14" t="s">
        <v>148</v>
      </c>
      <c r="J77" s="28">
        <f ca="1">(IF(B66=1,(H66/(B66+3)+J72),IF(B66=0,(H66/4+J72),IF(B66&gt;1,0))))</f>
        <v>10.5</v>
      </c>
    </row>
    <row r="78" spans="1:10" ht="16.5" thickBot="1" x14ac:dyDescent="0.3">
      <c r="A78" s="133" t="s">
        <v>135</v>
      </c>
      <c r="B78" s="134"/>
      <c r="C78" s="52">
        <v>0</v>
      </c>
      <c r="D78" s="50">
        <f ca="1">((100/(H66))*C78)/100</f>
        <v>0</v>
      </c>
      <c r="E78" s="128"/>
      <c r="F78" s="129"/>
      <c r="G78" s="128"/>
      <c r="H78" s="132"/>
      <c r="I78" s="15" t="s">
        <v>105</v>
      </c>
      <c r="J78" s="30">
        <f ca="1">(IF(B66&gt;1.5,(H66/(B66+2)+J72+MAX(0,J73-J72)+MAX(0,J74-J73)+MAX(0,J75-J74)+MAX(0,J76-J75)+MAX(0,J77-J76)),IF(B66=1,(H66/(B66+3)+J77),IF(B66=0,H66/4+J77))))</f>
        <v>14</v>
      </c>
    </row>
    <row r="79" spans="1:10" ht="15.75" customHeight="1" x14ac:dyDescent="0.25">
      <c r="A79" s="183" t="s">
        <v>141</v>
      </c>
      <c r="B79" s="184"/>
      <c r="C79" s="185" t="s">
        <v>227</v>
      </c>
      <c r="D79" s="186"/>
      <c r="E79" s="186"/>
      <c r="F79" s="186"/>
      <c r="G79" s="186"/>
      <c r="H79" s="187"/>
      <c r="I79" s="44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Plaster, External Plaster Completed, Flooring upto 13 Floor, Painting upto 9 Floor Completed</v>
      </c>
      <c r="J79" s="45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Flooring upto 13 Floor, Painting upto 9 Floor</v>
      </c>
    </row>
    <row r="80" spans="1:10" x14ac:dyDescent="0.25">
      <c r="A80" s="16" t="s">
        <v>143</v>
      </c>
      <c r="B80" s="60">
        <v>0</v>
      </c>
      <c r="C80" s="60" t="s">
        <v>73</v>
      </c>
      <c r="D80" s="60">
        <v>1</v>
      </c>
      <c r="E80" s="60" t="s">
        <v>72</v>
      </c>
      <c r="F80" s="60">
        <v>0</v>
      </c>
      <c r="G80" s="60" t="s">
        <v>80</v>
      </c>
      <c r="H80" s="17">
        <f ca="1">--TRIM(RIGHT(SUBSTITUTE(LEFT(C79,_xlfn.AGGREGATE(16,6,FIND({0,1,2,3,4,5,6,7,8,9},C79,ROW(INDIRECT("1:"&amp;LEN(C79)))),1))," ",REPT(" ",LEN(C79))),LEN(C79)))</f>
        <v>14</v>
      </c>
      <c r="I80" s="46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Plaster, External Plaster</v>
      </c>
      <c r="J80" s="47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1" ht="32.25" customHeight="1" x14ac:dyDescent="0.25">
      <c r="A81" s="188" t="s">
        <v>90</v>
      </c>
      <c r="B81" s="116"/>
      <c r="C81" s="117" t="str">
        <f ca="1">(IF($G$52="NA",I79,"All work Completed. OC Received."))</f>
        <v>Excavation, Plinth, RCC Slab, Brickwork, Internal Plaster, External Plaster Completed, Flooring upto 13 Floor, Painting upto 9 Floor Completed</v>
      </c>
      <c r="D81" s="117"/>
      <c r="E81" s="117"/>
      <c r="F81" s="117"/>
      <c r="G81" s="117"/>
      <c r="H81" s="189"/>
      <c r="I81" s="46" t="str">
        <f ca="1">IF(I80&lt;&gt;""," Completed","")</f>
        <v xml:space="preserve"> Completed</v>
      </c>
      <c r="J81" s="47" t="str">
        <f ca="1">IF(J79&lt;&gt;"","Completed","")</f>
        <v>Completed</v>
      </c>
    </row>
    <row r="82" spans="1:11" ht="15.75" customHeight="1" x14ac:dyDescent="0.25">
      <c r="A82" s="114" t="s">
        <v>49</v>
      </c>
      <c r="B82" s="115"/>
      <c r="C82" s="59" t="s">
        <v>140</v>
      </c>
      <c r="D82" s="59" t="s">
        <v>83</v>
      </c>
      <c r="E82" s="115" t="s">
        <v>85</v>
      </c>
      <c r="F82" s="115"/>
      <c r="G82" s="115" t="s">
        <v>84</v>
      </c>
      <c r="H82" s="140"/>
      <c r="I82" s="14" t="s">
        <v>142</v>
      </c>
      <c r="J82" s="26">
        <f ca="1">H80*25%</f>
        <v>3.5</v>
      </c>
    </row>
    <row r="83" spans="1:11" x14ac:dyDescent="0.25">
      <c r="A83" s="114" t="s">
        <v>129</v>
      </c>
      <c r="B83" s="115"/>
      <c r="C83" s="59">
        <f ca="1">J84</f>
        <v>14</v>
      </c>
      <c r="D83" s="49">
        <f ca="1">((100/H80)*C83)/100</f>
        <v>1</v>
      </c>
      <c r="E83" s="124">
        <f ca="1">(((C84/H80*10)+(40/(D80+F80+H80)*C85)+(7.5/(H80)*C86)+(7.5/(H80)*C87)+(10/H80*C88)+(10/H80*C89)+(5/H80*C90)+(5/H80*C91)+(5/H80*C92))/100)</f>
        <v>0.875</v>
      </c>
      <c r="F83" s="125"/>
      <c r="G83" s="124">
        <f ca="1">((((C83/H80)*20)+((C84/H80)*25)+(30/(H80+F80+D80)*C85)+(5/H80*C86)+(5/H80*C87)+(5/H80*C88)+(5/H80*C89)+(0/H80*C90)+(0/H80*C91)+(5/H80*C92))/100)</f>
        <v>0.9464285714285714</v>
      </c>
      <c r="H83" s="130"/>
      <c r="I83" s="14" t="s">
        <v>101</v>
      </c>
      <c r="J83" s="27">
        <f ca="1">H80*50%</f>
        <v>7</v>
      </c>
    </row>
    <row r="84" spans="1:11" x14ac:dyDescent="0.25">
      <c r="A84" s="114" t="s">
        <v>50</v>
      </c>
      <c r="B84" s="115"/>
      <c r="C84" s="56">
        <f ca="1">J92</f>
        <v>14</v>
      </c>
      <c r="D84" s="49">
        <f ca="1">((100/H80)*C84)/100</f>
        <v>1</v>
      </c>
      <c r="E84" s="126"/>
      <c r="F84" s="127"/>
      <c r="G84" s="126"/>
      <c r="H84" s="131"/>
      <c r="I84" s="14" t="s">
        <v>102</v>
      </c>
      <c r="J84" s="27">
        <f ca="1">H80</f>
        <v>14</v>
      </c>
    </row>
    <row r="85" spans="1:11" ht="15.75" customHeight="1" x14ac:dyDescent="0.25">
      <c r="A85" s="114" t="s">
        <v>130</v>
      </c>
      <c r="B85" s="115"/>
      <c r="C85" s="59">
        <v>15</v>
      </c>
      <c r="D85" s="49">
        <f ca="1">((100/(D80+F80+H80))*C85)/100</f>
        <v>1</v>
      </c>
      <c r="E85" s="126"/>
      <c r="F85" s="127"/>
      <c r="G85" s="126"/>
      <c r="H85" s="131"/>
      <c r="I85" s="14" t="s">
        <v>103</v>
      </c>
      <c r="J85" s="28">
        <f ca="1">(IF(B80&gt;1,(H80/(B80+2)),H80/4))</f>
        <v>3.5</v>
      </c>
    </row>
    <row r="86" spans="1:11" ht="15.75" customHeight="1" x14ac:dyDescent="0.25">
      <c r="A86" s="114" t="s">
        <v>137</v>
      </c>
      <c r="B86" s="115" t="s">
        <v>131</v>
      </c>
      <c r="C86" s="59">
        <f>C85-1</f>
        <v>14</v>
      </c>
      <c r="D86" s="49">
        <f ca="1">((100/H80)*C86)/100</f>
        <v>1</v>
      </c>
      <c r="E86" s="126"/>
      <c r="F86" s="127"/>
      <c r="G86" s="126"/>
      <c r="H86" s="131"/>
      <c r="I86" s="14" t="s">
        <v>104</v>
      </c>
      <c r="J86" s="28">
        <f ca="1">(IF(B80&gt;1,(H80/(B80+2)+J85),H80/4+J85))</f>
        <v>7</v>
      </c>
    </row>
    <row r="87" spans="1:11" ht="15.75" customHeight="1" x14ac:dyDescent="0.25">
      <c r="A87" s="114" t="s">
        <v>138</v>
      </c>
      <c r="B87" s="115" t="s">
        <v>131</v>
      </c>
      <c r="C87" s="56">
        <v>14</v>
      </c>
      <c r="D87" s="49">
        <f ca="1">((100/H80)*C87)/100</f>
        <v>1</v>
      </c>
      <c r="E87" s="126"/>
      <c r="F87" s="127"/>
      <c r="G87" s="126"/>
      <c r="H87" s="131"/>
      <c r="I87" s="14" t="s">
        <v>147</v>
      </c>
      <c r="J87" s="28">
        <f>(IF(B80&gt;1,(H80/(B80+2)+J86),0))</f>
        <v>0</v>
      </c>
    </row>
    <row r="88" spans="1:11" ht="15" customHeight="1" x14ac:dyDescent="0.25">
      <c r="A88" s="114" t="s">
        <v>136</v>
      </c>
      <c r="B88" s="115" t="s">
        <v>133</v>
      </c>
      <c r="C88" s="56">
        <v>14</v>
      </c>
      <c r="D88" s="49">
        <f ca="1">((100/(H80))*C88)/100</f>
        <v>1</v>
      </c>
      <c r="E88" s="126"/>
      <c r="F88" s="127"/>
      <c r="G88" s="126"/>
      <c r="H88" s="131"/>
      <c r="I88" s="14" t="s">
        <v>144</v>
      </c>
      <c r="J88" s="28">
        <f>(IF(B80&gt;2,(H80/(B80+2)+J87),0))</f>
        <v>0</v>
      </c>
    </row>
    <row r="89" spans="1:11" ht="15.75" customHeight="1" x14ac:dyDescent="0.25">
      <c r="A89" s="114" t="s">
        <v>132</v>
      </c>
      <c r="B89" s="115" t="s">
        <v>132</v>
      </c>
      <c r="C89" s="59">
        <v>13</v>
      </c>
      <c r="D89" s="49">
        <f ca="1">((100/H80)*C89)/100</f>
        <v>0.9285714285714286</v>
      </c>
      <c r="E89" s="126"/>
      <c r="F89" s="127"/>
      <c r="G89" s="126"/>
      <c r="H89" s="131"/>
      <c r="I89" s="14" t="s">
        <v>145</v>
      </c>
      <c r="J89" s="29">
        <f>(IF(B80&gt;3,(H80/(B80+2)+J88),0))</f>
        <v>0</v>
      </c>
    </row>
    <row r="90" spans="1:11" ht="15.75" customHeight="1" x14ac:dyDescent="0.25">
      <c r="A90" s="114" t="s">
        <v>139</v>
      </c>
      <c r="B90" s="115"/>
      <c r="C90" s="59">
        <v>9</v>
      </c>
      <c r="D90" s="49">
        <f ca="1">((100/H80)*C90)/100</f>
        <v>0.6428571428571429</v>
      </c>
      <c r="E90" s="126"/>
      <c r="F90" s="127"/>
      <c r="G90" s="126"/>
      <c r="H90" s="131"/>
      <c r="I90" s="14" t="s">
        <v>146</v>
      </c>
      <c r="J90" s="28">
        <f>(IF(B80&gt;4,(H80/(B80+2)+J89),0))</f>
        <v>0</v>
      </c>
    </row>
    <row r="91" spans="1:11" ht="15.75" customHeight="1" x14ac:dyDescent="0.25">
      <c r="A91" s="114" t="s">
        <v>134</v>
      </c>
      <c r="B91" s="115" t="s">
        <v>134</v>
      </c>
      <c r="C91" s="59">
        <v>0</v>
      </c>
      <c r="D91" s="49">
        <f ca="1">((100/(H80))*C91)/100</f>
        <v>0</v>
      </c>
      <c r="E91" s="126"/>
      <c r="F91" s="127"/>
      <c r="G91" s="126"/>
      <c r="H91" s="131"/>
      <c r="I91" s="14" t="s">
        <v>148</v>
      </c>
      <c r="J91" s="28">
        <f ca="1">(IF(B80=1,(H80/(B80+3)+J86),IF(B80=0,(H80/4+J86),IF(B80&gt;1,0))))</f>
        <v>10.5</v>
      </c>
    </row>
    <row r="92" spans="1:11" ht="16.5" thickBot="1" x14ac:dyDescent="0.3">
      <c r="A92" s="133" t="s">
        <v>135</v>
      </c>
      <c r="B92" s="134"/>
      <c r="C92" s="61">
        <v>0</v>
      </c>
      <c r="D92" s="50">
        <f ca="1">((100/(H80))*C92)/100</f>
        <v>0</v>
      </c>
      <c r="E92" s="128"/>
      <c r="F92" s="129"/>
      <c r="G92" s="128"/>
      <c r="H92" s="132"/>
      <c r="I92" s="15" t="s">
        <v>105</v>
      </c>
      <c r="J92" s="30">
        <f ca="1">(IF(B80&gt;1.5,(H80/(B80+2)+J86+MAX(0,J87-J86)+MAX(0,J88-J87)+MAX(0,J89-J88)+MAX(0,J90-J89)+MAX(0,J91-J90)),IF(B80=1,(H80/(B80+3)+J91),IF(B80=0,H80/4+J91))))</f>
        <v>14</v>
      </c>
    </row>
    <row r="93" spans="1:11" x14ac:dyDescent="0.25">
      <c r="A93" s="157" t="s">
        <v>155</v>
      </c>
      <c r="B93" s="157"/>
      <c r="C93" s="157"/>
      <c r="D93" s="157"/>
      <c r="E93" s="157"/>
      <c r="F93" s="156" t="s">
        <v>159</v>
      </c>
      <c r="G93" s="156"/>
      <c r="H93" s="156"/>
    </row>
    <row r="94" spans="1:11" x14ac:dyDescent="0.25">
      <c r="A94" s="101" t="s">
        <v>157</v>
      </c>
      <c r="B94" s="101"/>
      <c r="C94" s="101"/>
      <c r="D94" s="101"/>
      <c r="E94" s="101"/>
      <c r="F94" s="164">
        <v>7500</v>
      </c>
      <c r="G94" s="164"/>
      <c r="H94" s="164"/>
      <c r="I94" s="54" t="s">
        <v>185</v>
      </c>
      <c r="J94" s="54" t="s">
        <v>186</v>
      </c>
      <c r="K94" s="55">
        <v>44739</v>
      </c>
    </row>
    <row r="95" spans="1:11" x14ac:dyDescent="0.25">
      <c r="A95" s="101" t="s">
        <v>156</v>
      </c>
      <c r="B95" s="101"/>
      <c r="C95" s="101"/>
      <c r="D95" s="101"/>
      <c r="E95" s="101"/>
      <c r="F95" s="111">
        <v>12500</v>
      </c>
      <c r="G95" s="111"/>
      <c r="H95" s="111"/>
      <c r="I95" s="54" t="s">
        <v>185</v>
      </c>
      <c r="K95" s="55">
        <v>44740</v>
      </c>
    </row>
    <row r="96" spans="1:11" hidden="1" x14ac:dyDescent="0.25">
      <c r="A96" s="101" t="s">
        <v>158</v>
      </c>
      <c r="B96" s="101"/>
      <c r="C96" s="101"/>
      <c r="D96" s="101"/>
      <c r="E96" s="101"/>
      <c r="F96" s="111"/>
      <c r="G96" s="111"/>
      <c r="H96" s="111"/>
      <c r="I96" s="54" t="s">
        <v>185</v>
      </c>
      <c r="K96" s="55">
        <v>44741</v>
      </c>
    </row>
    <row r="97" spans="1:11" s="31" customFormat="1" hidden="1" x14ac:dyDescent="0.25">
      <c r="A97" s="101" t="s">
        <v>184</v>
      </c>
      <c r="B97" s="101"/>
      <c r="C97" s="101"/>
      <c r="D97" s="101"/>
      <c r="E97" s="101"/>
      <c r="F97" s="158">
        <v>25</v>
      </c>
      <c r="G97" s="158"/>
      <c r="H97" s="158"/>
      <c r="I97" s="54" t="s">
        <v>185</v>
      </c>
      <c r="K97" s="55">
        <v>44742</v>
      </c>
    </row>
    <row r="98" spans="1:11" s="31" customFormat="1" hidden="1" x14ac:dyDescent="0.25">
      <c r="A98" s="101" t="s">
        <v>95</v>
      </c>
      <c r="B98" s="101"/>
      <c r="C98" s="101"/>
      <c r="D98" s="101"/>
      <c r="E98" s="101"/>
      <c r="F98" s="111"/>
      <c r="G98" s="111"/>
      <c r="H98" s="111"/>
    </row>
    <row r="99" spans="1:11" s="31" customFormat="1" hidden="1" x14ac:dyDescent="0.25">
      <c r="A99" s="101" t="s">
        <v>96</v>
      </c>
      <c r="B99" s="101"/>
      <c r="C99" s="101"/>
      <c r="D99" s="101"/>
      <c r="E99" s="101"/>
      <c r="F99" s="111"/>
      <c r="G99" s="111"/>
      <c r="H99" s="111"/>
    </row>
    <row r="100" spans="1:11" s="31" customFormat="1" hidden="1" x14ac:dyDescent="0.25">
      <c r="A100" s="101" t="s">
        <v>160</v>
      </c>
      <c r="B100" s="101"/>
      <c r="C100" s="101"/>
      <c r="D100" s="101"/>
      <c r="E100" s="101"/>
      <c r="F100" s="111"/>
      <c r="G100" s="111"/>
      <c r="H100" s="111"/>
    </row>
    <row r="101" spans="1:11" s="31" customFormat="1" hidden="1" x14ac:dyDescent="0.25">
      <c r="A101" s="101" t="s">
        <v>97</v>
      </c>
      <c r="B101" s="101"/>
      <c r="C101" s="101"/>
      <c r="D101" s="101"/>
      <c r="E101" s="101"/>
      <c r="F101" s="111"/>
      <c r="G101" s="111"/>
      <c r="H101" s="111"/>
    </row>
    <row r="102" spans="1:11" s="31" customFormat="1" hidden="1" x14ac:dyDescent="0.25">
      <c r="A102" s="101" t="s">
        <v>98</v>
      </c>
      <c r="B102" s="101"/>
      <c r="C102" s="101"/>
      <c r="D102" s="101"/>
      <c r="E102" s="101"/>
      <c r="F102" s="111"/>
      <c r="G102" s="111"/>
      <c r="H102" s="111"/>
    </row>
    <row r="103" spans="1:11" s="31" customFormat="1" hidden="1" x14ac:dyDescent="0.25">
      <c r="A103" s="101" t="s">
        <v>99</v>
      </c>
      <c r="B103" s="101"/>
      <c r="C103" s="101"/>
      <c r="D103" s="101"/>
      <c r="E103" s="101"/>
      <c r="F103" s="111"/>
      <c r="G103" s="111"/>
      <c r="H103" s="111"/>
    </row>
    <row r="104" spans="1:11" s="31" customFormat="1" hidden="1" x14ac:dyDescent="0.25">
      <c r="A104" s="101" t="s">
        <v>100</v>
      </c>
      <c r="B104" s="101"/>
      <c r="C104" s="101"/>
      <c r="D104" s="101"/>
      <c r="E104" s="101"/>
      <c r="F104" s="111"/>
      <c r="G104" s="111"/>
      <c r="H104" s="111"/>
    </row>
    <row r="105" spans="1:11" x14ac:dyDescent="0.25">
      <c r="A105" s="101" t="s">
        <v>51</v>
      </c>
      <c r="B105" s="101"/>
      <c r="C105" s="101"/>
      <c r="D105" s="101"/>
      <c r="E105" s="101"/>
      <c r="F105" s="111">
        <v>400000</v>
      </c>
      <c r="G105" s="111"/>
      <c r="H105" s="111"/>
    </row>
    <row r="106" spans="1:11" s="32" customFormat="1" x14ac:dyDescent="0.25">
      <c r="A106" s="122" t="s">
        <v>52</v>
      </c>
      <c r="B106" s="122"/>
      <c r="C106" s="122"/>
      <c r="D106" s="122"/>
      <c r="E106" s="122"/>
      <c r="F106" s="111">
        <f>F94*0.8</f>
        <v>6000</v>
      </c>
      <c r="G106" s="111"/>
      <c r="H106" s="111"/>
    </row>
    <row r="107" spans="1:11" s="33" customFormat="1" x14ac:dyDescent="0.25">
      <c r="A107" s="69" t="s">
        <v>217</v>
      </c>
      <c r="B107" s="69"/>
      <c r="C107" s="69"/>
      <c r="D107" s="69"/>
      <c r="E107" s="69"/>
      <c r="F107" s="69"/>
      <c r="G107" s="69"/>
      <c r="H107" s="69"/>
      <c r="I107" s="33" t="s">
        <v>176</v>
      </c>
    </row>
    <row r="108" spans="1:11" s="33" customFormat="1" ht="15.75" customHeight="1" x14ac:dyDescent="0.25">
      <c r="A108" s="70" t="s">
        <v>53</v>
      </c>
      <c r="B108" s="70"/>
      <c r="C108" s="71" t="s">
        <v>78</v>
      </c>
      <c r="D108" s="71"/>
      <c r="E108" s="72" t="s">
        <v>54</v>
      </c>
      <c r="F108" s="72"/>
      <c r="G108" s="70" t="s">
        <v>55</v>
      </c>
      <c r="H108" s="70"/>
      <c r="I108" s="33" t="s">
        <v>177</v>
      </c>
    </row>
    <row r="109" spans="1:11" s="33" customFormat="1" x14ac:dyDescent="0.25">
      <c r="A109" s="73" t="s">
        <v>215</v>
      </c>
      <c r="B109" s="73"/>
      <c r="C109" s="74">
        <v>12</v>
      </c>
      <c r="D109" s="74"/>
      <c r="E109" s="75">
        <f>SUM(D122:D133)</f>
        <v>6273.0708299999997</v>
      </c>
      <c r="F109" s="75"/>
      <c r="G109" s="75">
        <f>SUM(F122:F133)</f>
        <v>9409.606244999999</v>
      </c>
      <c r="H109" s="75"/>
      <c r="I109" s="33">
        <v>6100</v>
      </c>
    </row>
    <row r="110" spans="1:11" s="33" customFormat="1" x14ac:dyDescent="0.25">
      <c r="A110" s="69" t="s">
        <v>71</v>
      </c>
      <c r="B110" s="69"/>
      <c r="C110" s="69"/>
      <c r="D110" s="69"/>
      <c r="E110" s="69"/>
      <c r="F110" s="69"/>
      <c r="G110" s="69"/>
      <c r="H110" s="69"/>
      <c r="I110" s="33" t="s">
        <v>176</v>
      </c>
    </row>
    <row r="111" spans="1:11" s="33" customFormat="1" ht="15.75" customHeight="1" x14ac:dyDescent="0.25">
      <c r="A111" s="70" t="s">
        <v>53</v>
      </c>
      <c r="B111" s="70"/>
      <c r="C111" s="71" t="s">
        <v>78</v>
      </c>
      <c r="D111" s="71"/>
      <c r="E111" s="72" t="s">
        <v>54</v>
      </c>
      <c r="F111" s="72"/>
      <c r="G111" s="70" t="s">
        <v>55</v>
      </c>
      <c r="H111" s="70"/>
      <c r="I111" s="33" t="s">
        <v>177</v>
      </c>
    </row>
    <row r="112" spans="1:11" s="33" customFormat="1" x14ac:dyDescent="0.25">
      <c r="A112" s="73" t="s">
        <v>215</v>
      </c>
      <c r="B112" s="73"/>
      <c r="C112" s="74">
        <f>COUNT(D140:D165)*12+COUNT(D167,D170:D192)*2</f>
        <v>360</v>
      </c>
      <c r="D112" s="74"/>
      <c r="E112" s="75">
        <f t="shared" ref="E112" si="0">SUM(D140:D165)*12+SUM(D167,D170:D192)*2</f>
        <v>116251.20000000001</v>
      </c>
      <c r="F112" s="75"/>
      <c r="G112" s="75">
        <f>SUM(F140:F165)*12+SUM(F167,F170:F192)*2</f>
        <v>174376.79999999993</v>
      </c>
      <c r="H112" s="75"/>
      <c r="I112" s="33">
        <v>6100</v>
      </c>
    </row>
    <row r="113" spans="1:14" s="33" customFormat="1" x14ac:dyDescent="0.25">
      <c r="A113" s="69" t="s">
        <v>218</v>
      </c>
      <c r="B113" s="69"/>
      <c r="C113" s="71">
        <f>C112+C109</f>
        <v>372</v>
      </c>
      <c r="D113" s="71"/>
      <c r="E113" s="166">
        <f>E112+E109</f>
        <v>122524.27083000001</v>
      </c>
      <c r="F113" s="166"/>
      <c r="G113" s="166">
        <f>G109+G112</f>
        <v>183786.40624499993</v>
      </c>
      <c r="H113" s="166"/>
      <c r="I113" s="33">
        <v>6100</v>
      </c>
    </row>
    <row r="114" spans="1:14" s="32" customFormat="1" x14ac:dyDescent="0.25">
      <c r="A114" s="146" t="s">
        <v>56</v>
      </c>
      <c r="B114" s="146"/>
      <c r="C114" s="146"/>
      <c r="D114" s="146"/>
      <c r="E114" s="146"/>
      <c r="F114" s="146"/>
      <c r="G114" s="146"/>
      <c r="H114" s="146"/>
    </row>
    <row r="115" spans="1:14" x14ac:dyDescent="0.25">
      <c r="A115" s="146" t="s">
        <v>57</v>
      </c>
      <c r="B115" s="146"/>
      <c r="C115" s="146"/>
      <c r="D115" s="146"/>
      <c r="E115" s="146"/>
      <c r="F115" s="146"/>
      <c r="G115" s="146"/>
      <c r="H115" s="146"/>
    </row>
    <row r="116" spans="1:14" s="35" customFormat="1" x14ac:dyDescent="0.25">
      <c r="A116" s="68"/>
      <c r="B116" s="68"/>
      <c r="C116" s="68"/>
      <c r="D116" s="68"/>
      <c r="E116" s="68"/>
      <c r="F116" s="68"/>
      <c r="G116" s="68"/>
      <c r="H116" s="68"/>
      <c r="I116" s="34"/>
      <c r="N116" s="34"/>
    </row>
    <row r="117" spans="1:14" ht="47.25" customHeight="1" x14ac:dyDescent="0.25">
      <c r="A117" s="88" t="s">
        <v>213</v>
      </c>
      <c r="B117" s="88" t="s">
        <v>214</v>
      </c>
      <c r="C117" s="88" t="s">
        <v>58</v>
      </c>
      <c r="D117" s="88" t="s">
        <v>59</v>
      </c>
      <c r="E117" s="89" t="s">
        <v>60</v>
      </c>
      <c r="F117" s="64" t="s">
        <v>150</v>
      </c>
      <c r="G117" s="88" t="s">
        <v>61</v>
      </c>
      <c r="H117" s="88"/>
      <c r="I117" s="34"/>
    </row>
    <row r="118" spans="1:14" s="58" customFormat="1" x14ac:dyDescent="0.25">
      <c r="A118" s="88"/>
      <c r="B118" s="88"/>
      <c r="C118" s="88"/>
      <c r="D118" s="88"/>
      <c r="E118" s="89"/>
      <c r="F118" s="65">
        <v>0.6</v>
      </c>
      <c r="G118" s="88"/>
      <c r="H118" s="88"/>
      <c r="I118" s="34"/>
    </row>
    <row r="119" spans="1:14" s="58" customFormat="1" x14ac:dyDescent="0.25">
      <c r="A119" s="76" t="s">
        <v>212</v>
      </c>
      <c r="B119" s="77"/>
      <c r="C119" s="77"/>
      <c r="D119" s="77"/>
      <c r="E119" s="77"/>
      <c r="F119" s="77"/>
      <c r="G119" s="77"/>
      <c r="H119" s="78"/>
      <c r="J119" s="34"/>
    </row>
    <row r="120" spans="1:14" s="58" customFormat="1" x14ac:dyDescent="0.25">
      <c r="A120" s="76" t="s">
        <v>215</v>
      </c>
      <c r="B120" s="77"/>
      <c r="C120" s="77"/>
      <c r="D120" s="77"/>
      <c r="E120" s="77"/>
      <c r="F120" s="77"/>
      <c r="G120" s="77"/>
      <c r="H120" s="78"/>
      <c r="J120" s="34"/>
    </row>
    <row r="121" spans="1:14" s="58" customFormat="1" x14ac:dyDescent="0.25">
      <c r="A121" s="76" t="s">
        <v>193</v>
      </c>
      <c r="B121" s="77"/>
      <c r="C121" s="77"/>
      <c r="D121" s="77"/>
      <c r="E121" s="77"/>
      <c r="F121" s="77"/>
      <c r="G121" s="77"/>
      <c r="H121" s="78"/>
      <c r="J121" s="34"/>
    </row>
    <row r="122" spans="1:14" s="58" customFormat="1" ht="15.75" customHeight="1" x14ac:dyDescent="0.25">
      <c r="A122" s="80">
        <v>1</v>
      </c>
      <c r="B122" s="81"/>
      <c r="C122" s="40" t="s">
        <v>216</v>
      </c>
      <c r="D122" s="40">
        <f>(3.44*0.7+5.5*3.83+1.5*3.08+1.5*1.2+4*4.22+1.35*1.92+1.35*0.6)*10.764</f>
        <v>540.08370000000002</v>
      </c>
      <c r="E122" s="40">
        <v>0</v>
      </c>
      <c r="F122" s="40">
        <f t="shared" ref="F122:F133" si="1">D122*(($F$136)+1)+(IF(E122&lt;101,E122,IF(E122&lt;201,E122/2,IF(E122&lt;=301,E122/3,E122/4))))</f>
        <v>810.12554999999998</v>
      </c>
      <c r="G122" s="82" t="str">
        <f>A121</f>
        <v>Ground Floor for Residential, Store Room, Meter Room, Entrance Lobby</v>
      </c>
      <c r="H122" s="83"/>
      <c r="I122" s="34">
        <f>4450000/F122</f>
        <v>5492.9757492526933</v>
      </c>
      <c r="J122" s="58" t="s">
        <v>175</v>
      </c>
      <c r="L122" s="79"/>
      <c r="M122" s="79"/>
      <c r="N122" s="34"/>
    </row>
    <row r="123" spans="1:14" s="58" customFormat="1" ht="15.75" customHeight="1" x14ac:dyDescent="0.25">
      <c r="A123" s="80">
        <v>2</v>
      </c>
      <c r="B123" s="81"/>
      <c r="C123" s="40" t="s">
        <v>216</v>
      </c>
      <c r="D123" s="40">
        <f>(5.9*3.45+3.83*0.55+1.23*0.55+2.93*1.5+1.35*1.35)*10.764</f>
        <v>315.98260200000004</v>
      </c>
      <c r="E123" s="40">
        <v>0</v>
      </c>
      <c r="F123" s="40">
        <f t="shared" si="1"/>
        <v>473.97390300000006</v>
      </c>
      <c r="G123" s="84"/>
      <c r="H123" s="85"/>
      <c r="I123" s="34">
        <f>4450000/F123</f>
        <v>9388.7025674491597</v>
      </c>
      <c r="J123" s="58" t="s">
        <v>175</v>
      </c>
      <c r="L123" s="79"/>
      <c r="M123" s="79"/>
      <c r="N123" s="34"/>
    </row>
    <row r="124" spans="1:14" s="58" customFormat="1" ht="15.75" customHeight="1" x14ac:dyDescent="0.25">
      <c r="A124" s="80">
        <f t="shared" ref="A124:A133" si="2">A123+1</f>
        <v>3</v>
      </c>
      <c r="B124" s="81"/>
      <c r="C124" s="40" t="s">
        <v>216</v>
      </c>
      <c r="D124" s="40">
        <f>(5.9*3.45+3.83*0.55+1.23*0.55+2.93*1.5+1.35*1.35)*10.764</f>
        <v>315.98260200000004</v>
      </c>
      <c r="E124" s="40">
        <v>0</v>
      </c>
      <c r="F124" s="40">
        <f t="shared" si="1"/>
        <v>473.97390300000006</v>
      </c>
      <c r="G124" s="84"/>
      <c r="H124" s="85"/>
      <c r="I124" s="34">
        <f>3100000/F124</f>
        <v>6540.4444851893031</v>
      </c>
      <c r="J124" s="58" t="s">
        <v>175</v>
      </c>
      <c r="L124" s="79"/>
      <c r="M124" s="79"/>
      <c r="N124" s="34"/>
    </row>
    <row r="125" spans="1:14" s="58" customFormat="1" ht="15.75" customHeight="1" x14ac:dyDescent="0.25">
      <c r="A125" s="80">
        <f t="shared" si="2"/>
        <v>4</v>
      </c>
      <c r="B125" s="81"/>
      <c r="C125" s="40" t="s">
        <v>216</v>
      </c>
      <c r="D125" s="40">
        <f>(5.9*3.45+3.83*0.55+1.23*0.55+2.93*1.5+1.35*1.35+2.35*1.82+4.43*1.35+3.83*0.7+5.9*3.45)*10.764</f>
        <v>674.353836</v>
      </c>
      <c r="E125" s="40">
        <v>0</v>
      </c>
      <c r="F125" s="40">
        <f t="shared" si="1"/>
        <v>1011.530754</v>
      </c>
      <c r="G125" s="84"/>
      <c r="H125" s="85"/>
      <c r="I125" s="34">
        <f>4500000/F125</f>
        <v>4448.703098947004</v>
      </c>
      <c r="J125" s="58" t="s">
        <v>178</v>
      </c>
      <c r="L125" s="79"/>
      <c r="M125" s="79"/>
      <c r="N125" s="34"/>
    </row>
    <row r="126" spans="1:14" s="58" customFormat="1" ht="15.75" customHeight="1" x14ac:dyDescent="0.25">
      <c r="A126" s="80">
        <f t="shared" si="2"/>
        <v>5</v>
      </c>
      <c r="B126" s="81"/>
      <c r="C126" s="40" t="s">
        <v>216</v>
      </c>
      <c r="D126" s="40">
        <f>(5.9*3.45+3.83*0.7+1.23*0.55+4.43*1.5+1.2*1.5+3.08*1.65+3.72*1.5+4.5*4)*10.764</f>
        <v>654.66109800000004</v>
      </c>
      <c r="E126" s="40">
        <v>0</v>
      </c>
      <c r="F126" s="40">
        <f t="shared" si="1"/>
        <v>981.99164700000006</v>
      </c>
      <c r="G126" s="84"/>
      <c r="H126" s="85"/>
      <c r="I126" s="34"/>
      <c r="L126" s="79"/>
      <c r="M126" s="79"/>
      <c r="N126" s="34"/>
    </row>
    <row r="127" spans="1:14" s="58" customFormat="1" ht="15.75" customHeight="1" x14ac:dyDescent="0.25">
      <c r="A127" s="80">
        <f t="shared" si="2"/>
        <v>6</v>
      </c>
      <c r="B127" s="81"/>
      <c r="C127" s="40" t="s">
        <v>216</v>
      </c>
      <c r="D127" s="40">
        <f>(5.9*3.45+3.83*0.7+1.23*0.55+4.43*1.35+1.2*1.5+3.08*1.65+3.83*2.05+4.5*3.45)*10.764</f>
        <v>645.31794600000001</v>
      </c>
      <c r="E127" s="40">
        <v>0</v>
      </c>
      <c r="F127" s="40">
        <f t="shared" si="1"/>
        <v>967.97691899999995</v>
      </c>
      <c r="G127" s="84"/>
      <c r="H127" s="85"/>
      <c r="I127" s="34"/>
      <c r="L127" s="79"/>
      <c r="M127" s="79"/>
      <c r="N127" s="34"/>
    </row>
    <row r="128" spans="1:14" s="58" customFormat="1" ht="15.75" customHeight="1" x14ac:dyDescent="0.25">
      <c r="A128" s="80">
        <f t="shared" si="2"/>
        <v>7</v>
      </c>
      <c r="B128" s="81"/>
      <c r="C128" s="40" t="s">
        <v>216</v>
      </c>
      <c r="D128" s="40">
        <f>(5.9*3.45+3.83*0.7+1.23*0.55+4.43*1.5+1.2*1.5+3.08*1.65+3.72*1.5+4.5*4)*10.764</f>
        <v>654.66109800000004</v>
      </c>
      <c r="E128" s="40">
        <v>0</v>
      </c>
      <c r="F128" s="40">
        <f t="shared" si="1"/>
        <v>981.99164700000006</v>
      </c>
      <c r="G128" s="84"/>
      <c r="H128" s="85"/>
      <c r="I128" s="34"/>
      <c r="L128" s="79"/>
      <c r="M128" s="79"/>
      <c r="N128" s="34"/>
    </row>
    <row r="129" spans="1:14" s="58" customFormat="1" ht="15.75" customHeight="1" x14ac:dyDescent="0.25">
      <c r="A129" s="80">
        <f t="shared" si="2"/>
        <v>8</v>
      </c>
      <c r="B129" s="81"/>
      <c r="C129" s="40" t="s">
        <v>216</v>
      </c>
      <c r="D129" s="40">
        <f>(5.9*3.45+3.83*0.7+1.23*0.55+4.43*1.35+1.2*1.5+3.08*1.65+3.83*2.05+4.5*3.45)*10.764</f>
        <v>645.31794600000001</v>
      </c>
      <c r="E129" s="40">
        <v>0</v>
      </c>
      <c r="F129" s="40">
        <f t="shared" si="1"/>
        <v>967.97691899999995</v>
      </c>
      <c r="G129" s="84"/>
      <c r="H129" s="85"/>
      <c r="I129" s="34"/>
      <c r="L129" s="79"/>
      <c r="M129" s="79"/>
      <c r="N129" s="34"/>
    </row>
    <row r="130" spans="1:14" s="58" customFormat="1" ht="15.75" customHeight="1" x14ac:dyDescent="0.25">
      <c r="A130" s="80">
        <f t="shared" si="2"/>
        <v>9</v>
      </c>
      <c r="B130" s="81"/>
      <c r="C130" s="40" t="s">
        <v>216</v>
      </c>
      <c r="D130" s="40">
        <f>(5.9*3.45+3.83*0.7+1.23*0.55+4.43*1.5+1.2*1.5+3.08*1.65+3.72*1.5+4.5*4)*10.764</f>
        <v>654.66109800000004</v>
      </c>
      <c r="E130" s="40">
        <v>0</v>
      </c>
      <c r="F130" s="40">
        <f t="shared" si="1"/>
        <v>981.99164700000006</v>
      </c>
      <c r="G130" s="84"/>
      <c r="H130" s="85"/>
      <c r="I130" s="34">
        <f>3200000/F131</f>
        <v>6751.4265653566999</v>
      </c>
      <c r="J130" s="58" t="s">
        <v>178</v>
      </c>
      <c r="L130" s="79"/>
      <c r="M130" s="79"/>
      <c r="N130" s="34"/>
    </row>
    <row r="131" spans="1:14" s="58" customFormat="1" ht="15.75" customHeight="1" x14ac:dyDescent="0.25">
      <c r="A131" s="80">
        <f t="shared" si="2"/>
        <v>10</v>
      </c>
      <c r="B131" s="81"/>
      <c r="C131" s="40" t="s">
        <v>216</v>
      </c>
      <c r="D131" s="40">
        <f>(5.9*3.45+3.83*0.55+1.23*0.55+2.93*1.5+1.35*1.35)*10.764</f>
        <v>315.98260200000004</v>
      </c>
      <c r="E131" s="40">
        <v>0</v>
      </c>
      <c r="F131" s="40">
        <f t="shared" si="1"/>
        <v>473.97390300000006</v>
      </c>
      <c r="G131" s="84"/>
      <c r="H131" s="85"/>
      <c r="I131" s="34">
        <f>2800000/F131</f>
        <v>5907.4982446871127</v>
      </c>
      <c r="J131" s="58" t="s">
        <v>178</v>
      </c>
      <c r="L131" s="79"/>
      <c r="M131" s="79"/>
      <c r="N131" s="34"/>
    </row>
    <row r="132" spans="1:14" s="58" customFormat="1" ht="15.75" customHeight="1" x14ac:dyDescent="0.25">
      <c r="A132" s="80">
        <f t="shared" si="2"/>
        <v>11</v>
      </c>
      <c r="B132" s="81"/>
      <c r="C132" s="40" t="s">
        <v>216</v>
      </c>
      <c r="D132" s="40">
        <f>(5.9*3.45+3.83*0.55+1.23*0.55+2.93*1.5+1.35*1.35)*10.764</f>
        <v>315.98260200000004</v>
      </c>
      <c r="E132" s="40">
        <v>0</v>
      </c>
      <c r="F132" s="40">
        <f t="shared" si="1"/>
        <v>473.97390300000006</v>
      </c>
      <c r="G132" s="84"/>
      <c r="H132" s="85"/>
      <c r="I132" s="34"/>
      <c r="L132" s="79"/>
      <c r="M132" s="79"/>
      <c r="N132" s="34"/>
    </row>
    <row r="133" spans="1:14" s="58" customFormat="1" ht="15.75" customHeight="1" x14ac:dyDescent="0.25">
      <c r="A133" s="80">
        <f t="shared" si="2"/>
        <v>12</v>
      </c>
      <c r="B133" s="81"/>
      <c r="C133" s="40" t="s">
        <v>216</v>
      </c>
      <c r="D133" s="40">
        <f>(3.44*0.7+5.5*3.83+1.5*3.08+1.5*1.2+4*4.22+1.35*1.92+1.35*0.6)*10.764</f>
        <v>540.08370000000002</v>
      </c>
      <c r="E133" s="40">
        <v>0</v>
      </c>
      <c r="F133" s="40">
        <f t="shared" si="1"/>
        <v>810.12554999999998</v>
      </c>
      <c r="G133" s="86"/>
      <c r="H133" s="87"/>
      <c r="I133" s="34"/>
      <c r="L133" s="79"/>
      <c r="M133" s="79"/>
      <c r="N133" s="34"/>
    </row>
    <row r="134" spans="1:14" s="58" customFormat="1" x14ac:dyDescent="0.25">
      <c r="A134" s="76"/>
      <c r="B134" s="77"/>
      <c r="C134" s="77"/>
      <c r="D134" s="77"/>
      <c r="E134" s="77"/>
      <c r="F134" s="77"/>
      <c r="G134" s="77"/>
      <c r="H134" s="78"/>
      <c r="J134" s="34"/>
    </row>
    <row r="135" spans="1:14" ht="47.25" customHeight="1" x14ac:dyDescent="0.25">
      <c r="A135" s="149" t="s">
        <v>120</v>
      </c>
      <c r="B135" s="149" t="s">
        <v>121</v>
      </c>
      <c r="C135" s="154" t="s">
        <v>58</v>
      </c>
      <c r="D135" s="154" t="s">
        <v>59</v>
      </c>
      <c r="E135" s="160" t="s">
        <v>60</v>
      </c>
      <c r="F135" s="41" t="s">
        <v>150</v>
      </c>
      <c r="G135" s="149" t="s">
        <v>61</v>
      </c>
      <c r="H135" s="162"/>
      <c r="I135" s="34"/>
    </row>
    <row r="136" spans="1:14" s="35" customFormat="1" x14ac:dyDescent="0.25">
      <c r="A136" s="150"/>
      <c r="B136" s="150"/>
      <c r="C136" s="155"/>
      <c r="D136" s="155"/>
      <c r="E136" s="161"/>
      <c r="F136" s="13">
        <v>0.5</v>
      </c>
      <c r="G136" s="150"/>
      <c r="H136" s="163"/>
      <c r="I136" s="34"/>
    </row>
    <row r="137" spans="1:14" s="35" customFormat="1" x14ac:dyDescent="0.25">
      <c r="A137" s="76" t="s">
        <v>212</v>
      </c>
      <c r="B137" s="77"/>
      <c r="C137" s="77"/>
      <c r="D137" s="77"/>
      <c r="E137" s="77"/>
      <c r="F137" s="77"/>
      <c r="G137" s="77"/>
      <c r="H137" s="78"/>
      <c r="J137" s="34"/>
    </row>
    <row r="138" spans="1:14" s="35" customFormat="1" x14ac:dyDescent="0.25">
      <c r="A138" s="76" t="s">
        <v>215</v>
      </c>
      <c r="B138" s="77"/>
      <c r="C138" s="77"/>
      <c r="D138" s="77"/>
      <c r="E138" s="77"/>
      <c r="F138" s="77"/>
      <c r="G138" s="77"/>
      <c r="H138" s="78"/>
      <c r="J138" s="34"/>
    </row>
    <row r="139" spans="1:14" s="35" customFormat="1" ht="31.5" customHeight="1" x14ac:dyDescent="0.25">
      <c r="A139" s="153" t="s">
        <v>182</v>
      </c>
      <c r="B139" s="153"/>
      <c r="C139" s="153"/>
      <c r="D139" s="153"/>
      <c r="E139" s="153"/>
      <c r="F139" s="153"/>
      <c r="G139" s="153"/>
      <c r="H139" s="153"/>
      <c r="I139" s="34"/>
    </row>
    <row r="140" spans="1:14" s="35" customFormat="1" ht="15.75" customHeight="1" x14ac:dyDescent="0.25">
      <c r="A140" s="68">
        <v>1</v>
      </c>
      <c r="B140" s="68"/>
      <c r="C140" s="40" t="s">
        <v>165</v>
      </c>
      <c r="D140" s="40">
        <f>(30)*10.764</f>
        <v>322.91999999999996</v>
      </c>
      <c r="E140" s="40">
        <v>0</v>
      </c>
      <c r="F140" s="40">
        <f t="shared" ref="F140:F151" si="3">D140*(($F$136)+1)+(IF(E140&lt;101,E140,IF(E140&lt;201,E140/2,IF(E140&lt;=301,E140/3,E140/4))))</f>
        <v>484.37999999999994</v>
      </c>
      <c r="G140" s="68" t="str">
        <f>A139</f>
        <v>1st to 7th, 9th to 12th Floor
14th Floor (15th Floor as per builder)</v>
      </c>
      <c r="H140" s="68"/>
      <c r="I140" s="34"/>
    </row>
    <row r="141" spans="1:14" s="35" customFormat="1" ht="15.75" customHeight="1" x14ac:dyDescent="0.25">
      <c r="A141" s="68">
        <v>2</v>
      </c>
      <c r="B141" s="68"/>
      <c r="C141" s="40" t="s">
        <v>165</v>
      </c>
      <c r="D141" s="40">
        <f t="shared" ref="D141:D165" si="4">(30)*10.764</f>
        <v>322.91999999999996</v>
      </c>
      <c r="E141" s="40">
        <v>0</v>
      </c>
      <c r="F141" s="40">
        <f t="shared" si="3"/>
        <v>484.37999999999994</v>
      </c>
      <c r="G141" s="68"/>
      <c r="H141" s="68"/>
      <c r="I141" s="34"/>
    </row>
    <row r="142" spans="1:14" s="35" customFormat="1" ht="15.75" customHeight="1" x14ac:dyDescent="0.25">
      <c r="A142" s="68">
        <v>3</v>
      </c>
      <c r="B142" s="68"/>
      <c r="C142" s="40" t="s">
        <v>165</v>
      </c>
      <c r="D142" s="40">
        <f t="shared" si="4"/>
        <v>322.91999999999996</v>
      </c>
      <c r="E142" s="40">
        <v>0</v>
      </c>
      <c r="F142" s="40">
        <f t="shared" si="3"/>
        <v>484.37999999999994</v>
      </c>
      <c r="G142" s="68"/>
      <c r="H142" s="68"/>
      <c r="I142" s="34"/>
    </row>
    <row r="143" spans="1:14" s="35" customFormat="1" ht="15.75" customHeight="1" x14ac:dyDescent="0.25">
      <c r="A143" s="68">
        <v>4</v>
      </c>
      <c r="B143" s="68"/>
      <c r="C143" s="40" t="s">
        <v>165</v>
      </c>
      <c r="D143" s="40">
        <f t="shared" si="4"/>
        <v>322.91999999999996</v>
      </c>
      <c r="E143" s="40">
        <v>0</v>
      </c>
      <c r="F143" s="40">
        <f t="shared" si="3"/>
        <v>484.37999999999994</v>
      </c>
      <c r="G143" s="68"/>
      <c r="H143" s="68"/>
      <c r="I143" s="34"/>
    </row>
    <row r="144" spans="1:14" s="35" customFormat="1" ht="15.75" customHeight="1" x14ac:dyDescent="0.25">
      <c r="A144" s="68">
        <v>5</v>
      </c>
      <c r="B144" s="68"/>
      <c r="C144" s="40" t="s">
        <v>165</v>
      </c>
      <c r="D144" s="40">
        <f t="shared" si="4"/>
        <v>322.91999999999996</v>
      </c>
      <c r="E144" s="40">
        <v>0</v>
      </c>
      <c r="F144" s="40">
        <f t="shared" si="3"/>
        <v>484.37999999999994</v>
      </c>
      <c r="G144" s="68"/>
      <c r="H144" s="68"/>
      <c r="I144" s="34"/>
    </row>
    <row r="145" spans="1:10" s="35" customFormat="1" ht="15.75" customHeight="1" x14ac:dyDescent="0.25">
      <c r="A145" s="68">
        <v>6</v>
      </c>
      <c r="B145" s="68"/>
      <c r="C145" s="40" t="s">
        <v>165</v>
      </c>
      <c r="D145" s="40">
        <f t="shared" si="4"/>
        <v>322.91999999999996</v>
      </c>
      <c r="E145" s="40">
        <v>0</v>
      </c>
      <c r="F145" s="40">
        <f t="shared" si="3"/>
        <v>484.37999999999994</v>
      </c>
      <c r="G145" s="68"/>
      <c r="H145" s="68"/>
      <c r="I145" s="34"/>
    </row>
    <row r="146" spans="1:10" s="35" customFormat="1" ht="15.75" customHeight="1" x14ac:dyDescent="0.25">
      <c r="A146" s="68">
        <v>7</v>
      </c>
      <c r="B146" s="68"/>
      <c r="C146" s="40" t="s">
        <v>165</v>
      </c>
      <c r="D146" s="40">
        <f t="shared" si="4"/>
        <v>322.91999999999996</v>
      </c>
      <c r="E146" s="40">
        <v>0</v>
      </c>
      <c r="F146" s="40">
        <f t="shared" si="3"/>
        <v>484.37999999999994</v>
      </c>
      <c r="G146" s="68"/>
      <c r="H146" s="68"/>
      <c r="I146" s="34"/>
    </row>
    <row r="147" spans="1:10" s="35" customFormat="1" ht="15.75" customHeight="1" x14ac:dyDescent="0.25">
      <c r="A147" s="68">
        <v>8</v>
      </c>
      <c r="B147" s="68"/>
      <c r="C147" s="40" t="s">
        <v>165</v>
      </c>
      <c r="D147" s="40">
        <f t="shared" si="4"/>
        <v>322.91999999999996</v>
      </c>
      <c r="E147" s="40">
        <v>0</v>
      </c>
      <c r="F147" s="40">
        <f t="shared" si="3"/>
        <v>484.37999999999994</v>
      </c>
      <c r="G147" s="68"/>
      <c r="H147" s="68"/>
      <c r="I147" s="34"/>
    </row>
    <row r="148" spans="1:10" s="35" customFormat="1" ht="15.75" customHeight="1" x14ac:dyDescent="0.25">
      <c r="A148" s="68">
        <v>9</v>
      </c>
      <c r="B148" s="68"/>
      <c r="C148" s="40" t="s">
        <v>165</v>
      </c>
      <c r="D148" s="40">
        <f t="shared" si="4"/>
        <v>322.91999999999996</v>
      </c>
      <c r="E148" s="40">
        <v>0</v>
      </c>
      <c r="F148" s="40">
        <f t="shared" si="3"/>
        <v>484.37999999999994</v>
      </c>
      <c r="G148" s="68"/>
      <c r="H148" s="68"/>
      <c r="I148" s="34"/>
    </row>
    <row r="149" spans="1:10" s="35" customFormat="1" ht="15.75" customHeight="1" x14ac:dyDescent="0.25">
      <c r="A149" s="68">
        <v>10</v>
      </c>
      <c r="B149" s="68"/>
      <c r="C149" s="40" t="s">
        <v>165</v>
      </c>
      <c r="D149" s="40">
        <f t="shared" si="4"/>
        <v>322.91999999999996</v>
      </c>
      <c r="E149" s="40">
        <v>0</v>
      </c>
      <c r="F149" s="40">
        <f t="shared" si="3"/>
        <v>484.37999999999994</v>
      </c>
      <c r="G149" s="68"/>
      <c r="H149" s="68"/>
      <c r="I149" s="34"/>
    </row>
    <row r="150" spans="1:10" s="35" customFormat="1" ht="15.75" customHeight="1" x14ac:dyDescent="0.25">
      <c r="A150" s="68">
        <v>11</v>
      </c>
      <c r="B150" s="68"/>
      <c r="C150" s="40" t="s">
        <v>165</v>
      </c>
      <c r="D150" s="40">
        <f t="shared" si="4"/>
        <v>322.91999999999996</v>
      </c>
      <c r="E150" s="40">
        <v>0</v>
      </c>
      <c r="F150" s="40">
        <f t="shared" si="3"/>
        <v>484.37999999999994</v>
      </c>
      <c r="G150" s="68"/>
      <c r="H150" s="68"/>
      <c r="I150" s="34"/>
    </row>
    <row r="151" spans="1:10" s="35" customFormat="1" ht="15.75" customHeight="1" x14ac:dyDescent="0.25">
      <c r="A151" s="68">
        <v>12</v>
      </c>
      <c r="B151" s="68"/>
      <c r="C151" s="40" t="s">
        <v>165</v>
      </c>
      <c r="D151" s="40">
        <f t="shared" si="4"/>
        <v>322.91999999999996</v>
      </c>
      <c r="E151" s="40">
        <v>0</v>
      </c>
      <c r="F151" s="40">
        <f t="shared" si="3"/>
        <v>484.37999999999994</v>
      </c>
      <c r="G151" s="68"/>
      <c r="H151" s="68"/>
      <c r="I151" s="34"/>
    </row>
    <row r="152" spans="1:10" s="58" customFormat="1" ht="15.75" customHeight="1" x14ac:dyDescent="0.25">
      <c r="A152" s="68">
        <v>13</v>
      </c>
      <c r="B152" s="68"/>
      <c r="C152" s="40" t="s">
        <v>165</v>
      </c>
      <c r="D152" s="40">
        <f t="shared" si="4"/>
        <v>322.91999999999996</v>
      </c>
      <c r="E152" s="40">
        <v>0</v>
      </c>
      <c r="F152" s="40">
        <f t="shared" ref="F152:F163" si="5">D152*(($F$136)+1)+(IF(E152&lt;101,E152,IF(E152&lt;201,E152/2,IF(E152&lt;=301,E152/3,E152/4))))</f>
        <v>484.37999999999994</v>
      </c>
      <c r="G152" s="68"/>
      <c r="H152" s="68"/>
      <c r="I152" s="34"/>
    </row>
    <row r="153" spans="1:10" s="58" customFormat="1" ht="15.75" customHeight="1" x14ac:dyDescent="0.25">
      <c r="A153" s="68">
        <v>14</v>
      </c>
      <c r="B153" s="68"/>
      <c r="C153" s="40" t="s">
        <v>165</v>
      </c>
      <c r="D153" s="40">
        <f t="shared" si="4"/>
        <v>322.91999999999996</v>
      </c>
      <c r="E153" s="40">
        <v>0</v>
      </c>
      <c r="F153" s="40">
        <f t="shared" si="5"/>
        <v>484.37999999999994</v>
      </c>
      <c r="G153" s="68"/>
      <c r="H153" s="68"/>
      <c r="I153" s="34"/>
    </row>
    <row r="154" spans="1:10" s="58" customFormat="1" ht="15.75" customHeight="1" x14ac:dyDescent="0.25">
      <c r="A154" s="68">
        <v>15</v>
      </c>
      <c r="B154" s="68"/>
      <c r="C154" s="40" t="s">
        <v>165</v>
      </c>
      <c r="D154" s="40">
        <f t="shared" si="4"/>
        <v>322.91999999999996</v>
      </c>
      <c r="E154" s="40">
        <v>0</v>
      </c>
      <c r="F154" s="40">
        <f t="shared" si="5"/>
        <v>484.37999999999994</v>
      </c>
      <c r="G154" s="68"/>
      <c r="H154" s="68"/>
      <c r="I154" s="34"/>
    </row>
    <row r="155" spans="1:10" s="58" customFormat="1" ht="15.75" customHeight="1" x14ac:dyDescent="0.25">
      <c r="A155" s="68">
        <v>16</v>
      </c>
      <c r="B155" s="68"/>
      <c r="C155" s="40" t="s">
        <v>165</v>
      </c>
      <c r="D155" s="40">
        <f t="shared" si="4"/>
        <v>322.91999999999996</v>
      </c>
      <c r="E155" s="40">
        <v>0</v>
      </c>
      <c r="F155" s="40">
        <f t="shared" si="5"/>
        <v>484.37999999999994</v>
      </c>
      <c r="G155" s="68"/>
      <c r="H155" s="68"/>
      <c r="I155" s="34"/>
    </row>
    <row r="156" spans="1:10" s="58" customFormat="1" ht="15.75" customHeight="1" x14ac:dyDescent="0.25">
      <c r="A156" s="68">
        <v>17</v>
      </c>
      <c r="B156" s="68"/>
      <c r="C156" s="40" t="s">
        <v>165</v>
      </c>
      <c r="D156" s="40">
        <f t="shared" si="4"/>
        <v>322.91999999999996</v>
      </c>
      <c r="E156" s="40">
        <v>0</v>
      </c>
      <c r="F156" s="40">
        <f t="shared" si="5"/>
        <v>484.37999999999994</v>
      </c>
      <c r="G156" s="68"/>
      <c r="H156" s="68"/>
      <c r="I156" s="34"/>
    </row>
    <row r="157" spans="1:10" s="58" customFormat="1" ht="15.75" customHeight="1" x14ac:dyDescent="0.25">
      <c r="A157" s="68">
        <v>18</v>
      </c>
      <c r="B157" s="68"/>
      <c r="C157" s="40" t="s">
        <v>165</v>
      </c>
      <c r="D157" s="40">
        <f t="shared" si="4"/>
        <v>322.91999999999996</v>
      </c>
      <c r="E157" s="40">
        <v>0</v>
      </c>
      <c r="F157" s="40">
        <f t="shared" si="5"/>
        <v>484.37999999999994</v>
      </c>
      <c r="G157" s="68"/>
      <c r="H157" s="68"/>
      <c r="I157" s="34"/>
      <c r="J157" s="58">
        <f>4129000/F157</f>
        <v>8524.2991040092493</v>
      </c>
    </row>
    <row r="158" spans="1:10" s="58" customFormat="1" ht="15.75" customHeight="1" x14ac:dyDescent="0.25">
      <c r="A158" s="68">
        <v>19</v>
      </c>
      <c r="B158" s="68"/>
      <c r="C158" s="40" t="s">
        <v>165</v>
      </c>
      <c r="D158" s="40">
        <f t="shared" si="4"/>
        <v>322.91999999999996</v>
      </c>
      <c r="E158" s="40">
        <v>0</v>
      </c>
      <c r="F158" s="40">
        <f t="shared" si="5"/>
        <v>484.37999999999994</v>
      </c>
      <c r="G158" s="68"/>
      <c r="H158" s="68"/>
      <c r="I158" s="34"/>
    </row>
    <row r="159" spans="1:10" s="58" customFormat="1" ht="15.75" customHeight="1" x14ac:dyDescent="0.25">
      <c r="A159" s="68">
        <v>20</v>
      </c>
      <c r="B159" s="68"/>
      <c r="C159" s="40" t="s">
        <v>165</v>
      </c>
      <c r="D159" s="40">
        <f t="shared" si="4"/>
        <v>322.91999999999996</v>
      </c>
      <c r="E159" s="40">
        <v>0</v>
      </c>
      <c r="F159" s="40">
        <f t="shared" si="5"/>
        <v>484.37999999999994</v>
      </c>
      <c r="G159" s="68"/>
      <c r="H159" s="68"/>
      <c r="I159" s="34"/>
    </row>
    <row r="160" spans="1:10" s="58" customFormat="1" ht="15.75" customHeight="1" x14ac:dyDescent="0.25">
      <c r="A160" s="68">
        <v>21</v>
      </c>
      <c r="B160" s="68"/>
      <c r="C160" s="40" t="s">
        <v>165</v>
      </c>
      <c r="D160" s="40">
        <f t="shared" si="4"/>
        <v>322.91999999999996</v>
      </c>
      <c r="E160" s="40">
        <v>0</v>
      </c>
      <c r="F160" s="40">
        <f t="shared" si="5"/>
        <v>484.37999999999994</v>
      </c>
      <c r="G160" s="68"/>
      <c r="H160" s="68"/>
      <c r="I160" s="34"/>
    </row>
    <row r="161" spans="1:9" s="58" customFormat="1" ht="15.75" customHeight="1" x14ac:dyDescent="0.25">
      <c r="A161" s="68">
        <v>22</v>
      </c>
      <c r="B161" s="68"/>
      <c r="C161" s="40" t="s">
        <v>165</v>
      </c>
      <c r="D161" s="40">
        <f t="shared" si="4"/>
        <v>322.91999999999996</v>
      </c>
      <c r="E161" s="40">
        <v>0</v>
      </c>
      <c r="F161" s="40">
        <f t="shared" si="5"/>
        <v>484.37999999999994</v>
      </c>
      <c r="G161" s="68"/>
      <c r="H161" s="68"/>
      <c r="I161" s="34"/>
    </row>
    <row r="162" spans="1:9" s="58" customFormat="1" ht="15.75" customHeight="1" x14ac:dyDescent="0.25">
      <c r="A162" s="68">
        <v>23</v>
      </c>
      <c r="B162" s="68"/>
      <c r="C162" s="40" t="s">
        <v>165</v>
      </c>
      <c r="D162" s="40">
        <f t="shared" si="4"/>
        <v>322.91999999999996</v>
      </c>
      <c r="E162" s="40">
        <v>0</v>
      </c>
      <c r="F162" s="40">
        <f t="shared" si="5"/>
        <v>484.37999999999994</v>
      </c>
      <c r="G162" s="68"/>
      <c r="H162" s="68"/>
      <c r="I162" s="34"/>
    </row>
    <row r="163" spans="1:9" s="58" customFormat="1" ht="15.75" customHeight="1" x14ac:dyDescent="0.25">
      <c r="A163" s="68">
        <v>24</v>
      </c>
      <c r="B163" s="68"/>
      <c r="C163" s="40" t="s">
        <v>165</v>
      </c>
      <c r="D163" s="40">
        <f t="shared" si="4"/>
        <v>322.91999999999996</v>
      </c>
      <c r="E163" s="40">
        <v>0</v>
      </c>
      <c r="F163" s="40">
        <f t="shared" si="5"/>
        <v>484.37999999999994</v>
      </c>
      <c r="G163" s="68"/>
      <c r="H163" s="68"/>
      <c r="I163" s="34"/>
    </row>
    <row r="164" spans="1:9" s="58" customFormat="1" ht="15.75" customHeight="1" x14ac:dyDescent="0.25">
      <c r="A164" s="68">
        <v>25</v>
      </c>
      <c r="B164" s="68"/>
      <c r="C164" s="40" t="s">
        <v>165</v>
      </c>
      <c r="D164" s="40">
        <f t="shared" si="4"/>
        <v>322.91999999999996</v>
      </c>
      <c r="E164" s="40">
        <v>0</v>
      </c>
      <c r="F164" s="40">
        <f t="shared" ref="F164:F165" si="6">D164*(($F$136)+1)+(IF(E164&lt;101,E164,IF(E164&lt;201,E164/2,IF(E164&lt;=301,E164/3,E164/4))))</f>
        <v>484.37999999999994</v>
      </c>
      <c r="G164" s="68"/>
      <c r="H164" s="68"/>
      <c r="I164" s="34"/>
    </row>
    <row r="165" spans="1:9" s="58" customFormat="1" ht="15.75" customHeight="1" x14ac:dyDescent="0.25">
      <c r="A165" s="68">
        <v>26</v>
      </c>
      <c r="B165" s="68"/>
      <c r="C165" s="40" t="s">
        <v>165</v>
      </c>
      <c r="D165" s="40">
        <f t="shared" si="4"/>
        <v>322.91999999999996</v>
      </c>
      <c r="E165" s="40">
        <v>0</v>
      </c>
      <c r="F165" s="40">
        <f t="shared" si="6"/>
        <v>484.37999999999994</v>
      </c>
      <c r="G165" s="68"/>
      <c r="H165" s="68"/>
      <c r="I165" s="34"/>
    </row>
    <row r="166" spans="1:9" s="58" customFormat="1" ht="31.5" customHeight="1" x14ac:dyDescent="0.25">
      <c r="A166" s="76" t="s">
        <v>183</v>
      </c>
      <c r="B166" s="77"/>
      <c r="C166" s="77"/>
      <c r="D166" s="77"/>
      <c r="E166" s="77"/>
      <c r="F166" s="77"/>
      <c r="G166" s="77"/>
      <c r="H166" s="78"/>
      <c r="I166" s="34"/>
    </row>
    <row r="167" spans="1:9" s="58" customFormat="1" ht="15.75" customHeight="1" x14ac:dyDescent="0.25">
      <c r="A167" s="68">
        <v>1</v>
      </c>
      <c r="B167" s="68"/>
      <c r="C167" s="40" t="s">
        <v>165</v>
      </c>
      <c r="D167" s="40">
        <f>(30)*10.764</f>
        <v>322.91999999999996</v>
      </c>
      <c r="E167" s="40">
        <v>0</v>
      </c>
      <c r="F167" s="40">
        <f>D167*(($F$136)+1)+(IF(E167&lt;101,E167,IF(E167&lt;201,E167/2,IF(E167&lt;=301,E167/3,E167/4))))</f>
        <v>484.37999999999994</v>
      </c>
      <c r="G167" s="68" t="str">
        <f>A166</f>
        <v>8th Floor 
13th Floor (14th Floor as per builder) (Part Refuge Area)</v>
      </c>
      <c r="H167" s="68"/>
      <c r="I167" s="34"/>
    </row>
    <row r="168" spans="1:9" s="58" customFormat="1" ht="15.75" customHeight="1" x14ac:dyDescent="0.25">
      <c r="A168" s="68">
        <v>2</v>
      </c>
      <c r="B168" s="68"/>
      <c r="C168" s="68" t="s">
        <v>164</v>
      </c>
      <c r="D168" s="68"/>
      <c r="E168" s="68"/>
      <c r="F168" s="68"/>
      <c r="G168" s="68"/>
      <c r="H168" s="68"/>
      <c r="I168" s="34"/>
    </row>
    <row r="169" spans="1:9" s="58" customFormat="1" ht="15.75" customHeight="1" x14ac:dyDescent="0.25">
      <c r="A169" s="68">
        <v>3</v>
      </c>
      <c r="B169" s="68"/>
      <c r="C169" s="68"/>
      <c r="D169" s="68"/>
      <c r="E169" s="68"/>
      <c r="F169" s="68"/>
      <c r="G169" s="68"/>
      <c r="H169" s="68"/>
      <c r="I169" s="34"/>
    </row>
    <row r="170" spans="1:9" s="58" customFormat="1" ht="15.75" customHeight="1" x14ac:dyDescent="0.25">
      <c r="A170" s="68">
        <v>4</v>
      </c>
      <c r="B170" s="68"/>
      <c r="C170" s="40" t="s">
        <v>165</v>
      </c>
      <c r="D170" s="40">
        <f t="shared" ref="D170:D192" si="7">(30)*10.764</f>
        <v>322.91999999999996</v>
      </c>
      <c r="E170" s="40">
        <v>0</v>
      </c>
      <c r="F170" s="40">
        <f t="shared" ref="F170:F192" si="8">D170*(($F$136)+1)+(IF(E170&lt;101,E170,IF(E170&lt;201,E170/2,IF(E170&lt;=301,E170/3,E170/4))))</f>
        <v>484.37999999999994</v>
      </c>
      <c r="G170" s="68"/>
      <c r="H170" s="68"/>
      <c r="I170" s="34"/>
    </row>
    <row r="171" spans="1:9" s="58" customFormat="1" ht="15.75" customHeight="1" x14ac:dyDescent="0.25">
      <c r="A171" s="68">
        <v>5</v>
      </c>
      <c r="B171" s="68"/>
      <c r="C171" s="40" t="s">
        <v>165</v>
      </c>
      <c r="D171" s="40">
        <f t="shared" si="7"/>
        <v>322.91999999999996</v>
      </c>
      <c r="E171" s="40">
        <v>0</v>
      </c>
      <c r="F171" s="40">
        <f t="shared" si="8"/>
        <v>484.37999999999994</v>
      </c>
      <c r="G171" s="68"/>
      <c r="H171" s="68"/>
      <c r="I171" s="34"/>
    </row>
    <row r="172" spans="1:9" s="58" customFormat="1" ht="15.75" customHeight="1" x14ac:dyDescent="0.25">
      <c r="A172" s="68">
        <v>6</v>
      </c>
      <c r="B172" s="68"/>
      <c r="C172" s="40" t="s">
        <v>165</v>
      </c>
      <c r="D172" s="40">
        <f t="shared" si="7"/>
        <v>322.91999999999996</v>
      </c>
      <c r="E172" s="40">
        <v>0</v>
      </c>
      <c r="F172" s="40">
        <f t="shared" si="8"/>
        <v>484.37999999999994</v>
      </c>
      <c r="G172" s="68"/>
      <c r="H172" s="68"/>
      <c r="I172" s="34"/>
    </row>
    <row r="173" spans="1:9" s="58" customFormat="1" ht="15.75" customHeight="1" x14ac:dyDescent="0.25">
      <c r="A173" s="68">
        <v>7</v>
      </c>
      <c r="B173" s="68"/>
      <c r="C173" s="40" t="s">
        <v>165</v>
      </c>
      <c r="D173" s="40">
        <f t="shared" si="7"/>
        <v>322.91999999999996</v>
      </c>
      <c r="E173" s="40">
        <v>0</v>
      </c>
      <c r="F173" s="40">
        <f t="shared" si="8"/>
        <v>484.37999999999994</v>
      </c>
      <c r="G173" s="68"/>
      <c r="H173" s="68"/>
      <c r="I173" s="34"/>
    </row>
    <row r="174" spans="1:9" s="58" customFormat="1" ht="15.75" customHeight="1" x14ac:dyDescent="0.25">
      <c r="A174" s="68">
        <v>8</v>
      </c>
      <c r="B174" s="68"/>
      <c r="C174" s="40" t="s">
        <v>165</v>
      </c>
      <c r="D174" s="40">
        <f t="shared" si="7"/>
        <v>322.91999999999996</v>
      </c>
      <c r="E174" s="40">
        <v>0</v>
      </c>
      <c r="F174" s="40">
        <f t="shared" si="8"/>
        <v>484.37999999999994</v>
      </c>
      <c r="G174" s="68"/>
      <c r="H174" s="68"/>
      <c r="I174" s="34"/>
    </row>
    <row r="175" spans="1:9" s="58" customFormat="1" ht="15.75" customHeight="1" x14ac:dyDescent="0.25">
      <c r="A175" s="68">
        <v>9</v>
      </c>
      <c r="B175" s="68"/>
      <c r="C175" s="40" t="s">
        <v>165</v>
      </c>
      <c r="D175" s="40">
        <f t="shared" si="7"/>
        <v>322.91999999999996</v>
      </c>
      <c r="E175" s="40">
        <v>0</v>
      </c>
      <c r="F175" s="40">
        <f t="shared" si="8"/>
        <v>484.37999999999994</v>
      </c>
      <c r="G175" s="68"/>
      <c r="H175" s="68"/>
      <c r="I175" s="34"/>
    </row>
    <row r="176" spans="1:9" s="58" customFormat="1" ht="15.75" customHeight="1" x14ac:dyDescent="0.25">
      <c r="A176" s="68">
        <v>10</v>
      </c>
      <c r="B176" s="68"/>
      <c r="C176" s="40" t="s">
        <v>165</v>
      </c>
      <c r="D176" s="40">
        <f t="shared" si="7"/>
        <v>322.91999999999996</v>
      </c>
      <c r="E176" s="40">
        <v>0</v>
      </c>
      <c r="F176" s="40">
        <f t="shared" si="8"/>
        <v>484.37999999999994</v>
      </c>
      <c r="G176" s="68"/>
      <c r="H176" s="68"/>
      <c r="I176" s="34"/>
    </row>
    <row r="177" spans="1:9" s="58" customFormat="1" ht="15.75" customHeight="1" x14ac:dyDescent="0.25">
      <c r="A177" s="68">
        <v>11</v>
      </c>
      <c r="B177" s="68"/>
      <c r="C177" s="40" t="s">
        <v>165</v>
      </c>
      <c r="D177" s="40">
        <f t="shared" si="7"/>
        <v>322.91999999999996</v>
      </c>
      <c r="E177" s="40">
        <v>0</v>
      </c>
      <c r="F177" s="40">
        <f t="shared" si="8"/>
        <v>484.37999999999994</v>
      </c>
      <c r="G177" s="68"/>
      <c r="H177" s="68"/>
      <c r="I177" s="34"/>
    </row>
    <row r="178" spans="1:9" s="58" customFormat="1" ht="15.75" customHeight="1" x14ac:dyDescent="0.25">
      <c r="A178" s="68">
        <v>12</v>
      </c>
      <c r="B178" s="68"/>
      <c r="C178" s="40" t="s">
        <v>165</v>
      </c>
      <c r="D178" s="40">
        <f t="shared" si="7"/>
        <v>322.91999999999996</v>
      </c>
      <c r="E178" s="40">
        <v>0</v>
      </c>
      <c r="F178" s="40">
        <f t="shared" si="8"/>
        <v>484.37999999999994</v>
      </c>
      <c r="G178" s="68"/>
      <c r="H178" s="68"/>
      <c r="I178" s="34"/>
    </row>
    <row r="179" spans="1:9" s="58" customFormat="1" ht="15.75" customHeight="1" x14ac:dyDescent="0.25">
      <c r="A179" s="68">
        <v>13</v>
      </c>
      <c r="B179" s="68"/>
      <c r="C179" s="40" t="s">
        <v>165</v>
      </c>
      <c r="D179" s="40">
        <f t="shared" si="7"/>
        <v>322.91999999999996</v>
      </c>
      <c r="E179" s="40">
        <v>0</v>
      </c>
      <c r="F179" s="40">
        <f t="shared" si="8"/>
        <v>484.37999999999994</v>
      </c>
      <c r="G179" s="68"/>
      <c r="H179" s="68"/>
      <c r="I179" s="34"/>
    </row>
    <row r="180" spans="1:9" s="58" customFormat="1" ht="15.75" customHeight="1" x14ac:dyDescent="0.25">
      <c r="A180" s="68">
        <v>14</v>
      </c>
      <c r="B180" s="68"/>
      <c r="C180" s="40" t="s">
        <v>165</v>
      </c>
      <c r="D180" s="40">
        <f t="shared" si="7"/>
        <v>322.91999999999996</v>
      </c>
      <c r="E180" s="40">
        <v>0</v>
      </c>
      <c r="F180" s="40">
        <f t="shared" si="8"/>
        <v>484.37999999999994</v>
      </c>
      <c r="G180" s="68"/>
      <c r="H180" s="68"/>
      <c r="I180" s="34"/>
    </row>
    <row r="181" spans="1:9" s="58" customFormat="1" ht="15.75" customHeight="1" x14ac:dyDescent="0.25">
      <c r="A181" s="68">
        <v>15</v>
      </c>
      <c r="B181" s="68"/>
      <c r="C181" s="40" t="s">
        <v>165</v>
      </c>
      <c r="D181" s="40">
        <f t="shared" si="7"/>
        <v>322.91999999999996</v>
      </c>
      <c r="E181" s="40">
        <v>0</v>
      </c>
      <c r="F181" s="40">
        <f t="shared" si="8"/>
        <v>484.37999999999994</v>
      </c>
      <c r="G181" s="68"/>
      <c r="H181" s="68"/>
      <c r="I181" s="34"/>
    </row>
    <row r="182" spans="1:9" s="58" customFormat="1" ht="15.75" customHeight="1" x14ac:dyDescent="0.25">
      <c r="A182" s="68">
        <v>16</v>
      </c>
      <c r="B182" s="68"/>
      <c r="C182" s="40" t="s">
        <v>165</v>
      </c>
      <c r="D182" s="40">
        <f t="shared" si="7"/>
        <v>322.91999999999996</v>
      </c>
      <c r="E182" s="40">
        <v>0</v>
      </c>
      <c r="F182" s="40">
        <f t="shared" si="8"/>
        <v>484.37999999999994</v>
      </c>
      <c r="G182" s="68"/>
      <c r="H182" s="68"/>
      <c r="I182" s="34"/>
    </row>
    <row r="183" spans="1:9" s="58" customFormat="1" ht="15.75" customHeight="1" x14ac:dyDescent="0.25">
      <c r="A183" s="68">
        <v>17</v>
      </c>
      <c r="B183" s="68"/>
      <c r="C183" s="40" t="s">
        <v>165</v>
      </c>
      <c r="D183" s="40">
        <f t="shared" si="7"/>
        <v>322.91999999999996</v>
      </c>
      <c r="E183" s="40">
        <v>0</v>
      </c>
      <c r="F183" s="40">
        <f t="shared" si="8"/>
        <v>484.37999999999994</v>
      </c>
      <c r="G183" s="68"/>
      <c r="H183" s="68"/>
      <c r="I183" s="34"/>
    </row>
    <row r="184" spans="1:9" s="58" customFormat="1" ht="15.75" customHeight="1" x14ac:dyDescent="0.25">
      <c r="A184" s="68">
        <v>18</v>
      </c>
      <c r="B184" s="68"/>
      <c r="C184" s="40" t="s">
        <v>165</v>
      </c>
      <c r="D184" s="40">
        <f t="shared" si="7"/>
        <v>322.91999999999996</v>
      </c>
      <c r="E184" s="40">
        <v>0</v>
      </c>
      <c r="F184" s="40">
        <f t="shared" si="8"/>
        <v>484.37999999999994</v>
      </c>
      <c r="G184" s="68"/>
      <c r="H184" s="68"/>
      <c r="I184" s="34"/>
    </row>
    <row r="185" spans="1:9" s="58" customFormat="1" ht="15.75" customHeight="1" x14ac:dyDescent="0.25">
      <c r="A185" s="68">
        <v>19</v>
      </c>
      <c r="B185" s="68"/>
      <c r="C185" s="40" t="s">
        <v>165</v>
      </c>
      <c r="D185" s="40">
        <f t="shared" si="7"/>
        <v>322.91999999999996</v>
      </c>
      <c r="E185" s="40">
        <v>0</v>
      </c>
      <c r="F185" s="40">
        <f t="shared" si="8"/>
        <v>484.37999999999994</v>
      </c>
      <c r="G185" s="68"/>
      <c r="H185" s="68"/>
      <c r="I185" s="34"/>
    </row>
    <row r="186" spans="1:9" s="58" customFormat="1" ht="15.75" customHeight="1" x14ac:dyDescent="0.25">
      <c r="A186" s="68">
        <v>20</v>
      </c>
      <c r="B186" s="68"/>
      <c r="C186" s="40" t="s">
        <v>165</v>
      </c>
      <c r="D186" s="40">
        <f t="shared" si="7"/>
        <v>322.91999999999996</v>
      </c>
      <c r="E186" s="40">
        <v>0</v>
      </c>
      <c r="F186" s="40">
        <f t="shared" si="8"/>
        <v>484.37999999999994</v>
      </c>
      <c r="G186" s="68"/>
      <c r="H186" s="68"/>
      <c r="I186" s="34"/>
    </row>
    <row r="187" spans="1:9" s="58" customFormat="1" ht="15.75" customHeight="1" x14ac:dyDescent="0.25">
      <c r="A187" s="68">
        <v>21</v>
      </c>
      <c r="B187" s="68"/>
      <c r="C187" s="40" t="s">
        <v>165</v>
      </c>
      <c r="D187" s="40">
        <f t="shared" si="7"/>
        <v>322.91999999999996</v>
      </c>
      <c r="E187" s="40">
        <v>0</v>
      </c>
      <c r="F187" s="40">
        <f t="shared" si="8"/>
        <v>484.37999999999994</v>
      </c>
      <c r="G187" s="68"/>
      <c r="H187" s="68"/>
      <c r="I187" s="34"/>
    </row>
    <row r="188" spans="1:9" s="58" customFormat="1" ht="15.75" customHeight="1" x14ac:dyDescent="0.25">
      <c r="A188" s="68">
        <v>22</v>
      </c>
      <c r="B188" s="68"/>
      <c r="C188" s="40" t="s">
        <v>165</v>
      </c>
      <c r="D188" s="40">
        <f t="shared" si="7"/>
        <v>322.91999999999996</v>
      </c>
      <c r="E188" s="40">
        <v>0</v>
      </c>
      <c r="F188" s="40">
        <f t="shared" si="8"/>
        <v>484.37999999999994</v>
      </c>
      <c r="G188" s="68"/>
      <c r="H188" s="68"/>
      <c r="I188" s="34"/>
    </row>
    <row r="189" spans="1:9" s="58" customFormat="1" ht="15.75" customHeight="1" x14ac:dyDescent="0.25">
      <c r="A189" s="68">
        <v>23</v>
      </c>
      <c r="B189" s="68"/>
      <c r="C189" s="40" t="s">
        <v>165</v>
      </c>
      <c r="D189" s="40">
        <f t="shared" si="7"/>
        <v>322.91999999999996</v>
      </c>
      <c r="E189" s="40">
        <v>0</v>
      </c>
      <c r="F189" s="40">
        <f t="shared" si="8"/>
        <v>484.37999999999994</v>
      </c>
      <c r="G189" s="68"/>
      <c r="H189" s="68"/>
      <c r="I189" s="34"/>
    </row>
    <row r="190" spans="1:9" s="58" customFormat="1" ht="15.75" customHeight="1" x14ac:dyDescent="0.25">
      <c r="A190" s="68">
        <v>24</v>
      </c>
      <c r="B190" s="68"/>
      <c r="C190" s="40" t="s">
        <v>165</v>
      </c>
      <c r="D190" s="40">
        <f t="shared" si="7"/>
        <v>322.91999999999996</v>
      </c>
      <c r="E190" s="40">
        <v>0</v>
      </c>
      <c r="F190" s="40">
        <f t="shared" si="8"/>
        <v>484.37999999999994</v>
      </c>
      <c r="G190" s="68"/>
      <c r="H190" s="68"/>
      <c r="I190" s="34"/>
    </row>
    <row r="191" spans="1:9" s="58" customFormat="1" ht="15.75" customHeight="1" x14ac:dyDescent="0.25">
      <c r="A191" s="68">
        <v>25</v>
      </c>
      <c r="B191" s="68"/>
      <c r="C191" s="40" t="s">
        <v>165</v>
      </c>
      <c r="D191" s="40">
        <f t="shared" si="7"/>
        <v>322.91999999999996</v>
      </c>
      <c r="E191" s="40">
        <v>0</v>
      </c>
      <c r="F191" s="40">
        <f t="shared" si="8"/>
        <v>484.37999999999994</v>
      </c>
      <c r="G191" s="68"/>
      <c r="H191" s="68"/>
      <c r="I191" s="34"/>
    </row>
    <row r="192" spans="1:9" s="58" customFormat="1" ht="15.75" customHeight="1" x14ac:dyDescent="0.25">
      <c r="A192" s="68">
        <v>26</v>
      </c>
      <c r="B192" s="68"/>
      <c r="C192" s="40" t="s">
        <v>165</v>
      </c>
      <c r="D192" s="40">
        <f t="shared" si="7"/>
        <v>322.91999999999996</v>
      </c>
      <c r="E192" s="40">
        <v>0</v>
      </c>
      <c r="F192" s="40">
        <f t="shared" si="8"/>
        <v>484.37999999999994</v>
      </c>
      <c r="G192" s="68"/>
      <c r="H192" s="68"/>
      <c r="I192" s="34"/>
    </row>
    <row r="193" spans="1:8" s="33" customFormat="1" x14ac:dyDescent="0.25">
      <c r="A193" s="152" t="s">
        <v>69</v>
      </c>
      <c r="B193" s="152"/>
      <c r="C193" s="152"/>
      <c r="D193" s="152"/>
      <c r="E193" s="152"/>
      <c r="F193" s="152"/>
      <c r="G193" s="152"/>
      <c r="H193" s="152"/>
    </row>
    <row r="194" spans="1:8" s="33" customFormat="1" x14ac:dyDescent="0.25">
      <c r="A194" s="53" t="s">
        <v>153</v>
      </c>
      <c r="B194" s="151" t="s">
        <v>224</v>
      </c>
      <c r="C194" s="151"/>
      <c r="D194" s="151"/>
      <c r="E194" s="151"/>
      <c r="F194" s="151"/>
      <c r="G194" s="151"/>
      <c r="H194" s="151"/>
    </row>
    <row r="195" spans="1:8" s="33" customFormat="1" x14ac:dyDescent="0.25">
      <c r="A195" s="53" t="s">
        <v>153</v>
      </c>
      <c r="B195" s="151" t="str">
        <f>(IF(F135="Saleable area Loading :","We have considered Saleable area of Flats as per our Calculation.","We considered Saleable area of Flat as per Builder area Sheet."))</f>
        <v>We have considered Saleable area of Flats as per our Calculation.</v>
      </c>
      <c r="C195" s="151"/>
      <c r="D195" s="151"/>
      <c r="E195" s="151"/>
      <c r="F195" s="151"/>
      <c r="G195" s="151"/>
      <c r="H195" s="151"/>
    </row>
    <row r="196" spans="1:8" s="33" customFormat="1" x14ac:dyDescent="0.25">
      <c r="A196" s="53" t="s">
        <v>153</v>
      </c>
      <c r="B196" s="151" t="s">
        <v>124</v>
      </c>
      <c r="C196" s="151"/>
      <c r="D196" s="151"/>
      <c r="E196" s="151"/>
      <c r="F196" s="151"/>
      <c r="G196" s="151"/>
      <c r="H196" s="151"/>
    </row>
    <row r="197" spans="1:8" s="33" customFormat="1" x14ac:dyDescent="0.25">
      <c r="A197" s="62" t="s">
        <v>153</v>
      </c>
      <c r="B197" s="110" t="s">
        <v>174</v>
      </c>
      <c r="C197" s="110"/>
      <c r="D197" s="110"/>
      <c r="E197" s="110"/>
      <c r="F197" s="110"/>
      <c r="G197" s="110"/>
      <c r="H197" s="110"/>
    </row>
    <row r="198" spans="1:8" s="33" customFormat="1" x14ac:dyDescent="0.25">
      <c r="A198" s="62" t="s">
        <v>153</v>
      </c>
      <c r="B198" s="110" t="s">
        <v>152</v>
      </c>
      <c r="C198" s="110"/>
      <c r="D198" s="110"/>
      <c r="E198" s="110"/>
      <c r="F198" s="110"/>
      <c r="G198" s="110"/>
      <c r="H198" s="110"/>
    </row>
    <row r="199" spans="1:8" s="33" customFormat="1" x14ac:dyDescent="0.25">
      <c r="A199" s="43" t="s">
        <v>153</v>
      </c>
      <c r="B199" s="104" t="s">
        <v>125</v>
      </c>
      <c r="C199" s="105"/>
      <c r="D199" s="105"/>
      <c r="E199" s="105"/>
      <c r="F199" s="105"/>
      <c r="G199" s="105"/>
      <c r="H199" s="106"/>
    </row>
    <row r="200" spans="1:8" s="33" customFormat="1" ht="34.5" customHeight="1" x14ac:dyDescent="0.25">
      <c r="A200" s="43" t="s">
        <v>153</v>
      </c>
      <c r="B200" s="104" t="s">
        <v>154</v>
      </c>
      <c r="C200" s="105"/>
      <c r="D200" s="105"/>
      <c r="E200" s="105"/>
      <c r="F200" s="105"/>
      <c r="G200" s="105"/>
      <c r="H200" s="106"/>
    </row>
    <row r="201" spans="1:8" s="33" customFormat="1" x14ac:dyDescent="0.25">
      <c r="A201" s="53" t="s">
        <v>153</v>
      </c>
      <c r="B201" s="90" t="s">
        <v>126</v>
      </c>
      <c r="C201" s="91"/>
      <c r="D201" s="91"/>
      <c r="E201" s="91"/>
      <c r="F201" s="91"/>
      <c r="G201" s="91"/>
      <c r="H201" s="92"/>
    </row>
    <row r="202" spans="1:8" s="33" customFormat="1" x14ac:dyDescent="0.25">
      <c r="A202" s="53" t="s">
        <v>153</v>
      </c>
      <c r="B202" s="90" t="s">
        <v>188</v>
      </c>
      <c r="C202" s="91"/>
      <c r="D202" s="91"/>
      <c r="E202" s="91"/>
      <c r="F202" s="91"/>
      <c r="G202" s="91"/>
      <c r="H202" s="92"/>
    </row>
    <row r="203" spans="1:8" s="33" customFormat="1" hidden="1" x14ac:dyDescent="0.25">
      <c r="A203" s="53" t="s">
        <v>153</v>
      </c>
      <c r="B203" s="90" t="s">
        <v>194</v>
      </c>
      <c r="C203" s="91"/>
      <c r="D203" s="91"/>
      <c r="E203" s="91"/>
      <c r="F203" s="91"/>
      <c r="G203" s="91"/>
      <c r="H203" s="92"/>
    </row>
    <row r="204" spans="1:8" x14ac:dyDescent="0.25">
      <c r="A204" s="165" t="s">
        <v>62</v>
      </c>
      <c r="B204" s="165"/>
      <c r="C204" s="165"/>
      <c r="D204" s="165"/>
      <c r="E204" s="165"/>
      <c r="F204" s="165"/>
      <c r="G204" s="165"/>
      <c r="H204" s="165"/>
    </row>
    <row r="205" spans="1:8" x14ac:dyDescent="0.25">
      <c r="A205" s="138" t="s">
        <v>63</v>
      </c>
      <c r="B205" s="138"/>
      <c r="C205" s="138"/>
      <c r="D205" s="138"/>
      <c r="E205" s="138"/>
      <c r="F205" s="138"/>
      <c r="G205" s="138"/>
      <c r="H205" s="138"/>
    </row>
    <row r="206" spans="1:8" ht="15.75" customHeight="1" x14ac:dyDescent="0.25">
      <c r="A206" s="159" t="s">
        <v>64</v>
      </c>
      <c r="B206" s="159"/>
      <c r="C206" s="159"/>
      <c r="D206" s="159"/>
      <c r="E206" s="159"/>
      <c r="F206" s="159"/>
      <c r="G206" s="159"/>
      <c r="H206" s="159"/>
    </row>
    <row r="207" spans="1:8" x14ac:dyDescent="0.25">
      <c r="A207" s="101" t="s">
        <v>65</v>
      </c>
      <c r="B207" s="101"/>
      <c r="C207" s="101"/>
      <c r="D207" s="101"/>
      <c r="E207" s="101"/>
      <c r="F207" s="101"/>
      <c r="G207" s="101"/>
      <c r="H207" s="101"/>
    </row>
    <row r="208" spans="1:8" x14ac:dyDescent="0.25">
      <c r="A208" s="101" t="s">
        <v>66</v>
      </c>
      <c r="B208" s="101"/>
      <c r="C208" s="101"/>
      <c r="D208" s="101"/>
      <c r="E208" s="101"/>
      <c r="F208" s="101"/>
      <c r="G208" s="101"/>
      <c r="H208" s="101"/>
    </row>
    <row r="209" spans="1:8" hidden="1" x14ac:dyDescent="0.25">
      <c r="A209" s="101" t="s">
        <v>127</v>
      </c>
      <c r="B209" s="101"/>
      <c r="C209" s="101"/>
      <c r="D209" s="101"/>
      <c r="E209" s="101"/>
      <c r="F209" s="101"/>
      <c r="G209" s="101"/>
      <c r="H209" s="101"/>
    </row>
    <row r="210" spans="1:8" hidden="1" x14ac:dyDescent="0.25">
      <c r="A210" s="139" t="s">
        <v>128</v>
      </c>
      <c r="B210" s="139"/>
      <c r="C210" s="139"/>
      <c r="D210" s="139"/>
      <c r="E210" s="139"/>
      <c r="F210" s="139"/>
      <c r="G210" s="139"/>
      <c r="H210" s="139"/>
    </row>
    <row r="211" spans="1:8" x14ac:dyDescent="0.25">
      <c r="A211" s="148" t="s">
        <v>77</v>
      </c>
      <c r="B211" s="148"/>
      <c r="C211" s="148" t="s">
        <v>230</v>
      </c>
      <c r="D211" s="148"/>
      <c r="E211" s="148" t="s">
        <v>107</v>
      </c>
      <c r="F211" s="148"/>
      <c r="G211" s="148" t="s">
        <v>229</v>
      </c>
      <c r="H211" s="148"/>
    </row>
    <row r="212" spans="1:8" x14ac:dyDescent="0.25">
      <c r="A212" s="147" t="s">
        <v>79</v>
      </c>
      <c r="B212" s="147"/>
      <c r="C212" s="147"/>
      <c r="D212" s="147"/>
      <c r="E212" s="147"/>
      <c r="F212" s="147"/>
      <c r="G212" s="147"/>
      <c r="H212" s="147"/>
    </row>
    <row r="213" spans="1:8" x14ac:dyDescent="0.25">
      <c r="A213" s="147"/>
      <c r="B213" s="147"/>
      <c r="C213" s="147"/>
      <c r="D213" s="147"/>
      <c r="E213" s="147"/>
      <c r="F213" s="147"/>
      <c r="G213" s="147"/>
      <c r="H213" s="147"/>
    </row>
    <row r="214" spans="1:8" x14ac:dyDescent="0.25">
      <c r="A214" s="147"/>
      <c r="B214" s="147"/>
      <c r="C214" s="147"/>
      <c r="D214" s="147"/>
      <c r="E214" s="147"/>
      <c r="F214" s="147"/>
      <c r="G214" s="147"/>
      <c r="H214" s="147"/>
    </row>
    <row r="215" spans="1:8" x14ac:dyDescent="0.25">
      <c r="A215" s="147"/>
      <c r="B215" s="147"/>
      <c r="C215" s="147"/>
      <c r="D215" s="147"/>
      <c r="E215" s="147"/>
      <c r="F215" s="147"/>
      <c r="G215" s="147"/>
      <c r="H215" s="147"/>
    </row>
    <row r="216" spans="1:8" x14ac:dyDescent="0.25">
      <c r="A216" s="36" t="s">
        <v>67</v>
      </c>
      <c r="B216" s="37"/>
      <c r="C216" s="37"/>
      <c r="D216" s="36" t="str">
        <f>E8</f>
        <v>Tulip C &amp; D</v>
      </c>
      <c r="F216" s="37"/>
      <c r="G216" s="37"/>
      <c r="H216" s="37"/>
    </row>
    <row r="217" spans="1:8" x14ac:dyDescent="0.25">
      <c r="A217" s="37"/>
      <c r="B217" s="37"/>
      <c r="C217" s="37"/>
      <c r="D217" s="37"/>
      <c r="E217" s="37"/>
      <c r="F217" s="37"/>
      <c r="G217" s="37"/>
      <c r="H217" s="37"/>
    </row>
    <row r="218" spans="1:8" x14ac:dyDescent="0.25">
      <c r="A218" s="37"/>
      <c r="B218" s="37"/>
      <c r="C218" s="37"/>
      <c r="D218" s="37"/>
      <c r="E218" s="37"/>
      <c r="F218" s="37"/>
      <c r="G218" s="37"/>
      <c r="H218" s="37"/>
    </row>
    <row r="219" spans="1:8" ht="15" customHeight="1" x14ac:dyDescent="0.25"/>
    <row r="259" spans="1:8" x14ac:dyDescent="0.25">
      <c r="A259" s="36" t="s">
        <v>189</v>
      </c>
      <c r="B259" s="37"/>
      <c r="C259" s="37"/>
      <c r="D259" s="36"/>
      <c r="F259" s="37"/>
      <c r="G259" s="37"/>
      <c r="H259" s="37"/>
    </row>
    <row r="260" spans="1:8" x14ac:dyDescent="0.25">
      <c r="A260" s="37"/>
      <c r="B260" s="37"/>
      <c r="C260" s="37"/>
      <c r="D260" s="37"/>
      <c r="E260" s="37"/>
      <c r="F260" s="37"/>
      <c r="G260" s="37"/>
      <c r="H260" s="37"/>
    </row>
    <row r="261" spans="1:8" x14ac:dyDescent="0.25">
      <c r="A261" s="37"/>
      <c r="B261" s="37"/>
      <c r="C261" s="37"/>
      <c r="D261" s="37"/>
      <c r="E261" s="37"/>
      <c r="F261" s="37"/>
      <c r="G261" s="37"/>
      <c r="H261" s="37"/>
    </row>
    <row r="262" spans="1:8" ht="15" customHeight="1" x14ac:dyDescent="0.25"/>
    <row r="294" spans="1:1" x14ac:dyDescent="0.25">
      <c r="A294" s="39" t="s">
        <v>68</v>
      </c>
    </row>
  </sheetData>
  <mergeCells count="349"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E40:H40"/>
    <mergeCell ref="A40:D40"/>
    <mergeCell ref="D54:H54"/>
    <mergeCell ref="D57:H57"/>
    <mergeCell ref="A52:B52"/>
    <mergeCell ref="C52:E52"/>
    <mergeCell ref="A53:H53"/>
    <mergeCell ref="A54:C54"/>
    <mergeCell ref="A55:C55"/>
    <mergeCell ref="D55:H55"/>
    <mergeCell ref="G52:H52"/>
    <mergeCell ref="A47:H47"/>
    <mergeCell ref="A43:D43"/>
    <mergeCell ref="A44:D44"/>
    <mergeCell ref="G49:H49"/>
    <mergeCell ref="A45:H45"/>
    <mergeCell ref="D56:H56"/>
    <mergeCell ref="A56:C56"/>
    <mergeCell ref="A48:B48"/>
    <mergeCell ref="C48:E48"/>
    <mergeCell ref="G48:H48"/>
    <mergeCell ref="A49:B49"/>
    <mergeCell ref="C49:E49"/>
    <mergeCell ref="A50:B51"/>
    <mergeCell ref="A209:H209"/>
    <mergeCell ref="A206:H206"/>
    <mergeCell ref="A111:B111"/>
    <mergeCell ref="D135:D136"/>
    <mergeCell ref="E135:E136"/>
    <mergeCell ref="G135:H136"/>
    <mergeCell ref="A74:B74"/>
    <mergeCell ref="F94:H94"/>
    <mergeCell ref="G112:H112"/>
    <mergeCell ref="A204:H204"/>
    <mergeCell ref="A146:B146"/>
    <mergeCell ref="A147:B147"/>
    <mergeCell ref="A103:E103"/>
    <mergeCell ref="A152:B152"/>
    <mergeCell ref="A138:H138"/>
    <mergeCell ref="A113:B113"/>
    <mergeCell ref="C113:D113"/>
    <mergeCell ref="E113:F113"/>
    <mergeCell ref="G113:H113"/>
    <mergeCell ref="A150:B150"/>
    <mergeCell ref="A151:B151"/>
    <mergeCell ref="A148:B148"/>
    <mergeCell ref="A149:B149"/>
    <mergeCell ref="A137:H137"/>
    <mergeCell ref="C111:D111"/>
    <mergeCell ref="G111:H111"/>
    <mergeCell ref="C135:C136"/>
    <mergeCell ref="F100:H100"/>
    <mergeCell ref="A94:E94"/>
    <mergeCell ref="F93:H93"/>
    <mergeCell ref="F98:H98"/>
    <mergeCell ref="A96:E96"/>
    <mergeCell ref="A93:E93"/>
    <mergeCell ref="F101:H101"/>
    <mergeCell ref="F104:H104"/>
    <mergeCell ref="F102:H102"/>
    <mergeCell ref="A104:E104"/>
    <mergeCell ref="F97:H97"/>
    <mergeCell ref="F103:H103"/>
    <mergeCell ref="B201:H201"/>
    <mergeCell ref="B202:H202"/>
    <mergeCell ref="B199:H199"/>
    <mergeCell ref="A114:H114"/>
    <mergeCell ref="A141:B141"/>
    <mergeCell ref="A115:H115"/>
    <mergeCell ref="A145:B145"/>
    <mergeCell ref="B196:H196"/>
    <mergeCell ref="B197:H197"/>
    <mergeCell ref="A193:H193"/>
    <mergeCell ref="B135:B136"/>
    <mergeCell ref="A139:H139"/>
    <mergeCell ref="A143:B143"/>
    <mergeCell ref="A140:B140"/>
    <mergeCell ref="A179:B179"/>
    <mergeCell ref="A180:B180"/>
    <mergeCell ref="A181:B181"/>
    <mergeCell ref="A182:B182"/>
    <mergeCell ref="A183:B183"/>
    <mergeCell ref="A184:B184"/>
    <mergeCell ref="A185:B185"/>
    <mergeCell ref="A132:B132"/>
    <mergeCell ref="A157:B157"/>
    <mergeCell ref="A158:B158"/>
    <mergeCell ref="A212:H215"/>
    <mergeCell ref="A211:B211"/>
    <mergeCell ref="E211:F211"/>
    <mergeCell ref="C211:D211"/>
    <mergeCell ref="G211:H211"/>
    <mergeCell ref="A105:E105"/>
    <mergeCell ref="F105:H105"/>
    <mergeCell ref="A106:E106"/>
    <mergeCell ref="F106:H106"/>
    <mergeCell ref="A112:B112"/>
    <mergeCell ref="A142:B142"/>
    <mergeCell ref="A207:H207"/>
    <mergeCell ref="A110:H110"/>
    <mergeCell ref="A210:H210"/>
    <mergeCell ref="A208:H208"/>
    <mergeCell ref="C112:D112"/>
    <mergeCell ref="E112:F112"/>
    <mergeCell ref="A116:H116"/>
    <mergeCell ref="A135:A136"/>
    <mergeCell ref="A144:B144"/>
    <mergeCell ref="B194:H194"/>
    <mergeCell ref="B195:H195"/>
    <mergeCell ref="A205:H205"/>
    <mergeCell ref="E111:F1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F34:H34"/>
    <mergeCell ref="A36:B36"/>
    <mergeCell ref="D60:H60"/>
    <mergeCell ref="C67:H67"/>
    <mergeCell ref="A70:B70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G69:H78"/>
    <mergeCell ref="A77:B77"/>
    <mergeCell ref="A78:B78"/>
    <mergeCell ref="D59:H59"/>
    <mergeCell ref="A41:D41"/>
    <mergeCell ref="E41:H41"/>
    <mergeCell ref="E42:H42"/>
    <mergeCell ref="E43:H43"/>
    <mergeCell ref="E44:H44"/>
    <mergeCell ref="A42:D42"/>
    <mergeCell ref="A76:B76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39:D39"/>
    <mergeCell ref="E39:H39"/>
    <mergeCell ref="F31:H31"/>
    <mergeCell ref="A35:H35"/>
    <mergeCell ref="A75:B75"/>
    <mergeCell ref="A68:B68"/>
    <mergeCell ref="A71:B71"/>
    <mergeCell ref="A67:B67"/>
    <mergeCell ref="A65:B65"/>
    <mergeCell ref="C65:H65"/>
    <mergeCell ref="A73:B73"/>
    <mergeCell ref="A60:C60"/>
    <mergeCell ref="A57:C57"/>
    <mergeCell ref="A72:B72"/>
    <mergeCell ref="E68:F68"/>
    <mergeCell ref="A34:B34"/>
    <mergeCell ref="C34:E34"/>
    <mergeCell ref="F32:H32"/>
    <mergeCell ref="A38:H38"/>
    <mergeCell ref="A58:C58"/>
    <mergeCell ref="A59:C59"/>
    <mergeCell ref="D58:H58"/>
    <mergeCell ref="C36:H36"/>
    <mergeCell ref="E69:F78"/>
    <mergeCell ref="B203:H203"/>
    <mergeCell ref="C50:E50"/>
    <mergeCell ref="G50:H50"/>
    <mergeCell ref="C51:H51"/>
    <mergeCell ref="A117:A118"/>
    <mergeCell ref="A15:B15"/>
    <mergeCell ref="C15:H15"/>
    <mergeCell ref="A37:B37"/>
    <mergeCell ref="C37:H37"/>
    <mergeCell ref="B200:H200"/>
    <mergeCell ref="A46:B46"/>
    <mergeCell ref="C46:H46"/>
    <mergeCell ref="B198:H198"/>
    <mergeCell ref="F95:H95"/>
    <mergeCell ref="A95:E95"/>
    <mergeCell ref="A97:E97"/>
    <mergeCell ref="A99:E99"/>
    <mergeCell ref="F99:H99"/>
    <mergeCell ref="A100:E100"/>
    <mergeCell ref="A102:E102"/>
    <mergeCell ref="F96:H96"/>
    <mergeCell ref="A101:E101"/>
    <mergeCell ref="A98:E98"/>
    <mergeCell ref="A178:B178"/>
    <mergeCell ref="L124:M124"/>
    <mergeCell ref="A125:B125"/>
    <mergeCell ref="L125:M125"/>
    <mergeCell ref="A126:B126"/>
    <mergeCell ref="L126:M126"/>
    <mergeCell ref="B117:B118"/>
    <mergeCell ref="C117:C118"/>
    <mergeCell ref="D117:D118"/>
    <mergeCell ref="E117:E118"/>
    <mergeCell ref="G117:H118"/>
    <mergeCell ref="A119:H119"/>
    <mergeCell ref="A120:H120"/>
    <mergeCell ref="A121:H121"/>
    <mergeCell ref="L132:M132"/>
    <mergeCell ref="A133:B133"/>
    <mergeCell ref="L133:M133"/>
    <mergeCell ref="A134:H134"/>
    <mergeCell ref="G122:H133"/>
    <mergeCell ref="A153:B153"/>
    <mergeCell ref="A154:B154"/>
    <mergeCell ref="A155:B155"/>
    <mergeCell ref="A156:B15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A131:B131"/>
    <mergeCell ref="L131:M131"/>
    <mergeCell ref="A122:B122"/>
    <mergeCell ref="L122:M122"/>
    <mergeCell ref="A123:B123"/>
    <mergeCell ref="L123:M123"/>
    <mergeCell ref="A124:B124"/>
    <mergeCell ref="A177:B177"/>
    <mergeCell ref="A186:B186"/>
    <mergeCell ref="A187:B187"/>
    <mergeCell ref="A188:B188"/>
    <mergeCell ref="A189:B189"/>
    <mergeCell ref="A159:B159"/>
    <mergeCell ref="A160:B160"/>
    <mergeCell ref="A161:B161"/>
    <mergeCell ref="A162:B162"/>
    <mergeCell ref="A163:B163"/>
    <mergeCell ref="A169:B169"/>
    <mergeCell ref="A170:B170"/>
    <mergeCell ref="A171:B171"/>
    <mergeCell ref="A172:B172"/>
    <mergeCell ref="A190:B190"/>
    <mergeCell ref="A191:B191"/>
    <mergeCell ref="A192:B192"/>
    <mergeCell ref="C168:F169"/>
    <mergeCell ref="A107:H107"/>
    <mergeCell ref="A108:B108"/>
    <mergeCell ref="C108:D108"/>
    <mergeCell ref="E108:F108"/>
    <mergeCell ref="G108:H108"/>
    <mergeCell ref="A109:B109"/>
    <mergeCell ref="C109:D109"/>
    <mergeCell ref="E109:F109"/>
    <mergeCell ref="G109:H109"/>
    <mergeCell ref="A164:B164"/>
    <mergeCell ref="A165:B165"/>
    <mergeCell ref="G140:H165"/>
    <mergeCell ref="A166:H166"/>
    <mergeCell ref="A167:B167"/>
    <mergeCell ref="G167:H192"/>
    <mergeCell ref="A168:B168"/>
    <mergeCell ref="A173:B173"/>
    <mergeCell ref="A174:B174"/>
    <mergeCell ref="A175:B175"/>
    <mergeCell ref="A176:B176"/>
  </mergeCells>
  <hyperlinks>
    <hyperlink ref="C37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4" max="16383" man="1"/>
    <brk id="113" max="7" man="1"/>
    <brk id="192" max="16383" man="1"/>
    <brk id="215" max="16383" man="1"/>
    <brk id="258" max="16383" man="1"/>
    <brk id="29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" zoomScale="145" zoomScaleNormal="145" workbookViewId="0">
      <selection activeCell="B42" sqref="B42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108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2025-07-15T09:03:08Z</cp:lastPrinted>
  <dcterms:created xsi:type="dcterms:W3CDTF">2019-07-16T09:29:46Z</dcterms:created>
  <dcterms:modified xsi:type="dcterms:W3CDTF">2025-07-15T09:04:18Z</dcterms:modified>
</cp:coreProperties>
</file>