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C04051FB-6525-41BA-A911-929797B3704D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2" i="1" l="1"/>
  <c r="F202" i="1" s="1"/>
  <c r="D201" i="1"/>
  <c r="F201" i="1" s="1"/>
  <c r="D200" i="1"/>
  <c r="D199" i="1"/>
  <c r="F199" i="1" s="1"/>
  <c r="D198" i="1"/>
  <c r="F198" i="1" s="1"/>
  <c r="D197" i="1"/>
  <c r="F197" i="1" s="1"/>
  <c r="D196" i="1"/>
  <c r="F196" i="1" s="1"/>
  <c r="D194" i="1"/>
  <c r="F194" i="1" s="1"/>
  <c r="D193" i="1"/>
  <c r="F193" i="1" s="1"/>
  <c r="J193" i="1" s="1"/>
  <c r="D192" i="1"/>
  <c r="F192" i="1" s="1"/>
  <c r="D191" i="1"/>
  <c r="D190" i="1"/>
  <c r="D189" i="1"/>
  <c r="F189" i="1" s="1"/>
  <c r="D188" i="1"/>
  <c r="F188" i="1" s="1"/>
  <c r="D187" i="1"/>
  <c r="F187" i="1" s="1"/>
  <c r="E185" i="1"/>
  <c r="E184" i="1"/>
  <c r="E183" i="1"/>
  <c r="E182" i="1"/>
  <c r="D185" i="1"/>
  <c r="D184" i="1"/>
  <c r="D183" i="1"/>
  <c r="D182" i="1"/>
  <c r="D181" i="1"/>
  <c r="F181" i="1" s="1"/>
  <c r="D180" i="1"/>
  <c r="F180" i="1" s="1"/>
  <c r="D179" i="1"/>
  <c r="D178" i="1"/>
  <c r="F178" i="1" s="1"/>
  <c r="D169" i="1"/>
  <c r="D168" i="1"/>
  <c r="F168" i="1" s="1"/>
  <c r="D166" i="1"/>
  <c r="F166" i="1" s="1"/>
  <c r="J166" i="1" s="1"/>
  <c r="D165" i="1"/>
  <c r="F165" i="1" s="1"/>
  <c r="D163" i="1"/>
  <c r="F163" i="1" s="1"/>
  <c r="D162" i="1"/>
  <c r="F162" i="1" s="1"/>
  <c r="D161" i="1"/>
  <c r="F161" i="1" s="1"/>
  <c r="D160" i="1"/>
  <c r="D159" i="1"/>
  <c r="F159" i="1" s="1"/>
  <c r="E157" i="1"/>
  <c r="E156" i="1"/>
  <c r="E155" i="1"/>
  <c r="D157" i="1"/>
  <c r="D156" i="1"/>
  <c r="D155" i="1"/>
  <c r="D154" i="1"/>
  <c r="F154" i="1" s="1"/>
  <c r="D153" i="1"/>
  <c r="F153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D140" i="1"/>
  <c r="D139" i="1"/>
  <c r="D138" i="1"/>
  <c r="D137" i="1"/>
  <c r="D136" i="1"/>
  <c r="D133" i="1"/>
  <c r="F133" i="1" s="1"/>
  <c r="D132" i="1"/>
  <c r="F132" i="1" s="1"/>
  <c r="D131" i="1"/>
  <c r="D130" i="1"/>
  <c r="D129" i="1"/>
  <c r="F129" i="1" s="1"/>
  <c r="D128" i="1"/>
  <c r="F128" i="1" s="1"/>
  <c r="D127" i="1"/>
  <c r="F127" i="1" s="1"/>
  <c r="D126" i="1"/>
  <c r="F126" i="1" s="1"/>
  <c r="D125" i="1"/>
  <c r="J124" i="1"/>
  <c r="A206" i="1"/>
  <c r="A207" i="1" s="1"/>
  <c r="A208" i="1" s="1"/>
  <c r="A209" i="1" s="1"/>
  <c r="A210" i="1" s="1"/>
  <c r="A211" i="1" s="1"/>
  <c r="A212" i="1" s="1"/>
  <c r="G205" i="1"/>
  <c r="F200" i="1"/>
  <c r="A197" i="1"/>
  <c r="A198" i="1" s="1"/>
  <c r="A199" i="1" s="1"/>
  <c r="A200" i="1" s="1"/>
  <c r="A201" i="1" s="1"/>
  <c r="A202" i="1" s="1"/>
  <c r="A203" i="1" s="1"/>
  <c r="G196" i="1"/>
  <c r="F191" i="1"/>
  <c r="F190" i="1"/>
  <c r="A188" i="1"/>
  <c r="A189" i="1" s="1"/>
  <c r="A190" i="1" s="1"/>
  <c r="A191" i="1" s="1"/>
  <c r="A192" i="1" s="1"/>
  <c r="A193" i="1" s="1"/>
  <c r="A194" i="1" s="1"/>
  <c r="G187" i="1"/>
  <c r="F130" i="1"/>
  <c r="F140" i="1"/>
  <c r="F141" i="1"/>
  <c r="A179" i="1"/>
  <c r="A180" i="1" s="1"/>
  <c r="A181" i="1" s="1"/>
  <c r="A182" i="1" s="1"/>
  <c r="A183" i="1" s="1"/>
  <c r="A184" i="1" s="1"/>
  <c r="A185" i="1" s="1"/>
  <c r="G178" i="1"/>
  <c r="A172" i="1"/>
  <c r="A173" i="1" s="1"/>
  <c r="A174" i="1" s="1"/>
  <c r="A175" i="1" s="1"/>
  <c r="G171" i="1"/>
  <c r="F169" i="1"/>
  <c r="A166" i="1"/>
  <c r="A167" i="1" s="1"/>
  <c r="A168" i="1" s="1"/>
  <c r="A169" i="1" s="1"/>
  <c r="G165" i="1"/>
  <c r="F160" i="1"/>
  <c r="L154" i="1"/>
  <c r="A160" i="1"/>
  <c r="A161" i="1" s="1"/>
  <c r="A162" i="1" s="1"/>
  <c r="A163" i="1" s="1"/>
  <c r="G159" i="1"/>
  <c r="L156" i="1"/>
  <c r="J157" i="1"/>
  <c r="J156" i="1"/>
  <c r="J155" i="1"/>
  <c r="J153" i="1"/>
  <c r="A154" i="1"/>
  <c r="A155" i="1" s="1"/>
  <c r="A156" i="1" s="1"/>
  <c r="A157" i="1" s="1"/>
  <c r="G153" i="1"/>
  <c r="F131" i="1"/>
  <c r="A126" i="1"/>
  <c r="A127" i="1" s="1"/>
  <c r="A128" i="1" s="1"/>
  <c r="A129" i="1" s="1"/>
  <c r="A130" i="1" s="1"/>
  <c r="A131" i="1" s="1"/>
  <c r="A132" i="1" s="1"/>
  <c r="A133" i="1" s="1"/>
  <c r="G125" i="1"/>
  <c r="F185" i="1" l="1"/>
  <c r="F184" i="1"/>
  <c r="C111" i="1"/>
  <c r="C115" i="1"/>
  <c r="J158" i="1"/>
  <c r="E115" i="1"/>
  <c r="C116" i="1"/>
  <c r="F183" i="1"/>
  <c r="E110" i="1"/>
  <c r="E111" i="1"/>
  <c r="F157" i="1"/>
  <c r="C110" i="1"/>
  <c r="F125" i="1"/>
  <c r="G110" i="1" s="1"/>
  <c r="E116" i="1"/>
  <c r="E117" i="1" s="1"/>
  <c r="F179" i="1"/>
  <c r="F182" i="1"/>
  <c r="F156" i="1"/>
  <c r="F155" i="1"/>
  <c r="C117" i="1" l="1"/>
  <c r="C112" i="1"/>
  <c r="C118" i="1" s="1"/>
  <c r="E112" i="1"/>
  <c r="E118" i="1" s="1"/>
  <c r="G115" i="1"/>
  <c r="G116" i="1"/>
  <c r="E42" i="1"/>
  <c r="E43" i="1" s="1"/>
  <c r="G117" i="1" l="1"/>
  <c r="C14" i="1"/>
  <c r="E29" i="1" l="1"/>
  <c r="F215" i="1" l="1"/>
  <c r="F216" i="1"/>
  <c r="F217" i="1"/>
  <c r="F214" i="1"/>
  <c r="A215" i="1"/>
  <c r="A216" i="1" s="1"/>
  <c r="A217" i="1" s="1"/>
  <c r="G214" i="1"/>
  <c r="G215" i="1" s="1"/>
  <c r="G216" i="1" s="1"/>
  <c r="G217" i="1" s="1"/>
  <c r="F107" i="1" l="1"/>
  <c r="F137" i="1" l="1"/>
  <c r="F138" i="1"/>
  <c r="F139" i="1"/>
  <c r="F136" i="1"/>
  <c r="G111" i="1" l="1"/>
  <c r="G112" i="1" s="1"/>
  <c r="G118" i="1" s="1"/>
  <c r="B244" i="1"/>
  <c r="A225" i="1"/>
  <c r="A231" i="1"/>
  <c r="A237" i="1"/>
  <c r="F241" i="1" l="1"/>
  <c r="F240" i="1"/>
  <c r="F239" i="1"/>
  <c r="F238" i="1"/>
  <c r="F237" i="1"/>
  <c r="F235" i="1"/>
  <c r="F234" i="1"/>
  <c r="F233" i="1"/>
  <c r="F232" i="1"/>
  <c r="F231" i="1"/>
  <c r="F229" i="1"/>
  <c r="F228" i="1"/>
  <c r="F227" i="1"/>
  <c r="F226" i="1"/>
  <c r="F225" i="1"/>
  <c r="F223" i="1"/>
  <c r="F222" i="1"/>
  <c r="F220" i="1"/>
  <c r="F219" i="1"/>
  <c r="F221" i="1"/>
  <c r="A238" i="1"/>
  <c r="A232" i="1"/>
  <c r="A226" i="1"/>
  <c r="B245" i="1" l="1"/>
  <c r="A239" i="1"/>
  <c r="A233" i="1"/>
  <c r="A22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4" i="1"/>
  <c r="G237" i="1"/>
  <c r="G238" i="1" s="1"/>
  <c r="G239" i="1" s="1"/>
  <c r="G240" i="1" s="1"/>
  <c r="G241" i="1" s="1"/>
  <c r="G231" i="1"/>
  <c r="G232" i="1" s="1"/>
  <c r="G233" i="1" s="1"/>
  <c r="G234" i="1" s="1"/>
  <c r="G235" i="1" s="1"/>
  <c r="G225" i="1"/>
  <c r="G226" i="1" s="1"/>
  <c r="G227" i="1" s="1"/>
  <c r="G228" i="1" s="1"/>
  <c r="G229" i="1" s="1"/>
  <c r="G219" i="1"/>
  <c r="G220" i="1" s="1"/>
  <c r="G221" i="1" s="1"/>
  <c r="G222" i="1" s="1"/>
  <c r="G223" i="1" s="1"/>
  <c r="A219" i="1"/>
  <c r="A220" i="1" s="1"/>
  <c r="A221" i="1" s="1"/>
  <c r="A222" i="1" s="1"/>
  <c r="A223" i="1" s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G136" i="1"/>
  <c r="C80" i="1"/>
  <c r="C66" i="1"/>
  <c r="D54" i="1"/>
  <c r="G49" i="1"/>
  <c r="G50" i="1" s="1"/>
  <c r="C49" i="1"/>
  <c r="C50" i="1" s="1"/>
  <c r="E26" i="1"/>
  <c r="E24" i="1"/>
  <c r="E7" i="1"/>
  <c r="E3" i="1"/>
  <c r="A240" i="1"/>
  <c r="A228" i="1"/>
  <c r="A234" i="1"/>
  <c r="H67" i="1"/>
  <c r="H81" i="1"/>
  <c r="D60" i="1" l="1"/>
  <c r="D91" i="1"/>
  <c r="D92" i="1"/>
  <c r="D93" i="1"/>
  <c r="D87" i="1"/>
  <c r="D88" i="1"/>
  <c r="D89" i="1"/>
  <c r="D90" i="1"/>
  <c r="J80" i="1"/>
  <c r="J82" i="1" s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86" i="1"/>
  <c r="J87" i="1" s="1"/>
  <c r="J92" i="1" s="1"/>
  <c r="J84" i="1"/>
  <c r="J85" i="1"/>
  <c r="C84" i="1" s="1"/>
  <c r="J83" i="1"/>
  <c r="A235" i="1"/>
  <c r="A241" i="1"/>
  <c r="A229" i="1"/>
  <c r="J88" i="1" l="1"/>
  <c r="J89" i="1" s="1"/>
  <c r="J90" i="1" s="1"/>
  <c r="J91" i="1" s="1"/>
  <c r="J74" i="1"/>
  <c r="J75" i="1" s="1"/>
  <c r="J76" i="1" s="1"/>
  <c r="J77" i="1" s="1"/>
  <c r="D86" i="1"/>
  <c r="D72" i="1"/>
  <c r="J68" i="1"/>
  <c r="D70" i="1"/>
  <c r="D84" i="1"/>
  <c r="J79" i="1" l="1"/>
  <c r="C71" i="1" s="1"/>
  <c r="G70" i="1" s="1"/>
  <c r="D64" i="1" s="1"/>
  <c r="D65" i="1" s="1"/>
  <c r="J93" i="1"/>
  <c r="C85" i="1" s="1"/>
  <c r="J67" i="1" l="1"/>
  <c r="D71" i="1"/>
  <c r="I67" i="1" s="1"/>
  <c r="I68" i="1" s="1"/>
  <c r="E70" i="1"/>
  <c r="F65" i="1"/>
  <c r="E84" i="1"/>
  <c r="G84" i="1"/>
  <c r="D85" i="1"/>
  <c r="I81" i="1" s="1"/>
  <c r="I82" i="1" s="1"/>
  <c r="J81" i="1"/>
  <c r="I66" i="1" l="1"/>
  <c r="C68" i="1" s="1"/>
  <c r="I80" i="1"/>
  <c r="C82" i="1" s="1"/>
</calcChain>
</file>

<file path=xl/sharedStrings.xml><?xml version="1.0" encoding="utf-8"?>
<sst xmlns="http://schemas.openxmlformats.org/spreadsheetml/2006/main" count="342" uniqueCount="229">
  <si>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</si>
  <si>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</si>
  <si>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</si>
  <si>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</si>
  <si>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</si>
  <si>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</si>
  <si>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</si>
  <si>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</si>
  <si>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</si>
  <si>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</si>
  <si>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</si>
  <si>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</si>
  <si>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</si>
  <si>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</si>
  <si>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</si>
  <si>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</si>
  <si>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</si>
  <si>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</si>
  <si>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</si>
  <si>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</si>
  <si>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</si>
  <si>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</si>
  <si>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</si>
  <si>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</si>
  <si>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</si>
  <si>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</si>
  <si>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</si>
  <si>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</si>
  <si>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</si>
  <si>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</si>
  <si>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</si>
  <si>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</si>
  <si>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</si>
  <si>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</si>
  <si>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</si>
  <si>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</si>
  <si>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</si>
  <si>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</si>
  <si>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</si>
  <si>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</si>
  <si>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</si>
  <si>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</si>
  <si>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</si>
  <si>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</si>
  <si>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</si>
  <si>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</si>
  <si>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</si>
  <si>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</si>
  <si>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</si>
  <si>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</si>
  <si>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</si>
  <si>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</si>
  <si>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</si>
  <si>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</si>
  <si>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</si>
  <si>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</si>
  <si>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</si>
  <si>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</si>
  <si>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</si>
  <si>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</si>
  <si>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</si>
  <si>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</si>
  <si>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</si>
  <si>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</si>
  <si>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</si>
  <si>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</si>
  <si>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</si>
  <si>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</si>
  <si>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</si>
  <si>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</si>
  <si>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</si>
  <si>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</si>
  <si>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</si>
  <si>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</si>
  <si>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</si>
  <si>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</si>
  <si>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</si>
  <si>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</si>
  <si>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</si>
  <si>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</si>
  <si>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</si>
  <si>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</si>
  <si>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</si>
  <si>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</si>
  <si>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</si>
  <si>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</si>
  <si>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</si>
  <si>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</si>
  <si>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</si>
  <si>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</si>
  <si>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</si>
  <si>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</si>
  <si>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</si>
  <si>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</si>
  <si>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</si>
  <si>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</si>
  <si>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</si>
  <si>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</si>
  <si>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</si>
  <si>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</si>
  <si>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</si>
  <si>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</si>
  <si>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</si>
  <si>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</si>
  <si>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</si>
  <si>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</si>
  <si>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</si>
  <si>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</si>
  <si>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</si>
  <si>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</si>
  <si>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</si>
  <si>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</si>
  <si>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</si>
  <si>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</si>
  <si>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</si>
  <si>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</si>
  <si>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</si>
  <si>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</si>
  <si>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</si>
  <si>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</si>
  <si>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</si>
  <si>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</si>
  <si>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</si>
  <si>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</si>
  <si>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</si>
  <si>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</si>
  <si>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</si>
  <si>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</si>
  <si>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</si>
  <si>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</si>
  <si>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</si>
  <si>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</si>
  <si>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</si>
  <si>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</si>
  <si>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</si>
  <si>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</si>
  <si>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</si>
  <si>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</si>
  <si>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</si>
  <si>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</si>
  <si>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</si>
  <si>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</si>
  <si>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</si>
  <si>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</si>
  <si>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</si>
  <si>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</si>
  <si>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</si>
  <si>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</si>
  <si>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</si>
  <si>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</si>
  <si>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</si>
  <si>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</si>
  <si>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</si>
  <si>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</si>
  <si>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</si>
  <si>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</si>
  <si>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</si>
  <si>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</si>
  <si>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</si>
  <si>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</si>
  <si>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</si>
  <si>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</si>
  <si>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</si>
  <si>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</si>
  <si>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</si>
  <si>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</si>
  <si>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</si>
  <si>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</si>
  <si>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</si>
  <si>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</si>
  <si>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</si>
  <si>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</si>
  <si>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</si>
  <si>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</si>
  <si>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</si>
  <si>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</si>
  <si>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</si>
  <si>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</si>
  <si>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</si>
  <si>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</si>
  <si>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</si>
  <si>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</si>
  <si>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Goregaon</t>
  </si>
  <si>
    <t>Unique Elanza</t>
  </si>
  <si>
    <t>Unique Star Developers Llp</t>
  </si>
  <si>
    <t>8108109121/122</t>
  </si>
  <si>
    <t xml:space="preserve">P51700035168
</t>
  </si>
  <si>
    <t>Building Type A &amp; B</t>
  </si>
  <si>
    <t>29/4 &amp; 30/5</t>
  </si>
  <si>
    <t>Survey No</t>
  </si>
  <si>
    <t>Ghodbunder</t>
  </si>
  <si>
    <t>Thane</t>
  </si>
  <si>
    <t>https://goo.gl/maps/dc6Gk5rxcte1KXCt8?coh=178572&amp;entry=tt</t>
  </si>
  <si>
    <t>Kashimira</t>
  </si>
  <si>
    <t>Internal Road</t>
  </si>
  <si>
    <t>3.8KM from Mira Road Railway Station</t>
  </si>
  <si>
    <t>Mira Road East</t>
  </si>
  <si>
    <t>JP North Barcelona</t>
  </si>
  <si>
    <t>Umiya Oasis</t>
  </si>
  <si>
    <t>Open Plot</t>
  </si>
  <si>
    <t>2 Buildings</t>
  </si>
  <si>
    <t>Mira-Bhayandar Municipal Corporation</t>
  </si>
  <si>
    <t>MBMNP/NR/3034/2022-23</t>
  </si>
  <si>
    <t>Building Type A = Part Stilt + 1st to 27th Floor
Building Type B = Part Stilt + 1st to 26th Floor</t>
  </si>
  <si>
    <t xml:space="preserve">As per RERA - 25/03/2027
</t>
  </si>
  <si>
    <t>Video Door Phone, Motorised Parking, Modular Kitchen, Convenience Store, Fire Fighting, CCTV Camera, Jogging Track, Indoor Games, Gymnasium, Reading Area, Kids Play Area, Terrace Garden, Meditation Room.</t>
  </si>
  <si>
    <t>Building Type A</t>
  </si>
  <si>
    <t>Shop</t>
  </si>
  <si>
    <t>Ground Floor For Commercial, Society Office, Drivers Room &amp; Parking</t>
  </si>
  <si>
    <t>1st Floor For Residential</t>
  </si>
  <si>
    <t>8th, 18th &amp; 23rd Floor (Part Refuge Area)</t>
  </si>
  <si>
    <t>Refuge Area</t>
  </si>
  <si>
    <t>13th Floor For Part Refuge Area &amp; Recreational Area</t>
  </si>
  <si>
    <t>Building Type B</t>
  </si>
  <si>
    <t>Recreational Area</t>
  </si>
  <si>
    <t>2nd to 7th, 9th to 12th, 14th to 17th, 19th to 22nd &amp; 24th to 27th Floor</t>
  </si>
  <si>
    <t>2nd to 7th, 9th to 12th, 14th to 17th, 19th to 22nd &amp; 24th to 26th Floor</t>
  </si>
  <si>
    <t>We considered Gross carpet area = Net carpet + Enclose balcony + Chajja Area.</t>
  </si>
  <si>
    <t>Approved Plans, CC, Sale Plans</t>
  </si>
  <si>
    <t>Flats - 324, Shops - 21</t>
  </si>
  <si>
    <t>Chajja area taken as per sale plan</t>
  </si>
  <si>
    <t>Building Type A = Gr/Part Stilt + 1st to 27th Floor
Building Type B = Gr/Part Stilt + 1st to 26th Floor</t>
  </si>
  <si>
    <t>Building Type A = Gr/Part Stilt + 1st to 27th Floor</t>
  </si>
  <si>
    <t>Building Type B = Gr/Part Stilt + 1st to 26th Floor</t>
  </si>
  <si>
    <t>19.2841556,72.885056</t>
  </si>
  <si>
    <t xml:space="preserve">Wing A &amp; B = Construction work is in process at the time of Visit.
Wing B = Construction work is in process at the time of Visit. </t>
  </si>
  <si>
    <t>Sanket Salvi</t>
  </si>
  <si>
    <t>Mr. Deepak Goyal 9152202975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</si>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</sst>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25" xfId="1" applyNumberFormat="1" applyFont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Border="1" applyAlignment="1" applyProtection="1">
      <alignment horizontal="center" vertical="center" wrapText="1"/>
      <protection locked="0"/>
    </xf>
    <xf numFmtId="168" fontId="6" fillId="0" borderId="26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7" fillId="2" borderId="25" xfId="1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580154</xdr:colOff>
      <xdr:row>306</xdr:row>
      <xdr:rowOff>138546</xdr:rowOff>
    </xdr:from>
    <xdr:to>
      <xdr:col>7</xdr:col>
      <xdr:colOff>244181</xdr:colOff>
      <xdr:row>333</xdr:row>
      <xdr:rowOff>190501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54" y="57072069"/>
          <a:ext cx="5353050" cy="54292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655489</xdr:colOff>
      <xdr:row>334</xdr:row>
      <xdr:rowOff>79347</xdr:rowOff>
    </xdr:from>
    <xdr:to>
      <xdr:col>5</xdr:col>
      <xdr:colOff>142602</xdr:colOff>
      <xdr:row>346</xdr:row>
      <xdr:rowOff>177800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3789" y="62550647"/>
          <a:ext cx="2185863" cy="24606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350</xdr:row>
      <xdr:rowOff>51954</xdr:rowOff>
    </xdr:from>
    <xdr:to>
      <xdr:col>7</xdr:col>
      <xdr:colOff>656111</xdr:colOff>
      <xdr:row>364</xdr:row>
      <xdr:rowOff>69371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65947636"/>
          <a:ext cx="6120000" cy="28056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225134</xdr:colOff>
      <xdr:row>365</xdr:row>
      <xdr:rowOff>32055</xdr:rowOff>
    </xdr:from>
    <xdr:to>
      <xdr:col>7</xdr:col>
      <xdr:colOff>656111</xdr:colOff>
      <xdr:row>386</xdr:row>
      <xdr:rowOff>139865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134" y="68915123"/>
          <a:ext cx="6120000" cy="42901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464183</xdr:colOff>
      <xdr:row>372</xdr:row>
      <xdr:rowOff>19766</xdr:rowOff>
    </xdr:from>
    <xdr:to>
      <xdr:col>4</xdr:col>
      <xdr:colOff>569828</xdr:colOff>
      <xdr:row>379</xdr:row>
      <xdr:rowOff>196457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148908">
          <a:off x="2871410" y="70296948"/>
          <a:ext cx="1049486" cy="1570804"/>
        </a:xfrm>
        <a:prstGeom prst="rect">
          <a:avLst/>
        </a:prstGeom>
        <a:noFill/>
        <a:ln w="76200">
          <a:solidFill>
            <a:schemeClr val="accent6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608380</xdr:colOff>
      <xdr:row>309</xdr:row>
      <xdr:rowOff>126280</xdr:rowOff>
    </xdr:from>
    <xdr:to>
      <xdr:col>5</xdr:col>
      <xdr:colOff>140979</xdr:colOff>
      <xdr:row>316</xdr:row>
      <xdr:rowOff>165569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873860">
          <a:off x="2926784" y="57746103"/>
          <a:ext cx="1433403" cy="1255758"/>
        </a:xfrm>
        <a:prstGeom prst="rect">
          <a:avLst/>
        </a:prstGeom>
        <a:noFill/>
        <a:ln w="762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764745</xdr:colOff>
      <xdr:row>318</xdr:row>
      <xdr:rowOff>18936</xdr:rowOff>
    </xdr:from>
    <xdr:to>
      <xdr:col>3</xdr:col>
      <xdr:colOff>571945</xdr:colOff>
      <xdr:row>327</xdr:row>
      <xdr:rowOff>87728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873860">
          <a:off x="1322347" y="59546766"/>
          <a:ext cx="1861224" cy="1452427"/>
        </a:xfrm>
        <a:prstGeom prst="rect">
          <a:avLst/>
        </a:prstGeom>
        <a:noFill/>
        <a:ln w="762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5</xdr:col>
      <xdr:colOff>528201</xdr:colOff>
      <xdr:row>313</xdr:row>
      <xdr:rowOff>8660</xdr:rowOff>
    </xdr:from>
    <xdr:ext cx="1176925" cy="280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658587" y="58336296"/>
          <a:ext cx="117692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A</a:t>
          </a:r>
          <a:endParaRPr lang="en-IN" sz="1200" b="1"/>
        </a:p>
      </xdr:txBody>
    </xdr:sp>
    <xdr:clientData/>
  </xdr:oneCellAnchor>
  <xdr:oneCellAnchor>
    <xdr:from>
      <xdr:col>3</xdr:col>
      <xdr:colOff>796631</xdr:colOff>
      <xdr:row>325</xdr:row>
      <xdr:rowOff>69274</xdr:rowOff>
    </xdr:from>
    <xdr:ext cx="1169936" cy="280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203858" y="60786819"/>
          <a:ext cx="1169936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B</a:t>
          </a:r>
          <a:endParaRPr lang="en-IN" sz="1200" b="1"/>
        </a:p>
      </xdr:txBody>
    </xdr:sp>
    <xdr:clientData/>
  </xdr:oneCellAnchor>
  <xdr:twoCellAnchor>
    <xdr:from>
      <xdr:col>3</xdr:col>
      <xdr:colOff>563407</xdr:colOff>
      <xdr:row>374</xdr:row>
      <xdr:rowOff>99785</xdr:rowOff>
    </xdr:from>
    <xdr:to>
      <xdr:col>4</xdr:col>
      <xdr:colOff>470604</xdr:colOff>
      <xdr:row>377</xdr:row>
      <xdr:rowOff>116438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stCxn id="16" idx="1"/>
          <a:endCxn id="16" idx="3"/>
        </xdr:cNvCxnSpPr>
      </xdr:nvCxnSpPr>
      <xdr:spPr>
        <a:xfrm>
          <a:off x="2970634" y="70775285"/>
          <a:ext cx="851038" cy="61413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225135</xdr:colOff>
      <xdr:row>379</xdr:row>
      <xdr:rowOff>84009</xdr:rowOff>
    </xdr:from>
    <xdr:ext cx="1169936" cy="280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783771" y="71755304"/>
          <a:ext cx="1169936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B</a:t>
          </a:r>
          <a:endParaRPr lang="en-IN" sz="1200" b="1"/>
        </a:p>
      </xdr:txBody>
    </xdr:sp>
    <xdr:clientData/>
  </xdr:oneCellAnchor>
  <xdr:oneCellAnchor>
    <xdr:from>
      <xdr:col>4</xdr:col>
      <xdr:colOff>507421</xdr:colOff>
      <xdr:row>371</xdr:row>
      <xdr:rowOff>54568</xdr:rowOff>
    </xdr:from>
    <xdr:ext cx="1176925" cy="280205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58489" y="70132591"/>
          <a:ext cx="117692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A</a:t>
          </a:r>
          <a:endParaRPr lang="en-IN" sz="1200" b="1"/>
        </a:p>
      </xdr:txBody>
    </xdr:sp>
    <xdr:clientData/>
  </xdr:oneCellAnchor>
  <xdr:oneCellAnchor>
    <xdr:from>
      <xdr:col>8</xdr:col>
      <xdr:colOff>352500</xdr:colOff>
      <xdr:row>284</xdr:row>
      <xdr:rowOff>29518</xdr:rowOff>
    </xdr:from>
    <xdr:ext cx="1176925" cy="28020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872795" y="52780700"/>
          <a:ext cx="117692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Building</a:t>
          </a:r>
          <a:r>
            <a:rPr lang="en-IN" sz="1200" b="1" baseline="0"/>
            <a:t> Type A</a:t>
          </a:r>
          <a:endParaRPr lang="en-IN" sz="1200" b="1"/>
        </a:p>
      </xdr:txBody>
    </xdr:sp>
    <xdr:clientData/>
  </xdr:oneCellAnchor>
  <xdr:twoCellAnchor>
    <xdr:from>
      <xdr:col>9</xdr:col>
      <xdr:colOff>0</xdr:colOff>
      <xdr:row>265</xdr:row>
      <xdr:rowOff>0</xdr:rowOff>
    </xdr:from>
    <xdr:to>
      <xdr:col>10</xdr:col>
      <xdr:colOff>376825</xdr:colOff>
      <xdr:row>266</xdr:row>
      <xdr:rowOff>83355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064500" y="48653700"/>
          <a:ext cx="1176925" cy="2802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200" b="1">
              <a:solidFill>
                <a:srgbClr val="C00000"/>
              </a:solidFill>
            </a:rPr>
            <a:t>Building</a:t>
          </a:r>
          <a:r>
            <a:rPr lang="en-IN" sz="1200" b="1" baseline="0">
              <a:solidFill>
                <a:srgbClr val="C00000"/>
              </a:solidFill>
            </a:rPr>
            <a:t> Type A</a:t>
          </a:r>
          <a:endParaRPr lang="en-IN" sz="12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92075</xdr:colOff>
      <xdr:row>264</xdr:row>
      <xdr:rowOff>92075</xdr:rowOff>
    </xdr:from>
    <xdr:to>
      <xdr:col>15</xdr:col>
      <xdr:colOff>636447</xdr:colOff>
      <xdr:row>304</xdr:row>
      <xdr:rowOff>58717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616700" y="49412525"/>
          <a:ext cx="6164122" cy="7958117"/>
          <a:chOff x="177800" y="48539400"/>
          <a:chExt cx="6443522" cy="783429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459" y="513765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513765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459" y="48539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4630" y="48539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1" y="485394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0894" y="5421369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4630" y="513765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368301" y="48755300"/>
            <a:ext cx="1176925" cy="28020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>
                <a:solidFill>
                  <a:srgbClr val="C00000"/>
                </a:solidFill>
              </a:rPr>
              <a:t>Building</a:t>
            </a:r>
            <a:r>
              <a:rPr lang="en-IN" sz="1200" b="1" baseline="0">
                <a:solidFill>
                  <a:srgbClr val="C00000"/>
                </a:solidFill>
              </a:rPr>
              <a:t> Type A</a:t>
            </a:r>
            <a:endParaRPr lang="en-IN" sz="1200" b="1">
              <a:solidFill>
                <a:srgbClr val="C00000"/>
              </a:solidFill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2374631" y="48539400"/>
            <a:ext cx="711469" cy="53975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>
                <a:solidFill>
                  <a:srgbClr val="C00000"/>
                </a:solidFill>
              </a:rPr>
              <a:t>Building</a:t>
            </a:r>
          </a:p>
          <a:p>
            <a:r>
              <a:rPr lang="en-IN" sz="1200" b="1" baseline="0">
                <a:solidFill>
                  <a:srgbClr val="C00000"/>
                </a:solidFill>
              </a:rPr>
              <a:t> Type A</a:t>
            </a:r>
            <a:endParaRPr lang="en-IN" sz="1200" b="1">
              <a:solidFill>
                <a:srgbClr val="C00000"/>
              </a:solidFill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4996909" y="48717200"/>
            <a:ext cx="1156241" cy="28020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>
                <a:solidFill>
                  <a:srgbClr val="C00000"/>
                </a:solidFill>
              </a:rPr>
              <a:t>Building</a:t>
            </a:r>
            <a:r>
              <a:rPr lang="en-IN" sz="1200" b="1" baseline="0">
                <a:solidFill>
                  <a:srgbClr val="C00000"/>
                </a:solidFill>
              </a:rPr>
              <a:t> Type B</a:t>
            </a:r>
            <a:endParaRPr lang="en-IN" sz="1200" b="1">
              <a:solidFill>
                <a:srgbClr val="C00000"/>
              </a:solidFill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79450" y="53281546"/>
            <a:ext cx="1156241" cy="28020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1">
                <a:solidFill>
                  <a:srgbClr val="FFFF00"/>
                </a:solidFill>
              </a:rPr>
              <a:t>Building</a:t>
            </a:r>
            <a:r>
              <a:rPr lang="en-IN" sz="1200" b="1" baseline="0">
                <a:solidFill>
                  <a:srgbClr val="FFFF00"/>
                </a:solidFill>
              </a:rPr>
              <a:t> Type B</a:t>
            </a:r>
            <a:endParaRPr lang="en-IN" sz="1200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133350</xdr:colOff>
      <xdr:row>264</xdr:row>
      <xdr:rowOff>171450</xdr:rowOff>
    </xdr:from>
    <xdr:to>
      <xdr:col>7</xdr:col>
      <xdr:colOff>676600</xdr:colOff>
      <xdr:row>293</xdr:row>
      <xdr:rowOff>143355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E37A337E-3599-4352-93F5-C0590E2770D1}"/>
            </a:ext>
          </a:extLst>
        </xdr:cNvPr>
        <xdr:cNvGrpSpPr/>
      </xdr:nvGrpSpPr>
      <xdr:grpSpPr>
        <a:xfrm>
          <a:off x="133350" y="49491900"/>
          <a:ext cx="6239200" cy="5763105"/>
          <a:chOff x="227928" y="268942"/>
          <a:chExt cx="6239200" cy="5763105"/>
        </a:xfrm>
      </xdr:grpSpPr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C16FB1FF-BCBD-4F6A-9BAA-236A638B6DFF}"/>
              </a:ext>
            </a:extLst>
          </xdr:cNvPr>
          <xdr:cNvGrpSpPr/>
        </xdr:nvGrpSpPr>
        <xdr:grpSpPr>
          <a:xfrm>
            <a:off x="227928" y="268942"/>
            <a:ext cx="6239200" cy="5763105"/>
            <a:chOff x="227928" y="268942"/>
            <a:chExt cx="6239200" cy="5763105"/>
          </a:xfrm>
        </xdr:grpSpPr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5FAFCFAE-9F83-4731-9978-A75CD2348D4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59385" y="268942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171FE97D-3A33-4C43-AFE0-2292B37192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268942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E6951317-95E7-44BB-AFF1-07889C3A45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7928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A725D896-E3AC-454F-A672-7F2105B0AA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12377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0A1B0BC2-B8D1-4928-A441-CD87EDC0ED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96826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6E591129-B09E-449B-9175-39A9C34F44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83675" y="4052047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2" name="TextBox 15">
            <a:extLst>
              <a:ext uri="{FF2B5EF4-FFF2-40B4-BE49-F238E27FC236}">
                <a16:creationId xmlns:a16="http://schemas.microsoft.com/office/drawing/2014/main" id="{AC632BB9-A06A-4BA8-AEC2-5C1BACBD53D3}"/>
              </a:ext>
            </a:extLst>
          </xdr:cNvPr>
          <xdr:cNvSpPr txBox="1"/>
        </xdr:nvSpPr>
        <xdr:spPr>
          <a:xfrm>
            <a:off x="664087" y="329367"/>
            <a:ext cx="8314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Type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3" name="TextBox 16">
            <a:extLst>
              <a:ext uri="{FF2B5EF4-FFF2-40B4-BE49-F238E27FC236}">
                <a16:creationId xmlns:a16="http://schemas.microsoft.com/office/drawing/2014/main" id="{540B59E5-B219-4079-969D-E0FA325289B1}"/>
              </a:ext>
            </a:extLst>
          </xdr:cNvPr>
          <xdr:cNvSpPr txBox="1"/>
        </xdr:nvSpPr>
        <xdr:spPr>
          <a:xfrm>
            <a:off x="227928" y="3977235"/>
            <a:ext cx="8314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Type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4" name="TextBox 17">
            <a:extLst>
              <a:ext uri="{FF2B5EF4-FFF2-40B4-BE49-F238E27FC236}">
                <a16:creationId xmlns:a16="http://schemas.microsoft.com/office/drawing/2014/main" id="{62E7EE68-D7AB-45DC-8366-35B97500A770}"/>
              </a:ext>
            </a:extLst>
          </xdr:cNvPr>
          <xdr:cNvSpPr txBox="1"/>
        </xdr:nvSpPr>
        <xdr:spPr>
          <a:xfrm>
            <a:off x="5098643" y="329367"/>
            <a:ext cx="8314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Type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18">
            <a:extLst>
              <a:ext uri="{FF2B5EF4-FFF2-40B4-BE49-F238E27FC236}">
                <a16:creationId xmlns:a16="http://schemas.microsoft.com/office/drawing/2014/main" id="{4E54E9BC-D1F0-4779-A6DA-1CC3ADBD7F3A}"/>
              </a:ext>
            </a:extLst>
          </xdr:cNvPr>
          <xdr:cNvSpPr txBox="1"/>
        </xdr:nvSpPr>
        <xdr:spPr>
          <a:xfrm>
            <a:off x="2138380" y="5502003"/>
            <a:ext cx="8314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Type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c6Gk5rxcte1KXCt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49"/>
  <sheetViews>
    <sheetView tabSelected="1" showWhiteSpace="0" view="pageBreakPreview" topLeftCell="A251" zoomScaleNormal="100" zoomScaleSheetLayoutView="100" workbookViewId="0">
      <selection activeCell="I257" sqref="I25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44" t="s">
        <v>179</v>
      </c>
      <c r="B1" s="144"/>
      <c r="C1" s="144"/>
      <c r="D1" s="144"/>
      <c r="E1" s="144"/>
      <c r="F1" s="144"/>
      <c r="G1" s="144"/>
      <c r="H1" s="144"/>
    </row>
    <row r="2" spans="1:8" ht="16.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x14ac:dyDescent="0.25">
      <c r="A3" s="104" t="s">
        <v>1</v>
      </c>
      <c r="B3" s="104"/>
      <c r="C3" s="104"/>
      <c r="D3" s="104"/>
      <c r="E3" s="104" t="str">
        <f ca="1">TEXT(TODAY(),"DD/MM/YYYY")</f>
        <v>15/07/2025</v>
      </c>
      <c r="F3" s="104"/>
      <c r="G3" s="104"/>
      <c r="H3" s="104"/>
    </row>
    <row r="4" spans="1:8" ht="15" customHeight="1" x14ac:dyDescent="0.25">
      <c r="A4" s="104" t="s">
        <v>2</v>
      </c>
      <c r="B4" s="104"/>
      <c r="C4" s="104"/>
      <c r="D4" s="104"/>
      <c r="E4" s="104" t="s">
        <v>182</v>
      </c>
      <c r="F4" s="104"/>
      <c r="G4" s="104"/>
      <c r="H4" s="104"/>
    </row>
    <row r="5" spans="1:8" x14ac:dyDescent="0.25">
      <c r="A5" s="104" t="s">
        <v>3</v>
      </c>
      <c r="B5" s="104"/>
      <c r="C5" s="104"/>
      <c r="D5" s="104"/>
      <c r="E5" s="146">
        <v>45847</v>
      </c>
      <c r="F5" s="104"/>
      <c r="G5" s="104"/>
      <c r="H5" s="104"/>
    </row>
    <row r="6" spans="1:8" ht="16.5" customHeight="1" x14ac:dyDescent="0.25">
      <c r="A6" s="104" t="s">
        <v>4</v>
      </c>
      <c r="B6" s="104"/>
      <c r="C6" s="104"/>
      <c r="D6" s="104"/>
      <c r="E6" s="104" t="s">
        <v>184</v>
      </c>
      <c r="F6" s="104"/>
      <c r="G6" s="104"/>
      <c r="H6" s="104"/>
    </row>
    <row r="7" spans="1:8" ht="15" customHeight="1" x14ac:dyDescent="0.25">
      <c r="A7" s="104" t="s">
        <v>5</v>
      </c>
      <c r="B7" s="104"/>
      <c r="C7" s="104"/>
      <c r="D7" s="104"/>
      <c r="E7" s="104" t="str">
        <f>E6</f>
        <v>Unique Star Developers Llp</v>
      </c>
      <c r="F7" s="104"/>
      <c r="G7" s="104"/>
      <c r="H7" s="104"/>
    </row>
    <row r="8" spans="1:8" x14ac:dyDescent="0.25">
      <c r="A8" s="104" t="s">
        <v>6</v>
      </c>
      <c r="B8" s="104"/>
      <c r="C8" s="104"/>
      <c r="D8" s="104"/>
      <c r="E8" s="145" t="s">
        <v>183</v>
      </c>
      <c r="F8" s="145"/>
      <c r="G8" s="145"/>
      <c r="H8" s="145"/>
    </row>
    <row r="9" spans="1:8" x14ac:dyDescent="0.25">
      <c r="A9" s="104" t="s">
        <v>176</v>
      </c>
      <c r="B9" s="104"/>
      <c r="C9" s="104"/>
      <c r="D9" s="104"/>
      <c r="E9" s="104" t="s">
        <v>185</v>
      </c>
      <c r="F9" s="104"/>
      <c r="G9" s="104"/>
      <c r="H9" s="104"/>
    </row>
    <row r="10" spans="1:8" x14ac:dyDescent="0.25">
      <c r="A10" s="104" t="s">
        <v>177</v>
      </c>
      <c r="B10" s="104"/>
      <c r="C10" s="104"/>
      <c r="D10" s="104"/>
      <c r="E10" s="104" t="s">
        <v>227</v>
      </c>
      <c r="F10" s="104"/>
      <c r="G10" s="104"/>
      <c r="H10" s="104"/>
    </row>
    <row r="11" spans="1:8" x14ac:dyDescent="0.25">
      <c r="A11" s="104" t="s">
        <v>7</v>
      </c>
      <c r="B11" s="104"/>
      <c r="C11" s="104"/>
      <c r="D11" s="104"/>
      <c r="E11" s="104" t="s">
        <v>187</v>
      </c>
      <c r="F11" s="104"/>
      <c r="G11" s="104"/>
      <c r="H11" s="104"/>
    </row>
    <row r="12" spans="1:8" ht="18" customHeight="1" x14ac:dyDescent="0.25">
      <c r="A12" s="92" t="s">
        <v>8</v>
      </c>
      <c r="B12" s="92"/>
      <c r="C12" s="92"/>
      <c r="D12" s="92"/>
      <c r="E12" s="103" t="s">
        <v>218</v>
      </c>
      <c r="F12" s="103"/>
      <c r="G12" s="103"/>
      <c r="H12" s="103"/>
    </row>
    <row r="13" spans="1:8" x14ac:dyDescent="0.25">
      <c r="A13" s="92" t="s">
        <v>9</v>
      </c>
      <c r="B13" s="92"/>
      <c r="C13" s="92"/>
      <c r="D13" s="92"/>
      <c r="E13" s="103" t="s">
        <v>186</v>
      </c>
      <c r="F13" s="104"/>
      <c r="G13" s="104"/>
      <c r="H13" s="104"/>
    </row>
    <row r="14" spans="1:8" ht="34.5" customHeight="1" x14ac:dyDescent="0.25">
      <c r="A14" s="121" t="s">
        <v>10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Unique Elanza, Survey No.29/4 &amp; 30/5, near JP North Barcelona, Internal Road, Kashimira, Ghodbunder, Mira Road East, Thane, Thane - 401107.</v>
      </c>
      <c r="D14" s="121"/>
      <c r="E14" s="121"/>
      <c r="F14" s="121"/>
      <c r="G14" s="121"/>
      <c r="H14" s="121"/>
    </row>
    <row r="15" spans="1:8" x14ac:dyDescent="0.25">
      <c r="A15" s="103" t="s">
        <v>189</v>
      </c>
      <c r="B15" s="103"/>
      <c r="C15" s="103" t="s">
        <v>188</v>
      </c>
      <c r="D15" s="103"/>
      <c r="E15" s="103"/>
      <c r="F15" s="103"/>
      <c r="G15" s="103"/>
      <c r="H15" s="103"/>
    </row>
    <row r="16" spans="1:8" ht="15.75" customHeight="1" x14ac:dyDescent="0.25">
      <c r="A16" s="103" t="s">
        <v>175</v>
      </c>
      <c r="B16" s="103"/>
      <c r="C16" s="103" t="s">
        <v>193</v>
      </c>
      <c r="D16" s="103"/>
      <c r="E16" s="103"/>
      <c r="F16" s="103"/>
      <c r="G16" s="103"/>
      <c r="H16" s="103"/>
    </row>
    <row r="17" spans="1:8" ht="15.75" customHeight="1" x14ac:dyDescent="0.25">
      <c r="A17" s="121" t="s">
        <v>11</v>
      </c>
      <c r="B17" s="121"/>
      <c r="C17" s="104" t="s">
        <v>194</v>
      </c>
      <c r="D17" s="104"/>
      <c r="E17" s="121" t="s">
        <v>75</v>
      </c>
      <c r="F17" s="121"/>
      <c r="G17" s="103" t="s">
        <v>190</v>
      </c>
      <c r="H17" s="103"/>
    </row>
    <row r="18" spans="1:8" x14ac:dyDescent="0.25">
      <c r="A18" s="92" t="s">
        <v>13</v>
      </c>
      <c r="B18" s="92"/>
      <c r="C18" s="103" t="s">
        <v>196</v>
      </c>
      <c r="D18" s="103"/>
      <c r="E18" s="121" t="s">
        <v>12</v>
      </c>
      <c r="F18" s="121"/>
      <c r="G18" s="143" t="s">
        <v>191</v>
      </c>
      <c r="H18" s="143"/>
    </row>
    <row r="19" spans="1:8" x14ac:dyDescent="0.25">
      <c r="A19" s="92" t="s">
        <v>76</v>
      </c>
      <c r="B19" s="92"/>
      <c r="C19" s="103" t="s">
        <v>191</v>
      </c>
      <c r="D19" s="103"/>
      <c r="E19" s="121" t="s">
        <v>14</v>
      </c>
      <c r="F19" s="121"/>
      <c r="G19" s="103">
        <v>401107</v>
      </c>
      <c r="H19" s="103"/>
    </row>
    <row r="20" spans="1:8" ht="32.25" customHeight="1" x14ac:dyDescent="0.25">
      <c r="A20" s="92" t="s">
        <v>129</v>
      </c>
      <c r="B20" s="92"/>
      <c r="C20" s="103" t="s">
        <v>197</v>
      </c>
      <c r="D20" s="103"/>
      <c r="E20" s="121" t="s">
        <v>15</v>
      </c>
      <c r="F20" s="121"/>
      <c r="G20" s="103" t="s">
        <v>195</v>
      </c>
      <c r="H20" s="103"/>
    </row>
    <row r="21" spans="1:8" ht="15" customHeight="1" x14ac:dyDescent="0.25">
      <c r="A21" s="121" t="s">
        <v>79</v>
      </c>
      <c r="B21" s="121"/>
      <c r="C21" s="121"/>
      <c r="D21" s="121"/>
      <c r="E21" s="104" t="s">
        <v>16</v>
      </c>
      <c r="F21" s="104"/>
      <c r="G21" s="104"/>
      <c r="H21" s="104"/>
    </row>
    <row r="22" spans="1:8" ht="18.75" customHeight="1" x14ac:dyDescent="0.25">
      <c r="A22" s="121"/>
      <c r="B22" s="121"/>
      <c r="C22" s="121"/>
      <c r="D22" s="121"/>
      <c r="E22" s="104"/>
      <c r="F22" s="104"/>
      <c r="G22" s="104"/>
      <c r="H22" s="104"/>
    </row>
    <row r="23" spans="1:8" ht="15" customHeight="1" x14ac:dyDescent="0.25">
      <c r="A23" s="121" t="s">
        <v>17</v>
      </c>
      <c r="B23" s="121"/>
      <c r="C23" s="121"/>
      <c r="D23" s="121"/>
      <c r="E23" s="103" t="s">
        <v>18</v>
      </c>
      <c r="F23" s="103"/>
      <c r="G23" s="103"/>
      <c r="H23" s="103"/>
    </row>
    <row r="24" spans="1:8" ht="15" customHeight="1" x14ac:dyDescent="0.25">
      <c r="A24" s="92" t="s">
        <v>19</v>
      </c>
      <c r="B24" s="92"/>
      <c r="C24" s="92"/>
      <c r="D24" s="92"/>
      <c r="E24" s="103" t="str">
        <f>IF(AND(G18="Mumbai"),"Upper Class","Middle Class")</f>
        <v>Middle Class</v>
      </c>
      <c r="F24" s="103"/>
      <c r="G24" s="103"/>
      <c r="H24" s="103"/>
    </row>
    <row r="25" spans="1:8" x14ac:dyDescent="0.25">
      <c r="A25" s="92" t="s">
        <v>20</v>
      </c>
      <c r="B25" s="92"/>
      <c r="C25" s="92"/>
      <c r="D25" s="92"/>
      <c r="E25" s="103" t="s">
        <v>21</v>
      </c>
      <c r="F25" s="103"/>
      <c r="G25" s="103"/>
      <c r="H25" s="103"/>
    </row>
    <row r="26" spans="1:8" ht="15.75" customHeight="1" x14ac:dyDescent="0.25">
      <c r="A26" s="92" t="s">
        <v>22</v>
      </c>
      <c r="B26" s="92"/>
      <c r="C26" s="92"/>
      <c r="D26" s="92"/>
      <c r="E26" s="103" t="str">
        <f>IF(AND(G18="Mumbai"),"Developed","Developing")</f>
        <v>Developing</v>
      </c>
      <c r="F26" s="103"/>
      <c r="G26" s="103"/>
      <c r="H26" s="103"/>
    </row>
    <row r="27" spans="1:8" x14ac:dyDescent="0.25">
      <c r="A27" s="92" t="s">
        <v>23</v>
      </c>
      <c r="B27" s="92"/>
      <c r="C27" s="92"/>
      <c r="D27" s="92"/>
      <c r="E27" s="103" t="s">
        <v>24</v>
      </c>
      <c r="F27" s="103"/>
      <c r="G27" s="103"/>
      <c r="H27" s="103"/>
    </row>
    <row r="28" spans="1:8" ht="15.75" customHeight="1" x14ac:dyDescent="0.25">
      <c r="A28" s="92" t="s">
        <v>84</v>
      </c>
      <c r="B28" s="92"/>
      <c r="C28" s="92"/>
      <c r="D28" s="92"/>
      <c r="E28" s="103" t="s">
        <v>85</v>
      </c>
      <c r="F28" s="103"/>
      <c r="G28" s="103"/>
      <c r="H28" s="103"/>
    </row>
    <row r="29" spans="1:8" ht="15" customHeight="1" x14ac:dyDescent="0.25">
      <c r="A29" s="92" t="s">
        <v>33</v>
      </c>
      <c r="B29" s="92"/>
      <c r="C29" s="92"/>
      <c r="D29" s="92"/>
      <c r="E29" s="103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3"/>
      <c r="G29" s="103"/>
      <c r="H29" s="103"/>
    </row>
    <row r="30" spans="1:8" ht="15.75" customHeight="1" x14ac:dyDescent="0.25">
      <c r="A30" s="92" t="s">
        <v>96</v>
      </c>
      <c r="B30" s="92"/>
      <c r="C30" s="92"/>
      <c r="D30" s="92"/>
      <c r="E30" s="103" t="s">
        <v>34</v>
      </c>
      <c r="F30" s="103"/>
      <c r="G30" s="103"/>
      <c r="H30" s="103"/>
    </row>
    <row r="31" spans="1:8" s="22" customFormat="1" x14ac:dyDescent="0.25">
      <c r="A31" s="150" t="s">
        <v>97</v>
      </c>
      <c r="B31" s="150"/>
      <c r="C31" s="149" t="s">
        <v>29</v>
      </c>
      <c r="D31" s="149"/>
      <c r="E31" s="149"/>
      <c r="F31" s="149" t="s">
        <v>31</v>
      </c>
      <c r="G31" s="149"/>
      <c r="H31" s="149"/>
    </row>
    <row r="32" spans="1:8" s="22" customFormat="1" x14ac:dyDescent="0.25">
      <c r="A32" s="147" t="s">
        <v>25</v>
      </c>
      <c r="B32" s="147" t="s">
        <v>30</v>
      </c>
      <c r="C32" s="148" t="s">
        <v>30</v>
      </c>
      <c r="D32" s="148"/>
      <c r="E32" s="148"/>
      <c r="F32" s="148" t="s">
        <v>197</v>
      </c>
      <c r="G32" s="148"/>
      <c r="H32" s="148"/>
    </row>
    <row r="33" spans="1:8" x14ac:dyDescent="0.25">
      <c r="A33" s="147" t="s">
        <v>26</v>
      </c>
      <c r="B33" s="147" t="s">
        <v>30</v>
      </c>
      <c r="C33" s="148" t="s">
        <v>30</v>
      </c>
      <c r="D33" s="148"/>
      <c r="E33" s="148"/>
      <c r="F33" s="148" t="s">
        <v>198</v>
      </c>
      <c r="G33" s="148"/>
      <c r="H33" s="148"/>
    </row>
    <row r="34" spans="1:8" s="22" customFormat="1" x14ac:dyDescent="0.25">
      <c r="A34" s="147" t="s">
        <v>28</v>
      </c>
      <c r="B34" s="147" t="s">
        <v>30</v>
      </c>
      <c r="C34" s="148" t="s">
        <v>30</v>
      </c>
      <c r="D34" s="148"/>
      <c r="E34" s="148"/>
      <c r="F34" s="148" t="s">
        <v>199</v>
      </c>
      <c r="G34" s="148"/>
      <c r="H34" s="148"/>
    </row>
    <row r="35" spans="1:8" x14ac:dyDescent="0.25">
      <c r="A35" s="147" t="s">
        <v>27</v>
      </c>
      <c r="B35" s="147" t="s">
        <v>30</v>
      </c>
      <c r="C35" s="148" t="s">
        <v>30</v>
      </c>
      <c r="D35" s="148"/>
      <c r="E35" s="148"/>
      <c r="F35" s="148" t="s">
        <v>194</v>
      </c>
      <c r="G35" s="148"/>
      <c r="H35" s="148"/>
    </row>
    <row r="36" spans="1:8" x14ac:dyDescent="0.25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25">
      <c r="A37" s="92" t="s">
        <v>180</v>
      </c>
      <c r="B37" s="92"/>
      <c r="C37" s="136" t="s">
        <v>224</v>
      </c>
      <c r="D37" s="136"/>
      <c r="E37" s="136"/>
      <c r="F37" s="136"/>
      <c r="G37" s="136"/>
      <c r="H37" s="136"/>
    </row>
    <row r="38" spans="1:8" x14ac:dyDescent="0.25">
      <c r="A38" s="92" t="s">
        <v>174</v>
      </c>
      <c r="B38" s="92"/>
      <c r="C38" s="191" t="s">
        <v>192</v>
      </c>
      <c r="D38" s="103"/>
      <c r="E38" s="103"/>
      <c r="F38" s="103"/>
      <c r="G38" s="103"/>
      <c r="H38" s="103"/>
    </row>
    <row r="39" spans="1:8" x14ac:dyDescent="0.25">
      <c r="A39" s="136" t="s">
        <v>35</v>
      </c>
      <c r="B39" s="136"/>
      <c r="C39" s="136"/>
      <c r="D39" s="136"/>
      <c r="E39" s="136"/>
      <c r="F39" s="136"/>
      <c r="G39" s="136"/>
      <c r="H39" s="136"/>
    </row>
    <row r="40" spans="1:8" x14ac:dyDescent="0.25">
      <c r="A40" s="92" t="s">
        <v>36</v>
      </c>
      <c r="B40" s="92"/>
      <c r="C40" s="92"/>
      <c r="D40" s="92"/>
      <c r="E40" s="170">
        <v>3630.63</v>
      </c>
      <c r="F40" s="170"/>
      <c r="G40" s="170"/>
      <c r="H40" s="170"/>
    </row>
    <row r="41" spans="1:8" x14ac:dyDescent="0.25">
      <c r="A41" s="92" t="s">
        <v>37</v>
      </c>
      <c r="B41" s="92"/>
      <c r="C41" s="92"/>
      <c r="D41" s="92"/>
      <c r="E41" s="152">
        <v>1.1000000000000001</v>
      </c>
      <c r="F41" s="152"/>
      <c r="G41" s="152"/>
      <c r="H41" s="152"/>
    </row>
    <row r="42" spans="1:8" x14ac:dyDescent="0.25">
      <c r="A42" s="92" t="s">
        <v>38</v>
      </c>
      <c r="B42" s="92"/>
      <c r="C42" s="92"/>
      <c r="D42" s="92"/>
      <c r="E42" s="152">
        <f>E44/E40-E41</f>
        <v>3.5233380983465676</v>
      </c>
      <c r="F42" s="152"/>
      <c r="G42" s="152"/>
      <c r="H42" s="152"/>
    </row>
    <row r="43" spans="1:8" x14ac:dyDescent="0.25">
      <c r="A43" s="92" t="s">
        <v>39</v>
      </c>
      <c r="B43" s="92"/>
      <c r="C43" s="92"/>
      <c r="D43" s="92"/>
      <c r="E43" s="152">
        <f>E41+E42</f>
        <v>4.6233380983465677</v>
      </c>
      <c r="F43" s="152"/>
      <c r="G43" s="152"/>
      <c r="H43" s="152"/>
    </row>
    <row r="44" spans="1:8" x14ac:dyDescent="0.25">
      <c r="A44" s="92" t="s">
        <v>95</v>
      </c>
      <c r="B44" s="92"/>
      <c r="C44" s="92"/>
      <c r="D44" s="92"/>
      <c r="E44" s="153">
        <v>16785.63</v>
      </c>
      <c r="F44" s="153"/>
      <c r="G44" s="153"/>
      <c r="H44" s="153"/>
    </row>
    <row r="45" spans="1:8" x14ac:dyDescent="0.25">
      <c r="A45" s="104" t="s">
        <v>40</v>
      </c>
      <c r="B45" s="104"/>
      <c r="C45" s="104"/>
      <c r="D45" s="104"/>
      <c r="E45" s="104" t="s">
        <v>200</v>
      </c>
      <c r="F45" s="104"/>
      <c r="G45" s="104"/>
      <c r="H45" s="104"/>
    </row>
    <row r="46" spans="1:8" x14ac:dyDescent="0.25">
      <c r="A46" s="136" t="s">
        <v>41</v>
      </c>
      <c r="B46" s="136"/>
      <c r="C46" s="136"/>
      <c r="D46" s="136"/>
      <c r="E46" s="136"/>
      <c r="F46" s="136"/>
      <c r="G46" s="136"/>
      <c r="H46" s="136"/>
    </row>
    <row r="47" spans="1:8" ht="33.75" customHeight="1" x14ac:dyDescent="0.25">
      <c r="A47" s="107" t="s">
        <v>161</v>
      </c>
      <c r="B47" s="109"/>
      <c r="C47" s="195" t="s">
        <v>201</v>
      </c>
      <c r="D47" s="196"/>
      <c r="E47" s="196"/>
      <c r="F47" s="196"/>
      <c r="G47" s="196"/>
      <c r="H47" s="197"/>
    </row>
    <row r="48" spans="1:8" ht="15.75" customHeight="1" x14ac:dyDescent="0.25">
      <c r="A48" s="107" t="s">
        <v>42</v>
      </c>
      <c r="B48" s="109"/>
      <c r="C48" s="107" t="s">
        <v>202</v>
      </c>
      <c r="D48" s="108"/>
      <c r="E48" s="109"/>
      <c r="F48" s="18" t="s">
        <v>43</v>
      </c>
      <c r="G48" s="123">
        <v>44876</v>
      </c>
      <c r="H48" s="109"/>
    </row>
    <row r="49" spans="1:14" x14ac:dyDescent="0.25">
      <c r="A49" s="107" t="s">
        <v>44</v>
      </c>
      <c r="B49" s="109"/>
      <c r="C49" s="107" t="str">
        <f>C48</f>
        <v>MBMNP/NR/3034/2022-23</v>
      </c>
      <c r="D49" s="108"/>
      <c r="E49" s="109"/>
      <c r="F49" s="18" t="s">
        <v>43</v>
      </c>
      <c r="G49" s="123">
        <f>G48</f>
        <v>44876</v>
      </c>
      <c r="H49" s="124"/>
    </row>
    <row r="50" spans="1:14" s="23" customFormat="1" ht="15.75" customHeight="1" x14ac:dyDescent="0.25">
      <c r="A50" s="183" t="s">
        <v>165</v>
      </c>
      <c r="B50" s="184"/>
      <c r="C50" s="107" t="str">
        <f>C49</f>
        <v>MBMNP/NR/3034/2022-23</v>
      </c>
      <c r="D50" s="108"/>
      <c r="E50" s="109"/>
      <c r="F50" s="18" t="s">
        <v>43</v>
      </c>
      <c r="G50" s="123">
        <f>G49</f>
        <v>44876</v>
      </c>
      <c r="H50" s="124"/>
    </row>
    <row r="51" spans="1:14" s="23" customFormat="1" ht="35.25" customHeight="1" x14ac:dyDescent="0.25">
      <c r="A51" s="185"/>
      <c r="B51" s="186"/>
      <c r="C51" s="107" t="s">
        <v>203</v>
      </c>
      <c r="D51" s="108"/>
      <c r="E51" s="108"/>
      <c r="F51" s="108"/>
      <c r="G51" s="108"/>
      <c r="H51" s="109"/>
    </row>
    <row r="52" spans="1:14" x14ac:dyDescent="0.25">
      <c r="A52" s="167" t="s">
        <v>45</v>
      </c>
      <c r="B52" s="168"/>
      <c r="C52" s="167" t="s">
        <v>109</v>
      </c>
      <c r="D52" s="169"/>
      <c r="E52" s="168"/>
      <c r="F52" s="46" t="s">
        <v>43</v>
      </c>
      <c r="G52" s="105" t="s">
        <v>30</v>
      </c>
      <c r="H52" s="106"/>
    </row>
    <row r="53" spans="1:14" x14ac:dyDescent="0.25">
      <c r="A53" s="138" t="s">
        <v>47</v>
      </c>
      <c r="B53" s="138"/>
      <c r="C53" s="138"/>
      <c r="D53" s="138"/>
      <c r="E53" s="138"/>
      <c r="F53" s="138"/>
      <c r="G53" s="138"/>
      <c r="H53" s="138"/>
    </row>
    <row r="54" spans="1:14" x14ac:dyDescent="0.25">
      <c r="A54" s="121" t="s">
        <v>94</v>
      </c>
      <c r="B54" s="121"/>
      <c r="C54" s="121"/>
      <c r="D54" s="92">
        <f>E44</f>
        <v>16785.63</v>
      </c>
      <c r="E54" s="92"/>
      <c r="F54" s="92"/>
      <c r="G54" s="92"/>
      <c r="H54" s="92"/>
    </row>
    <row r="55" spans="1:14" x14ac:dyDescent="0.25">
      <c r="A55" s="103" t="s">
        <v>48</v>
      </c>
      <c r="B55" s="104"/>
      <c r="C55" s="104"/>
      <c r="D55" s="104" t="s">
        <v>219</v>
      </c>
      <c r="E55" s="104"/>
      <c r="F55" s="104"/>
      <c r="G55" s="104"/>
      <c r="H55" s="104"/>
      <c r="I55" s="24"/>
    </row>
    <row r="56" spans="1:14" ht="34.5" customHeight="1" x14ac:dyDescent="0.25">
      <c r="A56" s="156" t="s">
        <v>49</v>
      </c>
      <c r="B56" s="157"/>
      <c r="C56" s="158"/>
      <c r="D56" s="154" t="s">
        <v>221</v>
      </c>
      <c r="E56" s="155"/>
      <c r="F56" s="155"/>
      <c r="G56" s="155"/>
      <c r="H56" s="155"/>
    </row>
    <row r="57" spans="1:14" ht="15.75" customHeight="1" x14ac:dyDescent="0.25">
      <c r="A57" s="156" t="s">
        <v>92</v>
      </c>
      <c r="B57" s="157"/>
      <c r="C57" s="157"/>
      <c r="D57" s="161" t="s">
        <v>222</v>
      </c>
      <c r="E57" s="162"/>
      <c r="F57" s="162"/>
      <c r="G57" s="162"/>
      <c r="H57" s="163"/>
    </row>
    <row r="58" spans="1:14" ht="15.75" customHeight="1" x14ac:dyDescent="0.25">
      <c r="A58" s="159"/>
      <c r="B58" s="160"/>
      <c r="C58" s="160"/>
      <c r="D58" s="164" t="s">
        <v>223</v>
      </c>
      <c r="E58" s="165"/>
      <c r="F58" s="165"/>
      <c r="G58" s="165"/>
      <c r="H58" s="166"/>
    </row>
    <row r="59" spans="1:14" ht="15.75" customHeight="1" x14ac:dyDescent="0.25">
      <c r="A59" s="92" t="s">
        <v>46</v>
      </c>
      <c r="B59" s="92"/>
      <c r="C59" s="92"/>
      <c r="D59" s="151" t="s">
        <v>204</v>
      </c>
      <c r="E59" s="151"/>
      <c r="F59" s="151"/>
      <c r="G59" s="151"/>
      <c r="H59" s="151"/>
      <c r="J59" s="25"/>
      <c r="K59" s="24"/>
      <c r="N59" s="24"/>
    </row>
    <row r="60" spans="1:14" ht="15.75" customHeight="1" x14ac:dyDescent="0.25">
      <c r="A60" s="92" t="s">
        <v>90</v>
      </c>
      <c r="B60" s="92"/>
      <c r="C60" s="92"/>
      <c r="D60" s="182" t="str">
        <f>(IF(G52="NA","60 Years After Completion",IF(G52&lt;&gt;"NA",""&amp;60-ROUNDDOWN((E3-G52)/360,0)&amp;" Years"," ")))</f>
        <v>60 Years After Completion</v>
      </c>
      <c r="E60" s="182"/>
      <c r="F60" s="182"/>
      <c r="G60" s="182"/>
      <c r="H60" s="182"/>
      <c r="N60" s="24"/>
    </row>
    <row r="61" spans="1:14" ht="15.75" customHeight="1" x14ac:dyDescent="0.25">
      <c r="A61" s="92" t="s">
        <v>91</v>
      </c>
      <c r="B61" s="92"/>
      <c r="C61" s="92"/>
      <c r="D61" s="121" t="s">
        <v>24</v>
      </c>
      <c r="E61" s="121"/>
      <c r="F61" s="121"/>
      <c r="G61" s="121"/>
      <c r="H61" s="121"/>
      <c r="J61" s="26"/>
      <c r="K61" s="26"/>
    </row>
    <row r="62" spans="1:14" ht="64.5" customHeight="1" x14ac:dyDescent="0.25">
      <c r="A62" s="92" t="s">
        <v>77</v>
      </c>
      <c r="B62" s="92"/>
      <c r="C62" s="92"/>
      <c r="D62" s="103" t="s">
        <v>205</v>
      </c>
      <c r="E62" s="121"/>
      <c r="F62" s="121"/>
      <c r="G62" s="121"/>
      <c r="H62" s="121"/>
    </row>
    <row r="63" spans="1:14" x14ac:dyDescent="0.25">
      <c r="A63" s="121" t="s">
        <v>157</v>
      </c>
      <c r="B63" s="121"/>
      <c r="C63" s="121"/>
      <c r="D63" s="121" t="s">
        <v>30</v>
      </c>
      <c r="E63" s="121"/>
      <c r="F63" s="121"/>
      <c r="G63" s="121"/>
      <c r="H63" s="121"/>
      <c r="I63" s="27"/>
      <c r="J63" s="27"/>
      <c r="K63" s="27"/>
      <c r="L63" s="27"/>
      <c r="M63" s="27"/>
      <c r="N63" s="27"/>
    </row>
    <row r="64" spans="1:14" ht="15.75" customHeight="1" x14ac:dyDescent="0.25">
      <c r="A64" s="92" t="s">
        <v>89</v>
      </c>
      <c r="B64" s="92"/>
      <c r="C64" s="92"/>
      <c r="D64" s="103" t="str">
        <f ca="1">(IF(G70&gt;95%,"Nothing",IF(G70&gt;0%,"Cement, Aggregate, Steel, etc",IF(G70=0%,"Work not yet Started"))))</f>
        <v>Cement, Aggregate, Steel, etc</v>
      </c>
      <c r="E64" s="103"/>
      <c r="F64" s="103"/>
      <c r="G64" s="103"/>
      <c r="H64" s="103"/>
      <c r="J64" s="26"/>
    </row>
    <row r="65" spans="1:10" ht="33.75" customHeight="1" thickBot="1" x14ac:dyDescent="0.3">
      <c r="A65" s="121" t="s">
        <v>122</v>
      </c>
      <c r="B65" s="121"/>
      <c r="C65" s="121"/>
      <c r="D65" s="103" t="str">
        <f ca="1">(IF(D64="Nothing","Yes",IF(D64="Cement, Aggregate, Steel, etc","Under Construction",IF(D64="Work not yet Started","Work not yet Started"))))</f>
        <v>Under Construction</v>
      </c>
      <c r="E65" s="103"/>
      <c r="F65" s="103" t="str">
        <f ca="1">(IF(D64="Nothing","Yes",IF(D64="Cement, Aggregate, Steel, etc","Under Construction",IF(D64="Work not yet Started","Work not yet Started"))))</f>
        <v>Under Construction</v>
      </c>
      <c r="G65" s="103"/>
      <c r="H65" s="103"/>
    </row>
    <row r="66" spans="1:10" ht="15.75" customHeight="1" x14ac:dyDescent="0.25">
      <c r="A66" s="122" t="s">
        <v>147</v>
      </c>
      <c r="B66" s="122"/>
      <c r="C66" s="122" t="str">
        <f>D57</f>
        <v>Building Type A = Gr/Part Stilt + 1st to 27th Floor</v>
      </c>
      <c r="D66" s="122"/>
      <c r="E66" s="122"/>
      <c r="F66" s="122"/>
      <c r="G66" s="122"/>
      <c r="H66" s="122"/>
      <c r="I66" s="61" t="str">
        <f ca="1">IF(D79=100%,"All work Completed. Possession granted to the Building.",IF(D78=100%,"All work Completed, Waiting for OC",I67&amp;""&amp;I68&amp;""&amp;J67&amp;""&amp;J66&amp;" "&amp;J68))</f>
        <v>Excavation, Plinth Completed, RCC upto 21 Slab, Brickwork upto 14 Floor, Internal Plaster upto 9 Floor, External Plaster upto 4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21 Slab, Brickwork upto 14 Floor, Internal Plaster upto 9 Floor, External Plaster upto 4 Floor</v>
      </c>
    </row>
    <row r="67" spans="1:10" x14ac:dyDescent="0.25">
      <c r="A67" s="60" t="s">
        <v>149</v>
      </c>
      <c r="B67" s="60">
        <v>0</v>
      </c>
      <c r="C67" s="60" t="s">
        <v>74</v>
      </c>
      <c r="D67" s="60">
        <v>1</v>
      </c>
      <c r="E67" s="60" t="s">
        <v>73</v>
      </c>
      <c r="F67" s="60">
        <v>0</v>
      </c>
      <c r="G67" s="60" t="s">
        <v>83</v>
      </c>
      <c r="H67" s="60">
        <f ca="1">--TRIM(RIGHT(SUBSTITUTE(LEFT(C66,_xlfn.AGGREGATE(16,6,FIND({0,1,2,3,4,5,6,7,8,9},C66,ROW(INDIRECT("1:"&amp;LEN(C66)))),1))," ",REPT(" ",LEN(C66))),LEN(C66)))</f>
        <v>27</v>
      </c>
      <c r="I67" s="6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.950000000000003" customHeight="1" x14ac:dyDescent="0.25">
      <c r="A68" s="145" t="s">
        <v>93</v>
      </c>
      <c r="B68" s="145"/>
      <c r="C68" s="122" t="str">
        <f ca="1">I66</f>
        <v>Excavation, Plinth Completed, RCC upto 21 Slab, Brickwork upto 14 Floor, Internal Plaster upto 9 Floor, External Plaster upto 4 Floor Completed</v>
      </c>
      <c r="D68" s="122"/>
      <c r="E68" s="122"/>
      <c r="F68" s="122"/>
      <c r="G68" s="122"/>
      <c r="H68" s="122"/>
      <c r="I68" s="62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25">
      <c r="A69" s="110" t="s">
        <v>50</v>
      </c>
      <c r="B69" s="111"/>
      <c r="C69" s="44" t="s">
        <v>146</v>
      </c>
      <c r="D69" s="44" t="s">
        <v>86</v>
      </c>
      <c r="E69" s="111" t="s">
        <v>88</v>
      </c>
      <c r="F69" s="111"/>
      <c r="G69" s="111" t="s">
        <v>87</v>
      </c>
      <c r="H69" s="142"/>
      <c r="I69" s="14" t="s">
        <v>148</v>
      </c>
      <c r="J69" s="28">
        <f ca="1">H67*25%</f>
        <v>6.75</v>
      </c>
    </row>
    <row r="70" spans="1:10" x14ac:dyDescent="0.25">
      <c r="A70" s="110" t="s">
        <v>135</v>
      </c>
      <c r="B70" s="111"/>
      <c r="C70" s="44">
        <f ca="1">J71</f>
        <v>27</v>
      </c>
      <c r="D70" s="19">
        <f ca="1">((100/H67)*C70)/100</f>
        <v>1</v>
      </c>
      <c r="E70" s="171">
        <f ca="1">(((C71/H67*10)+(40/(D67+F67+H67)*C72)+(7.5/(H67)*C73)+(7.5/(H67)*C74)+(10/H67*C75)+(10/H67*C76)+(5/H67*C77)+(5/H67*C78)+(5/H67*C79))/100)</f>
        <v>0.47870370370370369</v>
      </c>
      <c r="F70" s="172"/>
      <c r="G70" s="171">
        <f ca="1">((((C70/H67)*20)+((C71/H67)*25)+(30/(H67+F67+D67)*C72)+(5/H67*C73)+(5/H67*C74)+(5/H67*C75)+(5/H67*C76)+(0/H67*C77)+(0/H67*C78)+(5/H67*C79))/100)</f>
        <v>0.72500000000000009</v>
      </c>
      <c r="H70" s="177"/>
      <c r="I70" s="14" t="s">
        <v>104</v>
      </c>
      <c r="J70" s="29">
        <f ca="1">H67*50%</f>
        <v>13.5</v>
      </c>
    </row>
    <row r="71" spans="1:10" x14ac:dyDescent="0.25">
      <c r="A71" s="110" t="s">
        <v>51</v>
      </c>
      <c r="B71" s="111"/>
      <c r="C71" s="44">
        <f ca="1">J79</f>
        <v>27</v>
      </c>
      <c r="D71" s="19">
        <f ca="1">((100/H67)*C71)/100</f>
        <v>1</v>
      </c>
      <c r="E71" s="173"/>
      <c r="F71" s="174"/>
      <c r="G71" s="173"/>
      <c r="H71" s="178"/>
      <c r="I71" s="14" t="s">
        <v>105</v>
      </c>
      <c r="J71" s="29">
        <f ca="1">H67</f>
        <v>27</v>
      </c>
    </row>
    <row r="72" spans="1:10" ht="15.75" customHeight="1" x14ac:dyDescent="0.25">
      <c r="A72" s="110" t="s">
        <v>136</v>
      </c>
      <c r="B72" s="111"/>
      <c r="C72" s="44">
        <v>21</v>
      </c>
      <c r="D72" s="19">
        <f ca="1">((100/(D67+F67+H67))*C72)/100</f>
        <v>0.75</v>
      </c>
      <c r="E72" s="173"/>
      <c r="F72" s="174"/>
      <c r="G72" s="173"/>
      <c r="H72" s="178"/>
      <c r="I72" s="14" t="s">
        <v>106</v>
      </c>
      <c r="J72" s="30">
        <f ca="1">(IF(B67&gt;1,(H67/(B67+2)),H67/4))</f>
        <v>6.75</v>
      </c>
    </row>
    <row r="73" spans="1:10" ht="15.75" customHeight="1" x14ac:dyDescent="0.25">
      <c r="A73" s="110" t="s">
        <v>143</v>
      </c>
      <c r="B73" s="111" t="s">
        <v>137</v>
      </c>
      <c r="C73" s="44">
        <v>14</v>
      </c>
      <c r="D73" s="19">
        <f ca="1">((100/H67)*C73)/100</f>
        <v>0.5185185185185186</v>
      </c>
      <c r="E73" s="173"/>
      <c r="F73" s="174"/>
      <c r="G73" s="173"/>
      <c r="H73" s="178"/>
      <c r="I73" s="14" t="s">
        <v>107</v>
      </c>
      <c r="J73" s="30">
        <f ca="1">(IF(B67&gt;1,(H67/(B67+2)+J72),H67/4+J72))</f>
        <v>13.5</v>
      </c>
    </row>
    <row r="74" spans="1:10" ht="15.75" customHeight="1" x14ac:dyDescent="0.25">
      <c r="A74" s="110" t="s">
        <v>144</v>
      </c>
      <c r="B74" s="111" t="s">
        <v>137</v>
      </c>
      <c r="C74" s="44">
        <v>9</v>
      </c>
      <c r="D74" s="19">
        <f ca="1">((100/H67)*C74)/100</f>
        <v>0.33333333333333337</v>
      </c>
      <c r="E74" s="173"/>
      <c r="F74" s="174"/>
      <c r="G74" s="173"/>
      <c r="H74" s="178"/>
      <c r="I74" s="14" t="s">
        <v>155</v>
      </c>
      <c r="J74" s="30">
        <f>(IF(B67&gt;1,(H67/(B67+2)+J73),0))</f>
        <v>0</v>
      </c>
    </row>
    <row r="75" spans="1:10" ht="15" customHeight="1" x14ac:dyDescent="0.25">
      <c r="A75" s="110" t="s">
        <v>142</v>
      </c>
      <c r="B75" s="111" t="s">
        <v>139</v>
      </c>
      <c r="C75" s="44">
        <v>4</v>
      </c>
      <c r="D75" s="19">
        <f ca="1">((100/(H67))*C75)/100</f>
        <v>0.14814814814814814</v>
      </c>
      <c r="E75" s="173"/>
      <c r="F75" s="174"/>
      <c r="G75" s="173"/>
      <c r="H75" s="178"/>
      <c r="I75" s="14" t="s">
        <v>150</v>
      </c>
      <c r="J75" s="30">
        <f>(IF(B67&gt;2,(H67/(B67+2)+J74),0))</f>
        <v>0</v>
      </c>
    </row>
    <row r="76" spans="1:10" ht="15.75" customHeight="1" x14ac:dyDescent="0.25">
      <c r="A76" s="110" t="s">
        <v>138</v>
      </c>
      <c r="B76" s="111" t="s">
        <v>138</v>
      </c>
      <c r="C76" s="44">
        <v>0</v>
      </c>
      <c r="D76" s="19">
        <f ca="1">((100/H67)*C76)/100</f>
        <v>0</v>
      </c>
      <c r="E76" s="173"/>
      <c r="F76" s="174"/>
      <c r="G76" s="173"/>
      <c r="H76" s="178"/>
      <c r="I76" s="14" t="s">
        <v>151</v>
      </c>
      <c r="J76" s="31">
        <f>(IF(B67&gt;3,(H67/(B67+2)+J75),0))</f>
        <v>0</v>
      </c>
    </row>
    <row r="77" spans="1:10" ht="15.75" customHeight="1" x14ac:dyDescent="0.25">
      <c r="A77" s="110" t="s">
        <v>145</v>
      </c>
      <c r="B77" s="111"/>
      <c r="C77" s="44">
        <v>0</v>
      </c>
      <c r="D77" s="19">
        <f ca="1">((100/H67)*C77)/100</f>
        <v>0</v>
      </c>
      <c r="E77" s="173"/>
      <c r="F77" s="174"/>
      <c r="G77" s="173"/>
      <c r="H77" s="178"/>
      <c r="I77" s="14" t="s">
        <v>152</v>
      </c>
      <c r="J77" s="30">
        <f>(IF(B67&gt;4,(H67/(B67+2)+J76),0))</f>
        <v>0</v>
      </c>
    </row>
    <row r="78" spans="1:10" ht="15.75" customHeight="1" x14ac:dyDescent="0.25">
      <c r="A78" s="110" t="s">
        <v>140</v>
      </c>
      <c r="B78" s="111" t="s">
        <v>140</v>
      </c>
      <c r="C78" s="44">
        <v>0</v>
      </c>
      <c r="D78" s="19">
        <f ca="1">((100/(H67))*C78)/100</f>
        <v>0</v>
      </c>
      <c r="E78" s="173"/>
      <c r="F78" s="174"/>
      <c r="G78" s="173"/>
      <c r="H78" s="178"/>
      <c r="I78" s="14" t="s">
        <v>156</v>
      </c>
      <c r="J78" s="30">
        <f ca="1">(IF(B67=1,(H67/(B67+3)+J73),IF(B67=0,(H67/4+J73),IF(B67&gt;1,0))))</f>
        <v>20.25</v>
      </c>
    </row>
    <row r="79" spans="1:10" ht="16.5" thickBot="1" x14ac:dyDescent="0.3">
      <c r="A79" s="180" t="s">
        <v>141</v>
      </c>
      <c r="B79" s="181"/>
      <c r="C79" s="45">
        <v>0</v>
      </c>
      <c r="D79" s="20">
        <f ca="1">((100/(H67))*C79)/100</f>
        <v>0</v>
      </c>
      <c r="E79" s="175"/>
      <c r="F79" s="176"/>
      <c r="G79" s="175"/>
      <c r="H79" s="179"/>
      <c r="I79" s="15" t="s">
        <v>108</v>
      </c>
      <c r="J79" s="32">
        <f ca="1">(IF(B67&gt;1.5,(H67/(B67+2)+J73+MAX(0,J74-J73)+MAX(0,J75-J74)+MAX(0,J76-J75)+MAX(0,J77-J76)+MAX(0,J78-J77)),IF(B67=1,(H67/(B67+3)+J78),IF(B67=0,H67/4+J78))))</f>
        <v>27</v>
      </c>
    </row>
    <row r="80" spans="1:10" ht="15.75" customHeight="1" x14ac:dyDescent="0.25">
      <c r="A80" s="116" t="s">
        <v>147</v>
      </c>
      <c r="B80" s="117"/>
      <c r="C80" s="118" t="str">
        <f>D58</f>
        <v>Building Type B = Gr/Part Stilt + 1st to 26th Floor</v>
      </c>
      <c r="D80" s="119"/>
      <c r="E80" s="119"/>
      <c r="F80" s="119"/>
      <c r="G80" s="119"/>
      <c r="H80" s="120"/>
      <c r="I80" s="48" t="str">
        <f ca="1">IF(D93=100%,"All work Completed. Possession granted to the Building.",IF(D92=100%,"All work Completed, Waiting for OC",I81&amp;""&amp;I82&amp;""&amp;J81&amp;""&amp;J80&amp;" "&amp;J82))</f>
        <v>Excavation, Plinth Completed, RCC upto 15 Slab, Brickwork upto 12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15 Slab, Brickwork upto 12 Floor</v>
      </c>
    </row>
    <row r="81" spans="1:10" x14ac:dyDescent="0.25">
      <c r="A81" s="16" t="s">
        <v>149</v>
      </c>
      <c r="B81" s="52">
        <v>0</v>
      </c>
      <c r="C81" s="56" t="s">
        <v>74</v>
      </c>
      <c r="D81" s="56">
        <v>1</v>
      </c>
      <c r="E81" s="56" t="s">
        <v>73</v>
      </c>
      <c r="F81" s="56">
        <v>0</v>
      </c>
      <c r="G81" s="56" t="s">
        <v>83</v>
      </c>
      <c r="H81" s="17">
        <f ca="1">--TRIM(RIGHT(SUBSTITUTE(LEFT(C80,_xlfn.AGGREGATE(16,6,FIND({0,1,2,3,4,5,6,7,8,9},C80,ROW(INDIRECT("1:"&amp;LEN(C80)))),1))," ",REPT(" ",LEN(C80))),LEN(C80)))</f>
        <v>26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2.25" customHeight="1" x14ac:dyDescent="0.25">
      <c r="A82" s="192" t="s">
        <v>93</v>
      </c>
      <c r="B82" s="145"/>
      <c r="C82" s="122" t="str">
        <f ca="1">(IF($G$52="NA",I80,"All work Completed. OC Received."))</f>
        <v>Excavation, Plinth Completed, RCC upto 15 Slab, Brickwork upto 12 Floor Completed</v>
      </c>
      <c r="D82" s="122"/>
      <c r="E82" s="122"/>
      <c r="F82" s="122"/>
      <c r="G82" s="122"/>
      <c r="H82" s="193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customHeight="1" x14ac:dyDescent="0.25">
      <c r="A83" s="110" t="s">
        <v>50</v>
      </c>
      <c r="B83" s="111"/>
      <c r="C83" s="44" t="s">
        <v>146</v>
      </c>
      <c r="D83" s="44" t="s">
        <v>86</v>
      </c>
      <c r="E83" s="111" t="s">
        <v>88</v>
      </c>
      <c r="F83" s="111"/>
      <c r="G83" s="111" t="s">
        <v>87</v>
      </c>
      <c r="H83" s="142"/>
      <c r="I83" s="14" t="s">
        <v>148</v>
      </c>
      <c r="J83" s="28">
        <f ca="1">H81*25%</f>
        <v>6.5</v>
      </c>
    </row>
    <row r="84" spans="1:10" x14ac:dyDescent="0.25">
      <c r="A84" s="110" t="s">
        <v>135</v>
      </c>
      <c r="B84" s="111"/>
      <c r="C84" s="44">
        <f ca="1">J85</f>
        <v>26</v>
      </c>
      <c r="D84" s="19">
        <f ca="1">((100/H81)*C84)/100</f>
        <v>1</v>
      </c>
      <c r="E84" s="171">
        <f ca="1">(((C85/H81*10)+(40/(D81+F81+H81)*C86)+(7.5/(H81)*C87)+(7.5/(H81)*C88)+(10/H81*C89)+(10/H81*C90)+(5/H81*C91)+(5/H81*C92)+(5/H81*C93))/100)</f>
        <v>0.35683760683760679</v>
      </c>
      <c r="F84" s="172"/>
      <c r="G84" s="171">
        <f ca="1">((((C84/H81)*20)+((C85/H81)*25)+(30/(H81+F81+D81)*C86)+(5/H81*C87)+(5/H81*C88)+(5/H81*C89)+(5/H81*C90)+(0/H81*C91)+(0/H81*C92)+(5/H81*C93))/100)</f>
        <v>0.6397435897435898</v>
      </c>
      <c r="H84" s="177"/>
      <c r="I84" s="14" t="s">
        <v>104</v>
      </c>
      <c r="J84" s="29">
        <f ca="1">H81*50%</f>
        <v>13</v>
      </c>
    </row>
    <row r="85" spans="1:10" x14ac:dyDescent="0.25">
      <c r="A85" s="110" t="s">
        <v>51</v>
      </c>
      <c r="B85" s="111"/>
      <c r="C85" s="44">
        <f ca="1">J93</f>
        <v>26</v>
      </c>
      <c r="D85" s="19">
        <f ca="1">((100/H81)*C85)/100</f>
        <v>1</v>
      </c>
      <c r="E85" s="173"/>
      <c r="F85" s="174"/>
      <c r="G85" s="173"/>
      <c r="H85" s="178"/>
      <c r="I85" s="14" t="s">
        <v>105</v>
      </c>
      <c r="J85" s="29">
        <f ca="1">H81</f>
        <v>26</v>
      </c>
    </row>
    <row r="86" spans="1:10" ht="15.75" customHeight="1" x14ac:dyDescent="0.25">
      <c r="A86" s="110" t="s">
        <v>136</v>
      </c>
      <c r="B86" s="111"/>
      <c r="C86" s="44">
        <v>15</v>
      </c>
      <c r="D86" s="19">
        <f ca="1">((100/(D81+F81+H81))*C86)/100</f>
        <v>0.55555555555555558</v>
      </c>
      <c r="E86" s="173"/>
      <c r="F86" s="174"/>
      <c r="G86" s="173"/>
      <c r="H86" s="178"/>
      <c r="I86" s="14" t="s">
        <v>106</v>
      </c>
      <c r="J86" s="30">
        <f ca="1">(IF(B81&gt;1,(H81/(B81+2)),H81/4))</f>
        <v>6.5</v>
      </c>
    </row>
    <row r="87" spans="1:10" ht="15.75" customHeight="1" x14ac:dyDescent="0.25">
      <c r="A87" s="110" t="s">
        <v>143</v>
      </c>
      <c r="B87" s="111" t="s">
        <v>137</v>
      </c>
      <c r="C87" s="44">
        <v>12</v>
      </c>
      <c r="D87" s="19">
        <f ca="1">((100/H81)*C87)/100</f>
        <v>0.46153846153846151</v>
      </c>
      <c r="E87" s="173"/>
      <c r="F87" s="174"/>
      <c r="G87" s="173"/>
      <c r="H87" s="178"/>
      <c r="I87" s="14" t="s">
        <v>107</v>
      </c>
      <c r="J87" s="30">
        <f ca="1">(IF(B81&gt;1,(H81/(B81+2)+J86),H81/4+J86))</f>
        <v>13</v>
      </c>
    </row>
    <row r="88" spans="1:10" ht="15.75" customHeight="1" x14ac:dyDescent="0.25">
      <c r="A88" s="110" t="s">
        <v>144</v>
      </c>
      <c r="B88" s="111" t="s">
        <v>137</v>
      </c>
      <c r="C88" s="44">
        <v>0</v>
      </c>
      <c r="D88" s="19">
        <f ca="1">((100/H81)*C88)/100</f>
        <v>0</v>
      </c>
      <c r="E88" s="173"/>
      <c r="F88" s="174"/>
      <c r="G88" s="173"/>
      <c r="H88" s="178"/>
      <c r="I88" s="14" t="s">
        <v>155</v>
      </c>
      <c r="J88" s="30">
        <f>(IF(B81&gt;1,(H81/(B81+2)+J87),0))</f>
        <v>0</v>
      </c>
    </row>
    <row r="89" spans="1:10" ht="15" customHeight="1" x14ac:dyDescent="0.25">
      <c r="A89" s="110" t="s">
        <v>142</v>
      </c>
      <c r="B89" s="111" t="s">
        <v>139</v>
      </c>
      <c r="C89" s="44">
        <v>0</v>
      </c>
      <c r="D89" s="19">
        <f ca="1">((100/(H81))*C89)/100</f>
        <v>0</v>
      </c>
      <c r="E89" s="173"/>
      <c r="F89" s="174"/>
      <c r="G89" s="173"/>
      <c r="H89" s="178"/>
      <c r="I89" s="14" t="s">
        <v>150</v>
      </c>
      <c r="J89" s="30">
        <f>(IF(B81&gt;2,(H81/(B81+2)+J88),0))</f>
        <v>0</v>
      </c>
    </row>
    <row r="90" spans="1:10" ht="15.75" customHeight="1" x14ac:dyDescent="0.25">
      <c r="A90" s="110" t="s">
        <v>138</v>
      </c>
      <c r="B90" s="111" t="s">
        <v>138</v>
      </c>
      <c r="C90" s="44">
        <v>0</v>
      </c>
      <c r="D90" s="19">
        <f ca="1">((100/H81)*C90)/100</f>
        <v>0</v>
      </c>
      <c r="E90" s="173"/>
      <c r="F90" s="174"/>
      <c r="G90" s="173"/>
      <c r="H90" s="178"/>
      <c r="I90" s="14" t="s">
        <v>151</v>
      </c>
      <c r="J90" s="31">
        <f>(IF(B81&gt;3,(H81/(B81+2)+J89),0))</f>
        <v>0</v>
      </c>
    </row>
    <row r="91" spans="1:10" ht="15.75" customHeight="1" x14ac:dyDescent="0.25">
      <c r="A91" s="110" t="s">
        <v>145</v>
      </c>
      <c r="B91" s="111"/>
      <c r="C91" s="44">
        <v>0</v>
      </c>
      <c r="D91" s="19">
        <f ca="1">((100/H81)*C91)/100</f>
        <v>0</v>
      </c>
      <c r="E91" s="173"/>
      <c r="F91" s="174"/>
      <c r="G91" s="173"/>
      <c r="H91" s="178"/>
      <c r="I91" s="14" t="s">
        <v>152</v>
      </c>
      <c r="J91" s="30">
        <f>(IF(B81&gt;4,(H81/(B81+2)+J90),0))</f>
        <v>0</v>
      </c>
    </row>
    <row r="92" spans="1:10" ht="15.75" customHeight="1" x14ac:dyDescent="0.25">
      <c r="A92" s="110" t="s">
        <v>140</v>
      </c>
      <c r="B92" s="111" t="s">
        <v>140</v>
      </c>
      <c r="C92" s="44">
        <v>0</v>
      </c>
      <c r="D92" s="19">
        <f ca="1">((100/(H81))*C92)/100</f>
        <v>0</v>
      </c>
      <c r="E92" s="173"/>
      <c r="F92" s="174"/>
      <c r="G92" s="173"/>
      <c r="H92" s="178"/>
      <c r="I92" s="14" t="s">
        <v>156</v>
      </c>
      <c r="J92" s="30">
        <f ca="1">(IF(B81=1,(H81/(B81+3)+J87),IF(B81=0,(H81/4+J87),IF(B81&gt;1,0))))</f>
        <v>19.5</v>
      </c>
    </row>
    <row r="93" spans="1:10" ht="16.5" thickBot="1" x14ac:dyDescent="0.3">
      <c r="A93" s="180" t="s">
        <v>141</v>
      </c>
      <c r="B93" s="181"/>
      <c r="C93" s="45">
        <v>0</v>
      </c>
      <c r="D93" s="20">
        <f ca="1">((100/(H81))*C93)/100</f>
        <v>0</v>
      </c>
      <c r="E93" s="175"/>
      <c r="F93" s="176"/>
      <c r="G93" s="175"/>
      <c r="H93" s="179"/>
      <c r="I93" s="15" t="s">
        <v>108</v>
      </c>
      <c r="J93" s="32">
        <f ca="1">(IF(B81&gt;1.5,(H81/(B81+2)+J87+MAX(0,J88-J87)+MAX(0,J89-J88)+MAX(0,J90-J89)+MAX(0,J91-J90)+MAX(0,J92-J91)),IF(B81=1,(H81/(B81+3)+J92),IF(B81=0,H81/4+J92))))</f>
        <v>26</v>
      </c>
    </row>
    <row r="94" spans="1:10" x14ac:dyDescent="0.25">
      <c r="A94" s="194" t="s">
        <v>167</v>
      </c>
      <c r="B94" s="194"/>
      <c r="C94" s="194"/>
      <c r="D94" s="194"/>
      <c r="E94" s="194"/>
      <c r="F94" s="187" t="s">
        <v>172</v>
      </c>
      <c r="G94" s="187"/>
      <c r="H94" s="187"/>
    </row>
    <row r="95" spans="1:10" x14ac:dyDescent="0.25">
      <c r="A95" s="92" t="s">
        <v>170</v>
      </c>
      <c r="B95" s="92"/>
      <c r="C95" s="92"/>
      <c r="D95" s="92"/>
      <c r="E95" s="92"/>
      <c r="F95" s="112">
        <v>7800</v>
      </c>
      <c r="G95" s="112"/>
      <c r="H95" s="112"/>
    </row>
    <row r="96" spans="1:10" x14ac:dyDescent="0.25">
      <c r="A96" s="92" t="s">
        <v>169</v>
      </c>
      <c r="B96" s="92"/>
      <c r="C96" s="92"/>
      <c r="D96" s="92"/>
      <c r="E96" s="92"/>
      <c r="F96" s="112">
        <v>16000</v>
      </c>
      <c r="G96" s="112"/>
      <c r="H96" s="112"/>
    </row>
    <row r="97" spans="1:8" hidden="1" x14ac:dyDescent="0.25">
      <c r="A97" s="92" t="s">
        <v>171</v>
      </c>
      <c r="B97" s="92"/>
      <c r="C97" s="92"/>
      <c r="D97" s="92"/>
      <c r="E97" s="92"/>
      <c r="F97" s="112"/>
      <c r="G97" s="112"/>
      <c r="H97" s="112"/>
    </row>
    <row r="98" spans="1:8" s="33" customFormat="1" hidden="1" x14ac:dyDescent="0.25">
      <c r="A98" s="92" t="s">
        <v>168</v>
      </c>
      <c r="B98" s="92"/>
      <c r="C98" s="92"/>
      <c r="D98" s="92"/>
      <c r="E98" s="92"/>
      <c r="F98" s="112"/>
      <c r="G98" s="112"/>
      <c r="H98" s="112"/>
    </row>
    <row r="99" spans="1:8" s="33" customFormat="1" hidden="1" x14ac:dyDescent="0.25">
      <c r="A99" s="92" t="s">
        <v>98</v>
      </c>
      <c r="B99" s="92"/>
      <c r="C99" s="92"/>
      <c r="D99" s="92"/>
      <c r="E99" s="92"/>
      <c r="F99" s="112"/>
      <c r="G99" s="112"/>
      <c r="H99" s="112"/>
    </row>
    <row r="100" spans="1:8" s="33" customFormat="1" hidden="1" x14ac:dyDescent="0.25">
      <c r="A100" s="92" t="s">
        <v>99</v>
      </c>
      <c r="B100" s="92"/>
      <c r="C100" s="92"/>
      <c r="D100" s="92"/>
      <c r="E100" s="92"/>
      <c r="F100" s="112"/>
      <c r="G100" s="112"/>
      <c r="H100" s="112"/>
    </row>
    <row r="101" spans="1:8" s="33" customFormat="1" hidden="1" x14ac:dyDescent="0.25">
      <c r="A101" s="92" t="s">
        <v>173</v>
      </c>
      <c r="B101" s="92"/>
      <c r="C101" s="92"/>
      <c r="D101" s="92"/>
      <c r="E101" s="92"/>
      <c r="F101" s="112"/>
      <c r="G101" s="112"/>
      <c r="H101" s="112"/>
    </row>
    <row r="102" spans="1:8" s="33" customFormat="1" hidden="1" x14ac:dyDescent="0.25">
      <c r="A102" s="92" t="s">
        <v>100</v>
      </c>
      <c r="B102" s="92"/>
      <c r="C102" s="92"/>
      <c r="D102" s="92"/>
      <c r="E102" s="92"/>
      <c r="F102" s="112"/>
      <c r="G102" s="112"/>
      <c r="H102" s="112"/>
    </row>
    <row r="103" spans="1:8" s="33" customFormat="1" hidden="1" x14ac:dyDescent="0.25">
      <c r="A103" s="92" t="s">
        <v>101</v>
      </c>
      <c r="B103" s="92"/>
      <c r="C103" s="92"/>
      <c r="D103" s="92"/>
      <c r="E103" s="92"/>
      <c r="F103" s="112"/>
      <c r="G103" s="112"/>
      <c r="H103" s="112"/>
    </row>
    <row r="104" spans="1:8" s="33" customFormat="1" hidden="1" x14ac:dyDescent="0.25">
      <c r="A104" s="92" t="s">
        <v>102</v>
      </c>
      <c r="B104" s="92"/>
      <c r="C104" s="92"/>
      <c r="D104" s="92"/>
      <c r="E104" s="92"/>
      <c r="F104" s="112"/>
      <c r="G104" s="112"/>
      <c r="H104" s="112"/>
    </row>
    <row r="105" spans="1:8" s="33" customFormat="1" hidden="1" x14ac:dyDescent="0.25">
      <c r="A105" s="92" t="s">
        <v>103</v>
      </c>
      <c r="B105" s="92"/>
      <c r="C105" s="92"/>
      <c r="D105" s="92"/>
      <c r="E105" s="92"/>
      <c r="F105" s="112"/>
      <c r="G105" s="112"/>
      <c r="H105" s="112"/>
    </row>
    <row r="106" spans="1:8" x14ac:dyDescent="0.25">
      <c r="A106" s="92" t="s">
        <v>52</v>
      </c>
      <c r="B106" s="92"/>
      <c r="C106" s="92"/>
      <c r="D106" s="92"/>
      <c r="E106" s="92"/>
      <c r="F106" s="112">
        <v>400000</v>
      </c>
      <c r="G106" s="112"/>
      <c r="H106" s="112"/>
    </row>
    <row r="107" spans="1:8" s="34" customFormat="1" x14ac:dyDescent="0.25">
      <c r="A107" s="136" t="s">
        <v>53</v>
      </c>
      <c r="B107" s="136"/>
      <c r="C107" s="136"/>
      <c r="D107" s="136"/>
      <c r="E107" s="136"/>
      <c r="F107" s="112">
        <f>F95*0.8</f>
        <v>6240</v>
      </c>
      <c r="G107" s="112"/>
      <c r="H107" s="112"/>
    </row>
    <row r="108" spans="1:8" s="35" customFormat="1" ht="15.75" customHeight="1" x14ac:dyDescent="0.25">
      <c r="A108" s="135" t="s">
        <v>78</v>
      </c>
      <c r="B108" s="135"/>
      <c r="C108" s="135"/>
      <c r="D108" s="135"/>
      <c r="E108" s="135"/>
      <c r="F108" s="135"/>
      <c r="G108" s="135"/>
      <c r="H108" s="135"/>
    </row>
    <row r="109" spans="1:8" s="35" customFormat="1" ht="15.75" customHeight="1" x14ac:dyDescent="0.25">
      <c r="A109" s="94" t="s">
        <v>54</v>
      </c>
      <c r="B109" s="94"/>
      <c r="C109" s="128" t="s">
        <v>81</v>
      </c>
      <c r="D109" s="128"/>
      <c r="E109" s="115" t="s">
        <v>55</v>
      </c>
      <c r="F109" s="115"/>
      <c r="G109" s="94" t="s">
        <v>56</v>
      </c>
      <c r="H109" s="94"/>
    </row>
    <row r="110" spans="1:8" s="35" customFormat="1" x14ac:dyDescent="0.25">
      <c r="A110" s="137" t="s">
        <v>206</v>
      </c>
      <c r="B110" s="137"/>
      <c r="C110" s="130">
        <f>COUNT(D125:D133)</f>
        <v>9</v>
      </c>
      <c r="D110" s="131"/>
      <c r="E110" s="113">
        <f t="shared" ref="E110" si="0">SUM(D125:D133)</f>
        <v>1601.7908399999999</v>
      </c>
      <c r="F110" s="114"/>
      <c r="G110" s="113">
        <f>SUM(F125:F133)</f>
        <v>2562.8653440000003</v>
      </c>
      <c r="H110" s="114"/>
    </row>
    <row r="111" spans="1:8" s="35" customFormat="1" x14ac:dyDescent="0.25">
      <c r="A111" s="137" t="s">
        <v>213</v>
      </c>
      <c r="B111" s="137"/>
      <c r="C111" s="130">
        <f>COUNT(D136:D147)</f>
        <v>12</v>
      </c>
      <c r="D111" s="131"/>
      <c r="E111" s="113">
        <f t="shared" ref="E111" si="1">SUM(D136:D147)</f>
        <v>2153.0152799999996</v>
      </c>
      <c r="F111" s="114"/>
      <c r="G111" s="113">
        <f>SUM(F136:F147)</f>
        <v>3444.8244479999994</v>
      </c>
      <c r="H111" s="114"/>
    </row>
    <row r="112" spans="1:8" s="35" customFormat="1" x14ac:dyDescent="0.25">
      <c r="A112" s="135" t="s">
        <v>160</v>
      </c>
      <c r="B112" s="135"/>
      <c r="C112" s="189">
        <f>SUM(C110:C111)</f>
        <v>21</v>
      </c>
      <c r="D112" s="128"/>
      <c r="E112" s="190">
        <f>SUM(E110:E111)</f>
        <v>3754.8061199999993</v>
      </c>
      <c r="F112" s="115"/>
      <c r="G112" s="94">
        <f>SUM(G110:G111)</f>
        <v>6007.6897919999992</v>
      </c>
      <c r="H112" s="94"/>
    </row>
    <row r="113" spans="1:14" s="35" customFormat="1" x14ac:dyDescent="0.25">
      <c r="A113" s="135" t="s">
        <v>72</v>
      </c>
      <c r="B113" s="135"/>
      <c r="C113" s="135"/>
      <c r="D113" s="135"/>
      <c r="E113" s="135"/>
      <c r="F113" s="135"/>
      <c r="G113" s="135"/>
      <c r="H113" s="135"/>
    </row>
    <row r="114" spans="1:14" s="35" customFormat="1" ht="15.75" customHeight="1" x14ac:dyDescent="0.25">
      <c r="A114" s="94" t="s">
        <v>54</v>
      </c>
      <c r="B114" s="94"/>
      <c r="C114" s="128" t="s">
        <v>81</v>
      </c>
      <c r="D114" s="128"/>
      <c r="E114" s="115" t="s">
        <v>55</v>
      </c>
      <c r="F114" s="115"/>
      <c r="G114" s="94" t="s">
        <v>56</v>
      </c>
      <c r="H114" s="94"/>
    </row>
    <row r="115" spans="1:14" s="35" customFormat="1" x14ac:dyDescent="0.25">
      <c r="A115" s="137" t="s">
        <v>206</v>
      </c>
      <c r="B115" s="137"/>
      <c r="C115" s="130">
        <f>COUNT(D153:D157)+COUNT(D159:D163)*22+COUNT(D165:D166,D168:D169)*3</f>
        <v>127</v>
      </c>
      <c r="D115" s="130"/>
      <c r="E115" s="113">
        <f t="shared" ref="E115" si="2">SUM(D153:D157)+SUM(D159:D163)*22+SUM(D165:D166,D168:D169)*3</f>
        <v>55240.01378999999</v>
      </c>
      <c r="F115" s="113"/>
      <c r="G115" s="113">
        <f>SUM(F153:F157)+SUM(F159:F163)*22+SUM(F165:F166,F168:F169)*3</f>
        <v>85870.726285500015</v>
      </c>
      <c r="H115" s="113"/>
    </row>
    <row r="116" spans="1:14" s="35" customFormat="1" x14ac:dyDescent="0.25">
      <c r="A116" s="137" t="s">
        <v>213</v>
      </c>
      <c r="B116" s="137"/>
      <c r="C116" s="130">
        <f>COUNT(D178:D185)+COUNT(D187:D194)*21+COUNT(D196:D202)*3</f>
        <v>197</v>
      </c>
      <c r="D116" s="130"/>
      <c r="E116" s="113">
        <f t="shared" ref="E116" si="3">SUM(D178:D185)+SUM(D187:D194)*21+SUM(D196:D202)*3</f>
        <v>84891.470039999986</v>
      </c>
      <c r="F116" s="113"/>
      <c r="G116" s="113">
        <f>SUM(F178:F185)+SUM(F187:F194)*21+SUM(F196:F202)*3</f>
        <v>131930.86369319999</v>
      </c>
      <c r="H116" s="113"/>
    </row>
    <row r="117" spans="1:14" s="35" customFormat="1" x14ac:dyDescent="0.25">
      <c r="A117" s="135" t="s">
        <v>160</v>
      </c>
      <c r="B117" s="135"/>
      <c r="C117" s="189">
        <f>SUM(C115:C116)</f>
        <v>324</v>
      </c>
      <c r="D117" s="189"/>
      <c r="E117" s="190">
        <f>SUM(E115:E116)</f>
        <v>140131.48382999998</v>
      </c>
      <c r="F117" s="190"/>
      <c r="G117" s="94">
        <f>SUM(G115:G116)</f>
        <v>217801.58997870001</v>
      </c>
      <c r="H117" s="94"/>
    </row>
    <row r="118" spans="1:14" s="35" customFormat="1" x14ac:dyDescent="0.25">
      <c r="A118" s="135" t="s">
        <v>181</v>
      </c>
      <c r="B118" s="135"/>
      <c r="C118" s="189">
        <f>C112+C117</f>
        <v>345</v>
      </c>
      <c r="D118" s="189"/>
      <c r="E118" s="190">
        <f>E112+E117</f>
        <v>143886.28994999998</v>
      </c>
      <c r="F118" s="190"/>
      <c r="G118" s="94">
        <f>G112+G117</f>
        <v>223809.2797707</v>
      </c>
      <c r="H118" s="94"/>
    </row>
    <row r="119" spans="1:14" s="34" customFormat="1" x14ac:dyDescent="0.25">
      <c r="A119" s="129" t="s">
        <v>57</v>
      </c>
      <c r="B119" s="129"/>
      <c r="C119" s="129"/>
      <c r="D119" s="129"/>
      <c r="E119" s="129"/>
      <c r="F119" s="129"/>
      <c r="G119" s="129"/>
      <c r="H119" s="129"/>
    </row>
    <row r="120" spans="1:14" x14ac:dyDescent="0.25">
      <c r="A120" s="129" t="s">
        <v>58</v>
      </c>
      <c r="B120" s="129"/>
      <c r="C120" s="129"/>
      <c r="D120" s="129"/>
      <c r="E120" s="129"/>
      <c r="F120" s="129"/>
      <c r="G120" s="129"/>
      <c r="H120" s="129"/>
    </row>
    <row r="121" spans="1:14" ht="47.25" customHeight="1" x14ac:dyDescent="0.25">
      <c r="A121" s="95" t="s">
        <v>126</v>
      </c>
      <c r="B121" s="95" t="s">
        <v>125</v>
      </c>
      <c r="C121" s="95" t="s">
        <v>59</v>
      </c>
      <c r="D121" s="95" t="s">
        <v>60</v>
      </c>
      <c r="E121" s="97" t="s">
        <v>166</v>
      </c>
      <c r="F121" s="43" t="s">
        <v>158</v>
      </c>
      <c r="G121" s="99" t="s">
        <v>62</v>
      </c>
      <c r="H121" s="100"/>
    </row>
    <row r="122" spans="1:14" s="37" customFormat="1" x14ac:dyDescent="0.25">
      <c r="A122" s="96"/>
      <c r="B122" s="96"/>
      <c r="C122" s="96"/>
      <c r="D122" s="96"/>
      <c r="E122" s="98"/>
      <c r="F122" s="13">
        <v>0.6</v>
      </c>
      <c r="G122" s="101"/>
      <c r="H122" s="102"/>
    </row>
    <row r="123" spans="1:14" s="55" customFormat="1" x14ac:dyDescent="0.25">
      <c r="A123" s="80" t="s">
        <v>206</v>
      </c>
      <c r="B123" s="81"/>
      <c r="C123" s="81"/>
      <c r="D123" s="81"/>
      <c r="E123" s="81"/>
      <c r="F123" s="81"/>
      <c r="G123" s="81"/>
      <c r="H123" s="82"/>
      <c r="J123" s="36"/>
    </row>
    <row r="124" spans="1:14" s="55" customFormat="1" x14ac:dyDescent="0.25">
      <c r="A124" s="80" t="s">
        <v>208</v>
      </c>
      <c r="B124" s="81"/>
      <c r="C124" s="81"/>
      <c r="D124" s="81"/>
      <c r="E124" s="81"/>
      <c r="F124" s="81"/>
      <c r="G124" s="81"/>
      <c r="H124" s="82"/>
      <c r="J124" s="58">
        <f>10.764</f>
        <v>10.763999999999999</v>
      </c>
    </row>
    <row r="125" spans="1:14" s="55" customFormat="1" ht="15.75" customHeight="1" x14ac:dyDescent="0.25">
      <c r="A125" s="64">
        <v>1</v>
      </c>
      <c r="B125" s="65"/>
      <c r="C125" s="54" t="s">
        <v>207</v>
      </c>
      <c r="D125" s="58">
        <f>(9.63+2.75*1.2)*(10.764)</f>
        <v>139.17851999999999</v>
      </c>
      <c r="E125" s="54">
        <v>0</v>
      </c>
      <c r="F125" s="54">
        <f>(D125+E125)*(($F$122)+1)</f>
        <v>222.685632</v>
      </c>
      <c r="G125" s="83" t="str">
        <f>A124</f>
        <v>Ground Floor For Commercial, Society Office, Drivers Room &amp; Parking</v>
      </c>
      <c r="H125" s="84"/>
      <c r="I125" s="36"/>
      <c r="L125" s="63"/>
      <c r="M125" s="63"/>
      <c r="N125" s="36"/>
    </row>
    <row r="126" spans="1:14" s="55" customFormat="1" ht="15.75" customHeight="1" x14ac:dyDescent="0.25">
      <c r="A126" s="64">
        <f t="shared" ref="A126:A133" si="4">A125+1</f>
        <v>2</v>
      </c>
      <c r="B126" s="65"/>
      <c r="C126" s="54" t="s">
        <v>207</v>
      </c>
      <c r="D126" s="58">
        <f>(12.04+2.15*1.2)*(10.764)</f>
        <v>157.36967999999999</v>
      </c>
      <c r="E126" s="54">
        <v>0</v>
      </c>
      <c r="F126" s="54">
        <f t="shared" ref="F126:F128" si="5">(D126+E126)*(($F$122)+1)</f>
        <v>251.79148799999999</v>
      </c>
      <c r="G126" s="85"/>
      <c r="H126" s="86"/>
      <c r="I126" s="36"/>
      <c r="L126" s="63"/>
      <c r="M126" s="63"/>
      <c r="N126" s="36"/>
    </row>
    <row r="127" spans="1:14" s="55" customFormat="1" ht="15.75" customHeight="1" x14ac:dyDescent="0.25">
      <c r="A127" s="64">
        <f t="shared" si="4"/>
        <v>3</v>
      </c>
      <c r="B127" s="65"/>
      <c r="C127" s="54" t="s">
        <v>207</v>
      </c>
      <c r="D127" s="58">
        <f>(15.4+2.75*1.2)*(10.764)</f>
        <v>201.28679999999997</v>
      </c>
      <c r="E127" s="54">
        <v>0</v>
      </c>
      <c r="F127" s="54">
        <f t="shared" si="5"/>
        <v>322.05887999999999</v>
      </c>
      <c r="G127" s="85"/>
      <c r="H127" s="86"/>
      <c r="I127" s="36"/>
      <c r="L127" s="63"/>
      <c r="M127" s="63"/>
      <c r="N127" s="36"/>
    </row>
    <row r="128" spans="1:14" s="55" customFormat="1" ht="15.75" customHeight="1" x14ac:dyDescent="0.25">
      <c r="A128" s="64">
        <f t="shared" si="4"/>
        <v>4</v>
      </c>
      <c r="B128" s="65"/>
      <c r="C128" s="54" t="s">
        <v>207</v>
      </c>
      <c r="D128" s="58">
        <f>(15.4+2.75*1.2)*(10.764)</f>
        <v>201.28679999999997</v>
      </c>
      <c r="E128" s="54">
        <v>0</v>
      </c>
      <c r="F128" s="54">
        <f t="shared" si="5"/>
        <v>322.05887999999999</v>
      </c>
      <c r="G128" s="85"/>
      <c r="H128" s="86"/>
      <c r="I128" s="36"/>
      <c r="L128" s="63"/>
      <c r="M128" s="63"/>
      <c r="N128" s="36"/>
    </row>
    <row r="129" spans="1:14" s="55" customFormat="1" ht="15.75" customHeight="1" x14ac:dyDescent="0.25">
      <c r="A129" s="64">
        <f t="shared" si="4"/>
        <v>5</v>
      </c>
      <c r="B129" s="65"/>
      <c r="C129" s="54" t="s">
        <v>207</v>
      </c>
      <c r="D129" s="58">
        <f>(12.04+2.15*1.2)*(10.764)</f>
        <v>157.36967999999999</v>
      </c>
      <c r="E129" s="54">
        <v>0</v>
      </c>
      <c r="F129" s="54">
        <f t="shared" ref="F129:F131" si="6">(D129+E129)*(($F$122)+1)</f>
        <v>251.79148799999999</v>
      </c>
      <c r="G129" s="85"/>
      <c r="H129" s="86"/>
      <c r="I129" s="36"/>
      <c r="L129" s="63"/>
      <c r="M129" s="63"/>
      <c r="N129" s="36"/>
    </row>
    <row r="130" spans="1:14" s="55" customFormat="1" ht="15.75" customHeight="1" x14ac:dyDescent="0.25">
      <c r="A130" s="64">
        <f t="shared" si="4"/>
        <v>6</v>
      </c>
      <c r="B130" s="65"/>
      <c r="C130" s="54" t="s">
        <v>207</v>
      </c>
      <c r="D130" s="58">
        <f>(18.43+3.8*1.2)*(10.764)</f>
        <v>247.46435999999997</v>
      </c>
      <c r="E130" s="54">
        <v>0</v>
      </c>
      <c r="F130" s="54">
        <f t="shared" si="6"/>
        <v>395.94297599999999</v>
      </c>
      <c r="G130" s="85"/>
      <c r="H130" s="86"/>
      <c r="I130" s="36"/>
      <c r="L130" s="63"/>
      <c r="M130" s="63"/>
      <c r="N130" s="36"/>
    </row>
    <row r="131" spans="1:14" s="55" customFormat="1" ht="15.75" customHeight="1" x14ac:dyDescent="0.25">
      <c r="A131" s="64">
        <f t="shared" si="4"/>
        <v>7</v>
      </c>
      <c r="B131" s="65"/>
      <c r="C131" s="54" t="s">
        <v>207</v>
      </c>
      <c r="D131" s="58">
        <f>(15.4+2.75*1.2)*(10.764)</f>
        <v>201.28679999999997</v>
      </c>
      <c r="E131" s="54">
        <v>0</v>
      </c>
      <c r="F131" s="54">
        <f t="shared" si="6"/>
        <v>322.05887999999999</v>
      </c>
      <c r="G131" s="85"/>
      <c r="H131" s="86"/>
      <c r="I131" s="36"/>
      <c r="L131" s="63"/>
      <c r="M131" s="63"/>
      <c r="N131" s="36"/>
    </row>
    <row r="132" spans="1:14" s="55" customFormat="1" ht="15.75" customHeight="1" x14ac:dyDescent="0.25">
      <c r="A132" s="64">
        <f t="shared" si="4"/>
        <v>8</v>
      </c>
      <c r="B132" s="65"/>
      <c r="C132" s="54" t="s">
        <v>207</v>
      </c>
      <c r="D132" s="58">
        <f>(12.04+2.15*1.2)*(10.764)</f>
        <v>157.36967999999999</v>
      </c>
      <c r="E132" s="54">
        <v>0</v>
      </c>
      <c r="F132" s="54">
        <f t="shared" ref="F132:F133" si="7">(D132+E132)*(($F$122)+1)</f>
        <v>251.79148799999999</v>
      </c>
      <c r="G132" s="85"/>
      <c r="H132" s="86"/>
      <c r="I132" s="36"/>
      <c r="L132" s="63"/>
      <c r="M132" s="63"/>
      <c r="N132" s="36"/>
    </row>
    <row r="133" spans="1:14" s="55" customFormat="1" ht="15.75" customHeight="1" x14ac:dyDescent="0.25">
      <c r="A133" s="64">
        <f t="shared" si="4"/>
        <v>9</v>
      </c>
      <c r="B133" s="65"/>
      <c r="C133" s="54" t="s">
        <v>207</v>
      </c>
      <c r="D133" s="58">
        <f>(9.63+2.75*1.2)*(10.764)</f>
        <v>139.17851999999999</v>
      </c>
      <c r="E133" s="54">
        <v>0</v>
      </c>
      <c r="F133" s="54">
        <f t="shared" si="7"/>
        <v>222.685632</v>
      </c>
      <c r="G133" s="87"/>
      <c r="H133" s="88"/>
      <c r="I133" s="36"/>
      <c r="L133" s="63"/>
      <c r="M133" s="63"/>
      <c r="N133" s="36"/>
    </row>
    <row r="134" spans="1:14" s="55" customFormat="1" x14ac:dyDescent="0.25">
      <c r="A134" s="80" t="s">
        <v>213</v>
      </c>
      <c r="B134" s="81"/>
      <c r="C134" s="81"/>
      <c r="D134" s="81"/>
      <c r="E134" s="81"/>
      <c r="F134" s="81"/>
      <c r="G134" s="81"/>
      <c r="H134" s="82"/>
    </row>
    <row r="135" spans="1:14" s="37" customFormat="1" ht="15.75" customHeight="1" x14ac:dyDescent="0.25">
      <c r="A135" s="80" t="s">
        <v>208</v>
      </c>
      <c r="B135" s="81"/>
      <c r="C135" s="81"/>
      <c r="D135" s="81"/>
      <c r="E135" s="81"/>
      <c r="F135" s="81"/>
      <c r="G135" s="81"/>
      <c r="H135" s="82"/>
      <c r="J135" s="36"/>
    </row>
    <row r="136" spans="1:14" s="37" customFormat="1" ht="15.75" customHeight="1" x14ac:dyDescent="0.25">
      <c r="A136" s="64">
        <v>1</v>
      </c>
      <c r="B136" s="65"/>
      <c r="C136" s="54" t="s">
        <v>207</v>
      </c>
      <c r="D136" s="58">
        <f>(15.51+2.75*1.2)*(10.764)</f>
        <v>202.47083999999998</v>
      </c>
      <c r="E136" s="42">
        <v>0</v>
      </c>
      <c r="F136" s="42">
        <f>(D136+E136)*(($F$122)+1)</f>
        <v>323.95334400000002</v>
      </c>
      <c r="G136" s="83" t="str">
        <f>A135</f>
        <v>Ground Floor For Commercial, Society Office, Drivers Room &amp; Parking</v>
      </c>
      <c r="H136" s="84"/>
      <c r="I136" s="36"/>
      <c r="L136" s="63"/>
      <c r="M136" s="63"/>
      <c r="N136" s="36"/>
    </row>
    <row r="137" spans="1:14" s="37" customFormat="1" ht="15.75" customHeight="1" x14ac:dyDescent="0.25">
      <c r="A137" s="64">
        <f t="shared" ref="A137:A147" si="8">A136+1</f>
        <v>2</v>
      </c>
      <c r="B137" s="65"/>
      <c r="C137" s="54" t="s">
        <v>207</v>
      </c>
      <c r="D137" s="58">
        <f>(10.75+2.15*1.2)*(10.764)</f>
        <v>143.48411999999999</v>
      </c>
      <c r="E137" s="42">
        <v>0</v>
      </c>
      <c r="F137" s="42">
        <f t="shared" ref="F137:F139" si="9">(D137+E137)*(($F$122)+1)</f>
        <v>229.574592</v>
      </c>
      <c r="G137" s="85"/>
      <c r="H137" s="86"/>
      <c r="I137" s="36"/>
      <c r="L137" s="63"/>
      <c r="M137" s="63"/>
      <c r="N137" s="36"/>
    </row>
    <row r="138" spans="1:14" s="37" customFormat="1" ht="15.75" customHeight="1" x14ac:dyDescent="0.25">
      <c r="A138" s="64">
        <f t="shared" si="8"/>
        <v>3</v>
      </c>
      <c r="B138" s="65"/>
      <c r="C138" s="54" t="s">
        <v>207</v>
      </c>
      <c r="D138" s="58">
        <f>(15.81+2.75*1.2)*(10.764)</f>
        <v>205.70003999999997</v>
      </c>
      <c r="E138" s="42">
        <v>0</v>
      </c>
      <c r="F138" s="42">
        <f t="shared" si="9"/>
        <v>329.12006399999996</v>
      </c>
      <c r="G138" s="85"/>
      <c r="H138" s="86"/>
      <c r="I138" s="36"/>
      <c r="L138" s="63"/>
      <c r="M138" s="63"/>
      <c r="N138" s="36"/>
    </row>
    <row r="139" spans="1:14" s="37" customFormat="1" ht="15.75" customHeight="1" x14ac:dyDescent="0.25">
      <c r="A139" s="64">
        <f t="shared" si="8"/>
        <v>4</v>
      </c>
      <c r="B139" s="65"/>
      <c r="C139" s="54" t="s">
        <v>207</v>
      </c>
      <c r="D139" s="58">
        <f>(15.81+2.75*1.2)*(10.764)</f>
        <v>205.70003999999997</v>
      </c>
      <c r="E139" s="42">
        <v>0</v>
      </c>
      <c r="F139" s="42">
        <f t="shared" si="9"/>
        <v>329.12006399999996</v>
      </c>
      <c r="G139" s="85"/>
      <c r="H139" s="86"/>
      <c r="I139" s="36"/>
      <c r="L139" s="63"/>
      <c r="M139" s="63"/>
      <c r="N139" s="36"/>
    </row>
    <row r="140" spans="1:14" s="55" customFormat="1" ht="15.75" customHeight="1" x14ac:dyDescent="0.25">
      <c r="A140" s="64">
        <f t="shared" si="8"/>
        <v>5</v>
      </c>
      <c r="B140" s="65"/>
      <c r="C140" s="54" t="s">
        <v>207</v>
      </c>
      <c r="D140" s="58">
        <f>(12.36+2.15*1.2)*(10.764)</f>
        <v>160.81415999999999</v>
      </c>
      <c r="E140" s="54">
        <v>0</v>
      </c>
      <c r="F140" s="54">
        <f t="shared" ref="F140:F145" si="10">(D140+E140)*(($F$122)+1)</f>
        <v>257.30265600000001</v>
      </c>
      <c r="G140" s="85"/>
      <c r="H140" s="86"/>
      <c r="I140" s="36"/>
      <c r="L140" s="63"/>
      <c r="M140" s="63"/>
      <c r="N140" s="36"/>
    </row>
    <row r="141" spans="1:14" s="55" customFormat="1" ht="15.75" customHeight="1" x14ac:dyDescent="0.25">
      <c r="A141" s="64">
        <f t="shared" si="8"/>
        <v>6</v>
      </c>
      <c r="B141" s="65"/>
      <c r="C141" s="54" t="s">
        <v>207</v>
      </c>
      <c r="D141" s="58">
        <f>(13.34+2.75*1.2)*(10.764)</f>
        <v>179.11295999999999</v>
      </c>
      <c r="E141" s="54">
        <v>0</v>
      </c>
      <c r="F141" s="54">
        <f t="shared" si="10"/>
        <v>286.580736</v>
      </c>
      <c r="G141" s="85"/>
      <c r="H141" s="86"/>
      <c r="I141" s="36"/>
      <c r="L141" s="63"/>
      <c r="M141" s="63"/>
      <c r="N141" s="36"/>
    </row>
    <row r="142" spans="1:14" s="55" customFormat="1" ht="15.75" customHeight="1" x14ac:dyDescent="0.25">
      <c r="A142" s="64">
        <f t="shared" si="8"/>
        <v>7</v>
      </c>
      <c r="B142" s="65"/>
      <c r="C142" s="54" t="s">
        <v>207</v>
      </c>
      <c r="D142" s="58">
        <f>(13.34+2.75*1.2)*(10.764)</f>
        <v>179.11295999999999</v>
      </c>
      <c r="E142" s="54">
        <v>0</v>
      </c>
      <c r="F142" s="54">
        <f t="shared" si="10"/>
        <v>286.580736</v>
      </c>
      <c r="G142" s="85"/>
      <c r="H142" s="86"/>
      <c r="I142" s="36"/>
      <c r="L142" s="63"/>
      <c r="M142" s="63"/>
      <c r="N142" s="36"/>
    </row>
    <row r="143" spans="1:14" s="55" customFormat="1" ht="15.75" customHeight="1" x14ac:dyDescent="0.25">
      <c r="A143" s="64">
        <f t="shared" si="8"/>
        <v>8</v>
      </c>
      <c r="B143" s="65"/>
      <c r="C143" s="54" t="s">
        <v>207</v>
      </c>
      <c r="D143" s="58">
        <f>(12.36+2.15*1.2)*(10.764)</f>
        <v>160.81415999999999</v>
      </c>
      <c r="E143" s="54">
        <v>0</v>
      </c>
      <c r="F143" s="54">
        <f t="shared" si="10"/>
        <v>257.30265600000001</v>
      </c>
      <c r="G143" s="85"/>
      <c r="H143" s="86"/>
      <c r="I143" s="36"/>
      <c r="L143" s="63"/>
      <c r="M143" s="63"/>
      <c r="N143" s="36"/>
    </row>
    <row r="144" spans="1:14" s="55" customFormat="1" ht="15.75" customHeight="1" x14ac:dyDescent="0.25">
      <c r="A144" s="64">
        <f t="shared" si="8"/>
        <v>9</v>
      </c>
      <c r="B144" s="65"/>
      <c r="C144" s="54" t="s">
        <v>207</v>
      </c>
      <c r="D144" s="58">
        <f>(15.81+2.75*1.2)*(10.764)</f>
        <v>205.70003999999997</v>
      </c>
      <c r="E144" s="54">
        <v>0</v>
      </c>
      <c r="F144" s="54">
        <f t="shared" si="10"/>
        <v>329.12006399999996</v>
      </c>
      <c r="G144" s="85"/>
      <c r="H144" s="86"/>
      <c r="I144" s="36"/>
      <c r="L144" s="63"/>
      <c r="M144" s="63"/>
      <c r="N144" s="36"/>
    </row>
    <row r="145" spans="1:14" s="55" customFormat="1" ht="15.75" customHeight="1" x14ac:dyDescent="0.25">
      <c r="A145" s="64">
        <f t="shared" si="8"/>
        <v>10</v>
      </c>
      <c r="B145" s="65"/>
      <c r="C145" s="54" t="s">
        <v>207</v>
      </c>
      <c r="D145" s="58">
        <f>(15.81+2.75*1.2)*(10.764)</f>
        <v>205.70003999999997</v>
      </c>
      <c r="E145" s="54">
        <v>0</v>
      </c>
      <c r="F145" s="54">
        <f t="shared" si="10"/>
        <v>329.12006399999996</v>
      </c>
      <c r="G145" s="85"/>
      <c r="H145" s="86"/>
      <c r="I145" s="36"/>
      <c r="L145" s="63"/>
      <c r="M145" s="63"/>
      <c r="N145" s="36"/>
    </row>
    <row r="146" spans="1:14" s="55" customFormat="1" ht="15.75" customHeight="1" x14ac:dyDescent="0.25">
      <c r="A146" s="64">
        <f t="shared" si="8"/>
        <v>11</v>
      </c>
      <c r="B146" s="65"/>
      <c r="C146" s="54" t="s">
        <v>207</v>
      </c>
      <c r="D146" s="58">
        <f>(12.36+2.15*1.2)*(10.764)</f>
        <v>160.81415999999999</v>
      </c>
      <c r="E146" s="54">
        <v>0</v>
      </c>
      <c r="F146" s="54">
        <f t="shared" ref="F146:F147" si="11">(D146+E146)*(($F$122)+1)</f>
        <v>257.30265600000001</v>
      </c>
      <c r="G146" s="85"/>
      <c r="H146" s="86"/>
      <c r="I146" s="36"/>
      <c r="L146" s="63"/>
      <c r="M146" s="63"/>
      <c r="N146" s="36"/>
    </row>
    <row r="147" spans="1:14" s="55" customFormat="1" ht="15.75" customHeight="1" x14ac:dyDescent="0.25">
      <c r="A147" s="64">
        <f t="shared" si="8"/>
        <v>12</v>
      </c>
      <c r="B147" s="65"/>
      <c r="C147" s="54" t="s">
        <v>207</v>
      </c>
      <c r="D147" s="58">
        <f>(10.04+2.75*1.2)*(10.764)</f>
        <v>143.59175999999999</v>
      </c>
      <c r="E147" s="54">
        <v>0</v>
      </c>
      <c r="F147" s="54">
        <f t="shared" si="11"/>
        <v>229.746816</v>
      </c>
      <c r="G147" s="87"/>
      <c r="H147" s="88"/>
      <c r="I147" s="36"/>
      <c r="L147" s="63"/>
      <c r="M147" s="63"/>
      <c r="N147" s="36"/>
    </row>
    <row r="148" spans="1:14" s="37" customFormat="1" x14ac:dyDescent="0.25">
      <c r="A148" s="64"/>
      <c r="B148" s="188"/>
      <c r="C148" s="188"/>
      <c r="D148" s="188"/>
      <c r="E148" s="188"/>
      <c r="F148" s="188"/>
      <c r="G148" s="188"/>
      <c r="H148" s="65"/>
      <c r="I148" s="36"/>
      <c r="N148" s="36"/>
    </row>
    <row r="149" spans="1:14" ht="47.25" customHeight="1" x14ac:dyDescent="0.25">
      <c r="A149" s="99" t="s">
        <v>127</v>
      </c>
      <c r="B149" s="99" t="s">
        <v>128</v>
      </c>
      <c r="C149" s="95" t="s">
        <v>59</v>
      </c>
      <c r="D149" s="95" t="s">
        <v>60</v>
      </c>
      <c r="E149" s="97" t="s">
        <v>61</v>
      </c>
      <c r="F149" s="43" t="s">
        <v>158</v>
      </c>
      <c r="G149" s="99" t="s">
        <v>62</v>
      </c>
      <c r="H149" s="100"/>
      <c r="I149" s="36"/>
    </row>
    <row r="150" spans="1:14" s="37" customFormat="1" x14ac:dyDescent="0.25">
      <c r="A150" s="101"/>
      <c r="B150" s="101"/>
      <c r="C150" s="96"/>
      <c r="D150" s="96"/>
      <c r="E150" s="98"/>
      <c r="F150" s="13">
        <v>0.55000000000000004</v>
      </c>
      <c r="G150" s="101"/>
      <c r="H150" s="102"/>
      <c r="I150" s="36"/>
    </row>
    <row r="151" spans="1:14" s="55" customFormat="1" ht="15.75" customHeight="1" x14ac:dyDescent="0.25">
      <c r="A151" s="91" t="s">
        <v>206</v>
      </c>
      <c r="B151" s="91"/>
      <c r="C151" s="91"/>
      <c r="D151" s="91"/>
      <c r="E151" s="91"/>
      <c r="F151" s="91"/>
      <c r="G151" s="91"/>
      <c r="H151" s="91"/>
      <c r="J151" s="36"/>
    </row>
    <row r="152" spans="1:14" s="55" customFormat="1" x14ac:dyDescent="0.25">
      <c r="A152" s="91" t="s">
        <v>209</v>
      </c>
      <c r="B152" s="91"/>
      <c r="C152" s="91"/>
      <c r="D152" s="91"/>
      <c r="E152" s="91"/>
      <c r="F152" s="91"/>
      <c r="G152" s="91"/>
      <c r="H152" s="91"/>
      <c r="J152" s="36"/>
    </row>
    <row r="153" spans="1:14" s="55" customFormat="1" ht="15.75" customHeight="1" x14ac:dyDescent="0.25">
      <c r="A153" s="69">
        <v>1</v>
      </c>
      <c r="B153" s="69"/>
      <c r="C153" s="53">
        <v>1</v>
      </c>
      <c r="D153" s="58">
        <f>(29.73+2.75*1.1+2.15*0.75+0.75*(2.75+2.15+3.35))*(10.764)</f>
        <v>436.53402</v>
      </c>
      <c r="E153" s="59">
        <v>0</v>
      </c>
      <c r="F153" s="59">
        <f>D153*(($F$150)+1)+(IF(E153&lt;101,E153,IF(E153&lt;201,E153/2,IF(E153&lt;=301,E153/3,E153/4))))</f>
        <v>676.62773100000004</v>
      </c>
      <c r="G153" s="69" t="str">
        <f>A152</f>
        <v>1st Floor For Residential</v>
      </c>
      <c r="H153" s="69"/>
      <c r="I153" s="36"/>
      <c r="J153" s="55">
        <f>3*2.75+2.15*1.7+2.75*2.75+1.65*0.6+1.95*1.2+1.2*1.95+2.15*0.9</f>
        <v>27.072499999999998</v>
      </c>
      <c r="L153" s="63"/>
      <c r="M153" s="63"/>
      <c r="N153" s="36"/>
    </row>
    <row r="154" spans="1:14" s="55" customFormat="1" ht="15.75" customHeight="1" x14ac:dyDescent="0.25">
      <c r="A154" s="69">
        <f t="shared" ref="A154:A157" si="12">A153+1</f>
        <v>2</v>
      </c>
      <c r="B154" s="69"/>
      <c r="C154" s="53">
        <v>1</v>
      </c>
      <c r="D154" s="58">
        <f>(29.73+2.75*1.1+2.15*0.75+0.75*(2.75+2.15+3.35))*(10.764)</f>
        <v>436.53402</v>
      </c>
      <c r="E154" s="59">
        <v>0</v>
      </c>
      <c r="F154" s="59">
        <f>D154*(($F$150)+1)+(IF(E154&lt;101,E154,IF(E154&lt;201,E154/2,IF(E154&lt;=301,E154/3,E154/4))))</f>
        <v>676.62773100000004</v>
      </c>
      <c r="G154" s="69"/>
      <c r="H154" s="69"/>
      <c r="I154" s="36"/>
      <c r="L154" s="63">
        <f>2.75+0.6</f>
        <v>3.35</v>
      </c>
      <c r="M154" s="63"/>
      <c r="N154" s="36"/>
    </row>
    <row r="155" spans="1:14" s="55" customFormat="1" ht="15.75" customHeight="1" x14ac:dyDescent="0.25">
      <c r="A155" s="69">
        <f t="shared" si="12"/>
        <v>3</v>
      </c>
      <c r="B155" s="69"/>
      <c r="C155" s="53">
        <v>1</v>
      </c>
      <c r="D155" s="58">
        <f>(29.73+2.75*1.1+2.15*0.75)*(10.764)</f>
        <v>369.93176999999997</v>
      </c>
      <c r="E155" s="58">
        <f>(2.9*1.77+2.45*1.15+2.9*2.57)*(10.764)</f>
        <v>165.80327399999999</v>
      </c>
      <c r="F155" s="59">
        <f>D155*(($F$150)+1)+(IF(E155&lt;101,E155,IF(E155&lt;201,E155/2,IF(E155&lt;=301,E155/3,E155/4))))</f>
        <v>656.29588050000007</v>
      </c>
      <c r="G155" s="69"/>
      <c r="H155" s="69"/>
      <c r="I155" s="36"/>
      <c r="J155" s="55">
        <f>2.75/2.2</f>
        <v>1.25</v>
      </c>
      <c r="L155" s="63"/>
      <c r="M155" s="63"/>
      <c r="N155" s="36"/>
    </row>
    <row r="156" spans="1:14" s="55" customFormat="1" ht="15.75" customHeight="1" x14ac:dyDescent="0.25">
      <c r="A156" s="69">
        <f t="shared" si="12"/>
        <v>4</v>
      </c>
      <c r="B156" s="69"/>
      <c r="C156" s="53">
        <v>1</v>
      </c>
      <c r="D156" s="58">
        <f>(29.73+2.75*1.1+2.15*0.75)*(10.764)</f>
        <v>369.93176999999997</v>
      </c>
      <c r="E156" s="58">
        <f>(2.9*1.77+2.45*1.15+2.9*2.57)*(10.764)</f>
        <v>165.80327399999999</v>
      </c>
      <c r="F156" s="59">
        <f>D156*(($F$150)+1)+(IF(E156&lt;101,E156,IF(E156&lt;201,E156/2,IF(E156&lt;=301,E156/3,E156/4))))</f>
        <v>656.29588050000007</v>
      </c>
      <c r="G156" s="69"/>
      <c r="H156" s="69"/>
      <c r="I156" s="36"/>
      <c r="J156" s="55">
        <f>1.95/1.6</f>
        <v>1.21875</v>
      </c>
      <c r="L156" s="63">
        <f>2.1*1.225</f>
        <v>2.5725000000000002</v>
      </c>
      <c r="M156" s="63"/>
      <c r="N156" s="36"/>
    </row>
    <row r="157" spans="1:14" s="55" customFormat="1" ht="15.75" customHeight="1" x14ac:dyDescent="0.25">
      <c r="A157" s="69">
        <f t="shared" si="12"/>
        <v>5</v>
      </c>
      <c r="B157" s="69"/>
      <c r="C157" s="53">
        <v>1</v>
      </c>
      <c r="D157" s="58">
        <f>(29.73+2.75*1.1+2.15*0.75)*(10.764)</f>
        <v>369.93176999999997</v>
      </c>
      <c r="E157" s="58">
        <f>(2.9*1.77+2.45*1.15+2.9*2.57)*(10.764)</f>
        <v>165.80327399999999</v>
      </c>
      <c r="F157" s="59">
        <f>D157*(($F$150)+1)+(IF(E157&lt;101,E157,IF(E157&lt;201,E157/2,IF(E157&lt;=301,E157/3,E157/4))))</f>
        <v>656.29588050000007</v>
      </c>
      <c r="G157" s="69"/>
      <c r="H157" s="69"/>
      <c r="I157" s="36"/>
      <c r="J157" s="55">
        <f>4.1/3.3</f>
        <v>1.2424242424242424</v>
      </c>
      <c r="L157" s="63"/>
      <c r="M157" s="63"/>
      <c r="N157" s="36"/>
    </row>
    <row r="158" spans="1:14" s="55" customFormat="1" x14ac:dyDescent="0.25">
      <c r="A158" s="91" t="s">
        <v>215</v>
      </c>
      <c r="B158" s="91"/>
      <c r="C158" s="91"/>
      <c r="D158" s="91"/>
      <c r="E158" s="91"/>
      <c r="F158" s="91"/>
      <c r="G158" s="91"/>
      <c r="H158" s="91"/>
      <c r="J158" s="57">
        <f>AVERAGE(J155:J157)</f>
        <v>1.2370580808080807</v>
      </c>
    </row>
    <row r="159" spans="1:14" s="55" customFormat="1" ht="15.75" customHeight="1" x14ac:dyDescent="0.25">
      <c r="A159" s="69">
        <v>1</v>
      </c>
      <c r="B159" s="69"/>
      <c r="C159" s="53">
        <v>1</v>
      </c>
      <c r="D159" s="58">
        <f>(29.73+2.75*1.1+2.15*0.75+0.75*(2.75+2.15+3.35))*(10.764)</f>
        <v>436.53402</v>
      </c>
      <c r="E159" s="59">
        <v>0</v>
      </c>
      <c r="F159" s="59">
        <f>D159*(($F$150)+1)+(IF(E159&lt;101,E159,IF(E159&lt;201,E159/2,IF(E159&lt;=301,E159/3,E159/4))))</f>
        <v>676.62773100000004</v>
      </c>
      <c r="G159" s="69" t="str">
        <f>A158</f>
        <v>2nd to 7th, 9th to 12th, 14th to 17th, 19th to 22nd &amp; 24th to 27th Floor</v>
      </c>
      <c r="H159" s="69"/>
      <c r="I159" s="89" t="s">
        <v>220</v>
      </c>
      <c r="J159" s="90"/>
      <c r="K159" s="90"/>
      <c r="L159" s="63"/>
      <c r="M159" s="63"/>
      <c r="N159" s="36"/>
    </row>
    <row r="160" spans="1:14" s="55" customFormat="1" ht="15.75" customHeight="1" x14ac:dyDescent="0.25">
      <c r="A160" s="69">
        <f t="shared" ref="A160:A163" si="13">A159+1</f>
        <v>2</v>
      </c>
      <c r="B160" s="69"/>
      <c r="C160" s="53">
        <v>1</v>
      </c>
      <c r="D160" s="58">
        <f>(29.73+2.75*1.1+2.15*0.75+0.75*(2.75+2.15+3.35))*(10.764)</f>
        <v>436.53402</v>
      </c>
      <c r="E160" s="59">
        <v>0</v>
      </c>
      <c r="F160" s="59">
        <f>D160*(($F$150)+1)+(IF(E160&lt;101,E160,IF(E160&lt;201,E160/2,IF(E160&lt;=301,E160/3,E160/4))))</f>
        <v>676.62773100000004</v>
      </c>
      <c r="G160" s="69"/>
      <c r="H160" s="69"/>
      <c r="I160" s="36"/>
      <c r="L160" s="63"/>
      <c r="M160" s="63"/>
      <c r="N160" s="36"/>
    </row>
    <row r="161" spans="1:14" s="55" customFormat="1" ht="15.75" customHeight="1" x14ac:dyDescent="0.25">
      <c r="A161" s="69">
        <f t="shared" si="13"/>
        <v>3</v>
      </c>
      <c r="B161" s="69"/>
      <c r="C161" s="53">
        <v>1</v>
      </c>
      <c r="D161" s="58">
        <f>(29.73+2.75*1.1+2.15*0.75+0.75*(2.75+2.15+3.35))*(10.764)</f>
        <v>436.53402</v>
      </c>
      <c r="E161" s="59">
        <v>0</v>
      </c>
      <c r="F161" s="59">
        <f>D161*(($F$150)+1)+(IF(E161&lt;101,E161,IF(E161&lt;201,E161/2,IF(E161&lt;=301,E161/3,E161/4))))</f>
        <v>676.62773100000004</v>
      </c>
      <c r="G161" s="69"/>
      <c r="H161" s="69"/>
      <c r="I161" s="36"/>
      <c r="L161" s="63"/>
      <c r="M161" s="63"/>
      <c r="N161" s="36"/>
    </row>
    <row r="162" spans="1:14" s="55" customFormat="1" ht="15.75" customHeight="1" x14ac:dyDescent="0.25">
      <c r="A162" s="69">
        <f t="shared" si="13"/>
        <v>4</v>
      </c>
      <c r="B162" s="69"/>
      <c r="C162" s="53">
        <v>1</v>
      </c>
      <c r="D162" s="58">
        <f>(29.73+2.75*1.1+2.15*0.75+0.75*(2.75+2.15+3.35))*(10.764)</f>
        <v>436.53402</v>
      </c>
      <c r="E162" s="59">
        <v>0</v>
      </c>
      <c r="F162" s="59">
        <f>D162*(($F$150)+1)+(IF(E162&lt;101,E162,IF(E162&lt;201,E162/2,IF(E162&lt;=301,E162/3,E162/4))))</f>
        <v>676.62773100000004</v>
      </c>
      <c r="G162" s="69"/>
      <c r="H162" s="69"/>
      <c r="I162" s="36"/>
      <c r="L162" s="63"/>
      <c r="M162" s="63"/>
      <c r="N162" s="36"/>
    </row>
    <row r="163" spans="1:14" s="55" customFormat="1" ht="15.75" customHeight="1" x14ac:dyDescent="0.25">
      <c r="A163" s="69">
        <f t="shared" si="13"/>
        <v>5</v>
      </c>
      <c r="B163" s="69"/>
      <c r="C163" s="53">
        <v>1</v>
      </c>
      <c r="D163" s="58">
        <f>(29.73+2.75*1.1+2.15*0.75+0.75*(2.75+2.15+3.35))*(10.764)</f>
        <v>436.53402</v>
      </c>
      <c r="E163" s="59">
        <v>0</v>
      </c>
      <c r="F163" s="59">
        <f>D163*(($F$150)+1)+(IF(E163&lt;101,E163,IF(E163&lt;201,E163/2,IF(E163&lt;=301,E163/3,E163/4))))</f>
        <v>676.62773100000004</v>
      </c>
      <c r="G163" s="69"/>
      <c r="H163" s="69"/>
      <c r="I163" s="36"/>
      <c r="L163" s="63"/>
      <c r="M163" s="63"/>
      <c r="N163" s="36"/>
    </row>
    <row r="164" spans="1:14" s="55" customFormat="1" x14ac:dyDescent="0.25">
      <c r="A164" s="80" t="s">
        <v>210</v>
      </c>
      <c r="B164" s="81"/>
      <c r="C164" s="81"/>
      <c r="D164" s="81"/>
      <c r="E164" s="81"/>
      <c r="F164" s="81"/>
      <c r="G164" s="81"/>
      <c r="H164" s="82"/>
      <c r="J164" s="57"/>
    </row>
    <row r="165" spans="1:14" s="55" customFormat="1" ht="15.75" customHeight="1" x14ac:dyDescent="0.25">
      <c r="A165" s="64">
        <v>1</v>
      </c>
      <c r="B165" s="65"/>
      <c r="C165" s="53">
        <v>1</v>
      </c>
      <c r="D165" s="58">
        <f>(29.73+2.75*1.1+2.15*0.75+0.75*(2.75+2.15+3.35))*(10.764)</f>
        <v>436.53402</v>
      </c>
      <c r="E165" s="54">
        <v>0</v>
      </c>
      <c r="F165" s="54">
        <f>D165*(($F$150)+1)+(IF(E165&lt;101,E165,IF(E165&lt;201,E165/2,IF(E165&lt;=301,E165/3,E165/4))))</f>
        <v>676.62773100000004</v>
      </c>
      <c r="G165" s="83" t="str">
        <f>A164</f>
        <v>8th, 18th &amp; 23rd Floor (Part Refuge Area)</v>
      </c>
      <c r="H165" s="84"/>
      <c r="I165" s="36"/>
      <c r="L165" s="63"/>
      <c r="M165" s="63"/>
      <c r="N165" s="36"/>
    </row>
    <row r="166" spans="1:14" s="55" customFormat="1" ht="15.75" customHeight="1" x14ac:dyDescent="0.25">
      <c r="A166" s="64">
        <f t="shared" ref="A166:A169" si="14">A165+1</f>
        <v>2</v>
      </c>
      <c r="B166" s="65"/>
      <c r="C166" s="53">
        <v>1</v>
      </c>
      <c r="D166" s="58">
        <f>(29.73+2.75*1.1+2.15*0.75+0.75*(2.75+2.15+3.35))*(10.764)</f>
        <v>436.53402</v>
      </c>
      <c r="E166" s="54">
        <v>0</v>
      </c>
      <c r="F166" s="54">
        <f>D166*(($F$150)+1)+(IF(E166&lt;101,E166,IF(E166&lt;201,E166/2,IF(E166&lt;=301,E166/3,E166/4))))</f>
        <v>676.62773100000004</v>
      </c>
      <c r="G166" s="85"/>
      <c r="H166" s="86"/>
      <c r="I166" s="36"/>
      <c r="J166" s="55">
        <f>4900000/F166</f>
        <v>7241.7960061409303</v>
      </c>
      <c r="L166" s="63"/>
      <c r="M166" s="63"/>
      <c r="N166" s="36"/>
    </row>
    <row r="167" spans="1:14" s="55" customFormat="1" ht="15.75" customHeight="1" x14ac:dyDescent="0.25">
      <c r="A167" s="64">
        <f t="shared" si="14"/>
        <v>3</v>
      </c>
      <c r="B167" s="65"/>
      <c r="C167" s="66" t="s">
        <v>211</v>
      </c>
      <c r="D167" s="67"/>
      <c r="E167" s="67"/>
      <c r="F167" s="68"/>
      <c r="G167" s="85"/>
      <c r="H167" s="86"/>
      <c r="I167" s="36"/>
      <c r="L167" s="63"/>
      <c r="M167" s="63"/>
      <c r="N167" s="36"/>
    </row>
    <row r="168" spans="1:14" s="55" customFormat="1" ht="15.75" customHeight="1" x14ac:dyDescent="0.25">
      <c r="A168" s="64">
        <f t="shared" si="14"/>
        <v>4</v>
      </c>
      <c r="B168" s="65"/>
      <c r="C168" s="53">
        <v>1</v>
      </c>
      <c r="D168" s="58">
        <f>(29.73+2.75*1.1+2.15*0.75+0.75*(2.75+2.15+3.35))*(10.764)</f>
        <v>436.53402</v>
      </c>
      <c r="E168" s="54">
        <v>0</v>
      </c>
      <c r="F168" s="54">
        <f>D168*(($F$150)+1)+(IF(E168&lt;101,E168,IF(E168&lt;201,E168/2,IF(E168&lt;=301,E168/3,E168/4))))</f>
        <v>676.62773100000004</v>
      </c>
      <c r="G168" s="85"/>
      <c r="H168" s="86"/>
      <c r="I168" s="36"/>
      <c r="L168" s="63"/>
      <c r="M168" s="63"/>
      <c r="N168" s="36"/>
    </row>
    <row r="169" spans="1:14" s="55" customFormat="1" ht="15.75" customHeight="1" x14ac:dyDescent="0.25">
      <c r="A169" s="64">
        <f t="shared" si="14"/>
        <v>5</v>
      </c>
      <c r="B169" s="65"/>
      <c r="C169" s="53">
        <v>1</v>
      </c>
      <c r="D169" s="58">
        <f>(29.73+2.75*1.1+2.15*0.75+0.75*(2.75+2.15+3.35))*(10.764)</f>
        <v>436.53402</v>
      </c>
      <c r="E169" s="54">
        <v>0</v>
      </c>
      <c r="F169" s="54">
        <f>D169*(($F$150)+1)+(IF(E169&lt;101,E169,IF(E169&lt;201,E169/2,IF(E169&lt;=301,E169/3,E169/4))))</f>
        <v>676.62773100000004</v>
      </c>
      <c r="G169" s="87"/>
      <c r="H169" s="88"/>
      <c r="I169" s="36"/>
      <c r="L169" s="63"/>
      <c r="M169" s="63"/>
      <c r="N169" s="36"/>
    </row>
    <row r="170" spans="1:14" s="55" customFormat="1" x14ac:dyDescent="0.25">
      <c r="A170" s="80" t="s">
        <v>212</v>
      </c>
      <c r="B170" s="81"/>
      <c r="C170" s="81"/>
      <c r="D170" s="81"/>
      <c r="E170" s="81"/>
      <c r="F170" s="81"/>
      <c r="G170" s="81"/>
      <c r="H170" s="82"/>
      <c r="J170" s="57"/>
    </row>
    <row r="171" spans="1:14" s="55" customFormat="1" ht="15.75" customHeight="1" x14ac:dyDescent="0.25">
      <c r="A171" s="64">
        <v>1</v>
      </c>
      <c r="B171" s="65"/>
      <c r="C171" s="70" t="s">
        <v>214</v>
      </c>
      <c r="D171" s="71"/>
      <c r="E171" s="71"/>
      <c r="F171" s="72"/>
      <c r="G171" s="83" t="str">
        <f>A170</f>
        <v>13th Floor For Part Refuge Area &amp; Recreational Area</v>
      </c>
      <c r="H171" s="84"/>
      <c r="I171" s="36"/>
      <c r="L171" s="63"/>
      <c r="M171" s="63"/>
      <c r="N171" s="36"/>
    </row>
    <row r="172" spans="1:14" s="55" customFormat="1" ht="15.75" customHeight="1" x14ac:dyDescent="0.25">
      <c r="A172" s="64">
        <f t="shared" ref="A172:A175" si="15">A171+1</f>
        <v>2</v>
      </c>
      <c r="B172" s="65"/>
      <c r="C172" s="76"/>
      <c r="D172" s="77"/>
      <c r="E172" s="77"/>
      <c r="F172" s="78"/>
      <c r="G172" s="85"/>
      <c r="H172" s="86"/>
      <c r="I172" s="36"/>
      <c r="L172" s="63"/>
      <c r="M172" s="63"/>
      <c r="N172" s="36"/>
    </row>
    <row r="173" spans="1:14" s="55" customFormat="1" ht="15.75" customHeight="1" x14ac:dyDescent="0.25">
      <c r="A173" s="64">
        <f t="shared" si="15"/>
        <v>3</v>
      </c>
      <c r="B173" s="65"/>
      <c r="C173" s="66" t="s">
        <v>211</v>
      </c>
      <c r="D173" s="67"/>
      <c r="E173" s="67"/>
      <c r="F173" s="68"/>
      <c r="G173" s="85"/>
      <c r="H173" s="86"/>
      <c r="I173" s="36"/>
      <c r="L173" s="63"/>
      <c r="M173" s="63"/>
      <c r="N173" s="36"/>
    </row>
    <row r="174" spans="1:14" s="55" customFormat="1" ht="15.75" customHeight="1" x14ac:dyDescent="0.25">
      <c r="A174" s="64">
        <f t="shared" si="15"/>
        <v>4</v>
      </c>
      <c r="B174" s="65"/>
      <c r="C174" s="70" t="s">
        <v>214</v>
      </c>
      <c r="D174" s="71"/>
      <c r="E174" s="71"/>
      <c r="F174" s="72"/>
      <c r="G174" s="85"/>
      <c r="H174" s="86"/>
      <c r="I174" s="36"/>
      <c r="L174" s="63"/>
      <c r="M174" s="63"/>
      <c r="N174" s="36"/>
    </row>
    <row r="175" spans="1:14" s="55" customFormat="1" ht="15.75" customHeight="1" x14ac:dyDescent="0.25">
      <c r="A175" s="64">
        <f t="shared" si="15"/>
        <v>5</v>
      </c>
      <c r="B175" s="65"/>
      <c r="C175" s="76"/>
      <c r="D175" s="77"/>
      <c r="E175" s="77"/>
      <c r="F175" s="78"/>
      <c r="G175" s="87"/>
      <c r="H175" s="88"/>
      <c r="I175" s="36"/>
      <c r="L175" s="63"/>
      <c r="M175" s="63"/>
      <c r="N175" s="36"/>
    </row>
    <row r="176" spans="1:14" s="55" customFormat="1" x14ac:dyDescent="0.25">
      <c r="A176" s="80" t="s">
        <v>213</v>
      </c>
      <c r="B176" s="81"/>
      <c r="C176" s="81"/>
      <c r="D176" s="81"/>
      <c r="E176" s="81"/>
      <c r="F176" s="81"/>
      <c r="G176" s="81"/>
      <c r="H176" s="82"/>
    </row>
    <row r="177" spans="1:14" s="55" customFormat="1" x14ac:dyDescent="0.25">
      <c r="A177" s="80" t="s">
        <v>209</v>
      </c>
      <c r="B177" s="81"/>
      <c r="C177" s="81"/>
      <c r="D177" s="81"/>
      <c r="E177" s="81"/>
      <c r="F177" s="81"/>
      <c r="G177" s="81"/>
      <c r="H177" s="82"/>
    </row>
    <row r="178" spans="1:14" s="55" customFormat="1" x14ac:dyDescent="0.25">
      <c r="A178" s="64">
        <v>1</v>
      </c>
      <c r="B178" s="65"/>
      <c r="C178" s="53">
        <v>1</v>
      </c>
      <c r="D178" s="58">
        <f>(29.73+2.75*1.1+2.15*0.75+0.75*(2.75+2.15+2.75))*(10.764)</f>
        <v>431.69022000000001</v>
      </c>
      <c r="E178" s="54">
        <v>0</v>
      </c>
      <c r="F178" s="54">
        <f t="shared" ref="F178:F185" si="16">D178*(($F$150)+1)+(IF(E178&lt;101,E178,IF(E178&lt;201,E178/2,IF(E178&lt;=301,E178/3,E178/4))))</f>
        <v>669.11984100000006</v>
      </c>
      <c r="G178" s="83" t="str">
        <f>A177</f>
        <v>1st Floor For Residential</v>
      </c>
      <c r="H178" s="84"/>
      <c r="I178" s="36"/>
      <c r="L178" s="63"/>
      <c r="M178" s="63"/>
      <c r="N178" s="36"/>
    </row>
    <row r="179" spans="1:14" s="55" customFormat="1" x14ac:dyDescent="0.25">
      <c r="A179" s="64">
        <f t="shared" ref="A179:A185" si="17">A178+1</f>
        <v>2</v>
      </c>
      <c r="B179" s="65"/>
      <c r="C179" s="53">
        <v>1</v>
      </c>
      <c r="D179" s="58">
        <f>(29.73+2.75*1.1+2.15*0.75+0.75*(2.75+2.15+2.75))*(10.764)</f>
        <v>431.69022000000001</v>
      </c>
      <c r="E179" s="54">
        <v>0</v>
      </c>
      <c r="F179" s="54">
        <f t="shared" si="16"/>
        <v>669.11984100000006</v>
      </c>
      <c r="G179" s="85"/>
      <c r="H179" s="86"/>
      <c r="I179" s="36"/>
      <c r="L179" s="63"/>
      <c r="M179" s="63"/>
      <c r="N179" s="36"/>
    </row>
    <row r="180" spans="1:14" s="55" customFormat="1" x14ac:dyDescent="0.25">
      <c r="A180" s="64">
        <f t="shared" si="17"/>
        <v>3</v>
      </c>
      <c r="B180" s="65"/>
      <c r="C180" s="53">
        <v>1</v>
      </c>
      <c r="D180" s="58">
        <f>(29.73+2.75*1.1+2.15*0.75+0.75*(2.75+2.15+2.75))*(10.764)</f>
        <v>431.69022000000001</v>
      </c>
      <c r="E180" s="54">
        <v>0</v>
      </c>
      <c r="F180" s="54">
        <f t="shared" si="16"/>
        <v>669.11984100000006</v>
      </c>
      <c r="G180" s="85"/>
      <c r="H180" s="86"/>
      <c r="I180" s="36"/>
      <c r="L180" s="63"/>
      <c r="M180" s="63"/>
      <c r="N180" s="36"/>
    </row>
    <row r="181" spans="1:14" s="55" customFormat="1" x14ac:dyDescent="0.25">
      <c r="A181" s="64">
        <f t="shared" si="17"/>
        <v>4</v>
      </c>
      <c r="B181" s="65"/>
      <c r="C181" s="53">
        <v>1</v>
      </c>
      <c r="D181" s="58">
        <f>(29.73+2.75*1.1+2.15*0.75+0.75*(2.75+2.15+2.75))*(10.764)</f>
        <v>431.69022000000001</v>
      </c>
      <c r="E181" s="54">
        <v>0</v>
      </c>
      <c r="F181" s="54">
        <f t="shared" si="16"/>
        <v>669.11984100000006</v>
      </c>
      <c r="G181" s="85"/>
      <c r="H181" s="86"/>
      <c r="I181" s="36"/>
      <c r="L181" s="63"/>
      <c r="M181" s="63"/>
      <c r="N181" s="36"/>
    </row>
    <row r="182" spans="1:14" s="55" customFormat="1" x14ac:dyDescent="0.25">
      <c r="A182" s="64">
        <f t="shared" si="17"/>
        <v>5</v>
      </c>
      <c r="B182" s="65"/>
      <c r="C182" s="53">
        <v>1</v>
      </c>
      <c r="D182" s="58">
        <f>(29.73+2.75*1.1+2.15*0.75)*(10.764)</f>
        <v>369.93176999999997</v>
      </c>
      <c r="E182" s="58">
        <f>(2.9*1.94+2.45*1.332+2.75*2.664)*(10.764)</f>
        <v>174.54256560000002</v>
      </c>
      <c r="F182" s="54">
        <f t="shared" si="16"/>
        <v>660.66552630000001</v>
      </c>
      <c r="G182" s="85"/>
      <c r="H182" s="86"/>
      <c r="I182" s="36"/>
      <c r="L182" s="63"/>
      <c r="M182" s="63"/>
      <c r="N182" s="36"/>
    </row>
    <row r="183" spans="1:14" s="55" customFormat="1" x14ac:dyDescent="0.25">
      <c r="A183" s="64">
        <f t="shared" si="17"/>
        <v>6</v>
      </c>
      <c r="B183" s="65"/>
      <c r="C183" s="53">
        <v>1</v>
      </c>
      <c r="D183" s="58">
        <f>(29.89+2.75*0.95+2.15*0.95)*(10.764)</f>
        <v>371.84237999999993</v>
      </c>
      <c r="E183" s="58">
        <f>(2.9*1.94+2.45*1.332+2.75*2.664)*(10.764)</f>
        <v>174.54256560000002</v>
      </c>
      <c r="F183" s="54">
        <f t="shared" si="16"/>
        <v>663.62697179999986</v>
      </c>
      <c r="G183" s="85"/>
      <c r="H183" s="86"/>
      <c r="I183" s="36"/>
      <c r="L183" s="63"/>
      <c r="M183" s="63"/>
      <c r="N183" s="36"/>
    </row>
    <row r="184" spans="1:14" s="55" customFormat="1" x14ac:dyDescent="0.25">
      <c r="A184" s="64">
        <f t="shared" si="17"/>
        <v>7</v>
      </c>
      <c r="B184" s="65"/>
      <c r="C184" s="53">
        <v>1</v>
      </c>
      <c r="D184" s="58">
        <f>(29.89+2.75*0.95+2.15*0.95)*(10.764)</f>
        <v>371.84237999999993</v>
      </c>
      <c r="E184" s="58">
        <f>(2.9*1.94+2.45*1.332+2.75*2.664)*(10.764)</f>
        <v>174.54256560000002</v>
      </c>
      <c r="F184" s="54">
        <f t="shared" si="16"/>
        <v>663.62697179999986</v>
      </c>
      <c r="G184" s="85"/>
      <c r="H184" s="86"/>
      <c r="I184" s="36"/>
      <c r="L184" s="63"/>
      <c r="M184" s="63"/>
      <c r="N184" s="36"/>
    </row>
    <row r="185" spans="1:14" s="55" customFormat="1" x14ac:dyDescent="0.25">
      <c r="A185" s="64">
        <f t="shared" si="17"/>
        <v>8</v>
      </c>
      <c r="B185" s="65"/>
      <c r="C185" s="53">
        <v>1</v>
      </c>
      <c r="D185" s="58">
        <f>(29.73+2.75*1.1+2.15*0.75)*(10.764)</f>
        <v>369.93176999999997</v>
      </c>
      <c r="E185" s="58">
        <f>(2.9*1.94+2.45*1.332+2.75*2.664)*(10.764)</f>
        <v>174.54256560000002</v>
      </c>
      <c r="F185" s="54">
        <f t="shared" si="16"/>
        <v>660.66552630000001</v>
      </c>
      <c r="G185" s="87"/>
      <c r="H185" s="88"/>
      <c r="I185" s="36"/>
      <c r="L185" s="63"/>
      <c r="M185" s="63"/>
      <c r="N185" s="36"/>
    </row>
    <row r="186" spans="1:14" s="55" customFormat="1" ht="15.75" customHeight="1" x14ac:dyDescent="0.25">
      <c r="A186" s="80" t="s">
        <v>216</v>
      </c>
      <c r="B186" s="81"/>
      <c r="C186" s="81"/>
      <c r="D186" s="81"/>
      <c r="E186" s="81"/>
      <c r="F186" s="81"/>
      <c r="G186" s="81"/>
      <c r="H186" s="82"/>
    </row>
    <row r="187" spans="1:14" s="55" customFormat="1" x14ac:dyDescent="0.25">
      <c r="A187" s="64">
        <v>1</v>
      </c>
      <c r="B187" s="65"/>
      <c r="C187" s="53">
        <v>1</v>
      </c>
      <c r="D187" s="58">
        <f>(29.73+2.75*1.1+2.15*0.75+0.75*(2.75+2.15+2.75))*(10.764)</f>
        <v>431.69022000000001</v>
      </c>
      <c r="E187" s="54">
        <v>0</v>
      </c>
      <c r="F187" s="54">
        <f t="shared" ref="F187:F194" si="18">D187*(($F$150)+1)+(IF(E187&lt;101,E187,IF(E187&lt;201,E187/2,IF(E187&lt;=301,E187/3,E187/4))))</f>
        <v>669.11984100000006</v>
      </c>
      <c r="G187" s="83" t="str">
        <f>A186</f>
        <v>2nd to 7th, 9th to 12th, 14th to 17th, 19th to 22nd &amp; 24th to 26th Floor</v>
      </c>
      <c r="H187" s="84"/>
      <c r="I187" s="36"/>
      <c r="L187" s="63"/>
      <c r="M187" s="63"/>
      <c r="N187" s="36"/>
    </row>
    <row r="188" spans="1:14" s="55" customFormat="1" x14ac:dyDescent="0.25">
      <c r="A188" s="64">
        <f t="shared" ref="A188:A194" si="19">A187+1</f>
        <v>2</v>
      </c>
      <c r="B188" s="65"/>
      <c r="C188" s="53">
        <v>1</v>
      </c>
      <c r="D188" s="58">
        <f>(29.73+2.75*1.1+2.15*0.75+0.75*(2.75+2.15+2.75))*(10.764)</f>
        <v>431.69022000000001</v>
      </c>
      <c r="E188" s="54">
        <v>0</v>
      </c>
      <c r="F188" s="54">
        <f t="shared" si="18"/>
        <v>669.11984100000006</v>
      </c>
      <c r="G188" s="85"/>
      <c r="H188" s="86"/>
      <c r="I188" s="36"/>
      <c r="L188" s="63"/>
      <c r="M188" s="63"/>
      <c r="N188" s="36"/>
    </row>
    <row r="189" spans="1:14" s="55" customFormat="1" x14ac:dyDescent="0.25">
      <c r="A189" s="64">
        <f t="shared" si="19"/>
        <v>3</v>
      </c>
      <c r="B189" s="65"/>
      <c r="C189" s="53">
        <v>1</v>
      </c>
      <c r="D189" s="58">
        <f>(29.73+2.75*1.1+2.15*0.75+0.75*(2.75+2.15+2.75))*(10.764)</f>
        <v>431.69022000000001</v>
      </c>
      <c r="E189" s="54">
        <v>0</v>
      </c>
      <c r="F189" s="54">
        <f t="shared" si="18"/>
        <v>669.11984100000006</v>
      </c>
      <c r="G189" s="85"/>
      <c r="H189" s="86"/>
      <c r="I189" s="36"/>
      <c r="L189" s="63"/>
      <c r="M189" s="63"/>
      <c r="N189" s="36"/>
    </row>
    <row r="190" spans="1:14" s="55" customFormat="1" x14ac:dyDescent="0.25">
      <c r="A190" s="64">
        <f t="shared" si="19"/>
        <v>4</v>
      </c>
      <c r="B190" s="65"/>
      <c r="C190" s="53">
        <v>1</v>
      </c>
      <c r="D190" s="58">
        <f>(29.73+2.75*1.1+2.15*0.75+0.75*(2.75+2.15+2.75))*(10.764)</f>
        <v>431.69022000000001</v>
      </c>
      <c r="E190" s="54">
        <v>0</v>
      </c>
      <c r="F190" s="54">
        <f t="shared" si="18"/>
        <v>669.11984100000006</v>
      </c>
      <c r="G190" s="85"/>
      <c r="H190" s="86"/>
      <c r="I190" s="36"/>
      <c r="L190" s="63"/>
      <c r="M190" s="63"/>
      <c r="N190" s="36"/>
    </row>
    <row r="191" spans="1:14" s="55" customFormat="1" x14ac:dyDescent="0.25">
      <c r="A191" s="64">
        <f t="shared" si="19"/>
        <v>5</v>
      </c>
      <c r="B191" s="65"/>
      <c r="C191" s="53">
        <v>1</v>
      </c>
      <c r="D191" s="58">
        <f>(29.73+2.75*1.1+2.15*0.75+0.75*(2.75+2.15+2.75))*(10.764)</f>
        <v>431.69022000000001</v>
      </c>
      <c r="E191" s="54">
        <v>0</v>
      </c>
      <c r="F191" s="54">
        <f t="shared" si="18"/>
        <v>669.11984100000006</v>
      </c>
      <c r="G191" s="85"/>
      <c r="H191" s="86"/>
      <c r="I191" s="36"/>
      <c r="L191" s="63"/>
      <c r="M191" s="63"/>
      <c r="N191" s="36"/>
    </row>
    <row r="192" spans="1:14" s="55" customFormat="1" x14ac:dyDescent="0.25">
      <c r="A192" s="64">
        <f t="shared" si="19"/>
        <v>6</v>
      </c>
      <c r="B192" s="65"/>
      <c r="C192" s="53">
        <v>1</v>
      </c>
      <c r="D192" s="58">
        <f>(29.89+2.75*0.95+2.15*0.95+0.75*(2.75+2.15+2.75))*(10.764)</f>
        <v>433.60082999999997</v>
      </c>
      <c r="E192" s="54">
        <v>0</v>
      </c>
      <c r="F192" s="54">
        <f t="shared" si="18"/>
        <v>672.08128650000003</v>
      </c>
      <c r="G192" s="85"/>
      <c r="H192" s="86"/>
      <c r="I192" s="36"/>
      <c r="L192" s="63"/>
      <c r="M192" s="63"/>
      <c r="N192" s="36"/>
    </row>
    <row r="193" spans="1:14" s="55" customFormat="1" x14ac:dyDescent="0.25">
      <c r="A193" s="64">
        <f t="shared" si="19"/>
        <v>7</v>
      </c>
      <c r="B193" s="65"/>
      <c r="C193" s="53">
        <v>1</v>
      </c>
      <c r="D193" s="58">
        <f>(29.89+2.75*0.95+2.15*0.95+0.75*(2.75+2.15+2.75))*(10.764)</f>
        <v>433.60082999999997</v>
      </c>
      <c r="E193" s="54">
        <v>0</v>
      </c>
      <c r="F193" s="54">
        <f t="shared" si="18"/>
        <v>672.08128650000003</v>
      </c>
      <c r="G193" s="85"/>
      <c r="H193" s="86"/>
      <c r="I193" s="36"/>
      <c r="J193" s="55">
        <f>5600000/F193</f>
        <v>8332.3254381373099</v>
      </c>
      <c r="L193" s="63"/>
      <c r="M193" s="63"/>
      <c r="N193" s="36"/>
    </row>
    <row r="194" spans="1:14" s="55" customFormat="1" x14ac:dyDescent="0.25">
      <c r="A194" s="64">
        <f t="shared" si="19"/>
        <v>8</v>
      </c>
      <c r="B194" s="65"/>
      <c r="C194" s="53">
        <v>1</v>
      </c>
      <c r="D194" s="58">
        <f>(29.73+2.75*1.1+2.15*0.75+0.75*(2.75+2.15+2.75))*(10.764)</f>
        <v>431.69022000000001</v>
      </c>
      <c r="E194" s="54">
        <v>0</v>
      </c>
      <c r="F194" s="54">
        <f t="shared" si="18"/>
        <v>669.11984100000006</v>
      </c>
      <c r="G194" s="87"/>
      <c r="H194" s="88"/>
      <c r="I194" s="36"/>
      <c r="L194" s="63"/>
      <c r="M194" s="63"/>
      <c r="N194" s="36"/>
    </row>
    <row r="195" spans="1:14" s="55" customFormat="1" ht="15.75" customHeight="1" x14ac:dyDescent="0.25">
      <c r="A195" s="91" t="s">
        <v>210</v>
      </c>
      <c r="B195" s="91"/>
      <c r="C195" s="91"/>
      <c r="D195" s="91"/>
      <c r="E195" s="91"/>
      <c r="F195" s="91"/>
      <c r="G195" s="91"/>
      <c r="H195" s="91"/>
    </row>
    <row r="196" spans="1:14" s="55" customFormat="1" x14ac:dyDescent="0.25">
      <c r="A196" s="69">
        <v>1</v>
      </c>
      <c r="B196" s="69"/>
      <c r="C196" s="53">
        <v>1</v>
      </c>
      <c r="D196" s="58">
        <f>(29.73+2.75*1.1+2.15*0.75+0.75*(2.75+2.15+2.75))*(10.764)</f>
        <v>431.69022000000001</v>
      </c>
      <c r="E196" s="59">
        <v>0</v>
      </c>
      <c r="F196" s="59">
        <f t="shared" ref="F196:F202" si="20">D196*(($F$150)+1)+(IF(E196&lt;101,E196,IF(E196&lt;201,E196/2,IF(E196&lt;=301,E196/3,E196/4))))</f>
        <v>669.11984100000006</v>
      </c>
      <c r="G196" s="69" t="str">
        <f>A195</f>
        <v>8th, 18th &amp; 23rd Floor (Part Refuge Area)</v>
      </c>
      <c r="H196" s="69"/>
      <c r="I196" s="36"/>
      <c r="L196" s="63"/>
      <c r="M196" s="63"/>
      <c r="N196" s="36"/>
    </row>
    <row r="197" spans="1:14" s="55" customFormat="1" x14ac:dyDescent="0.25">
      <c r="A197" s="69">
        <f t="shared" ref="A197:A203" si="21">A196+1</f>
        <v>2</v>
      </c>
      <c r="B197" s="69"/>
      <c r="C197" s="53">
        <v>1</v>
      </c>
      <c r="D197" s="58">
        <f>(29.73+2.75*1.1+2.15*0.75+0.75*(2.75+2.15+2.75))*(10.764)</f>
        <v>431.69022000000001</v>
      </c>
      <c r="E197" s="59">
        <v>0</v>
      </c>
      <c r="F197" s="59">
        <f t="shared" si="20"/>
        <v>669.11984100000006</v>
      </c>
      <c r="G197" s="69"/>
      <c r="H197" s="69"/>
      <c r="I197" s="36"/>
      <c r="L197" s="63"/>
      <c r="M197" s="63"/>
      <c r="N197" s="36"/>
    </row>
    <row r="198" spans="1:14" s="55" customFormat="1" x14ac:dyDescent="0.25">
      <c r="A198" s="69">
        <f t="shared" si="21"/>
        <v>3</v>
      </c>
      <c r="B198" s="69"/>
      <c r="C198" s="53">
        <v>1</v>
      </c>
      <c r="D198" s="58">
        <f>(29.73+2.75*1.1+2.15*0.75+0.75*(2.75+2.15+2.75))*(10.764)</f>
        <v>431.69022000000001</v>
      </c>
      <c r="E198" s="59">
        <v>0</v>
      </c>
      <c r="F198" s="59">
        <f t="shared" si="20"/>
        <v>669.11984100000006</v>
      </c>
      <c r="G198" s="69"/>
      <c r="H198" s="69"/>
      <c r="I198" s="36"/>
      <c r="L198" s="63"/>
      <c r="M198" s="63"/>
      <c r="N198" s="36"/>
    </row>
    <row r="199" spans="1:14" s="55" customFormat="1" x14ac:dyDescent="0.25">
      <c r="A199" s="69">
        <f t="shared" si="21"/>
        <v>4</v>
      </c>
      <c r="B199" s="69"/>
      <c r="C199" s="53">
        <v>1</v>
      </c>
      <c r="D199" s="58">
        <f>(29.73+2.75*1.1+2.15*0.75+0.75*(2.75+2.15+2.75))*(10.764)</f>
        <v>431.69022000000001</v>
      </c>
      <c r="E199" s="59">
        <v>0</v>
      </c>
      <c r="F199" s="59">
        <f t="shared" si="20"/>
        <v>669.11984100000006</v>
      </c>
      <c r="G199" s="69"/>
      <c r="H199" s="69"/>
      <c r="I199" s="36"/>
      <c r="L199" s="63"/>
      <c r="M199" s="63"/>
      <c r="N199" s="36"/>
    </row>
    <row r="200" spans="1:14" s="55" customFormat="1" x14ac:dyDescent="0.25">
      <c r="A200" s="69">
        <f t="shared" si="21"/>
        <v>5</v>
      </c>
      <c r="B200" s="69"/>
      <c r="C200" s="53">
        <v>1</v>
      </c>
      <c r="D200" s="58">
        <f>(29.73+2.75*1.1+2.15*0.75+0.75*(2.75+2.15+2.75))*(10.764)</f>
        <v>431.69022000000001</v>
      </c>
      <c r="E200" s="59">
        <v>0</v>
      </c>
      <c r="F200" s="59">
        <f t="shared" si="20"/>
        <v>669.11984100000006</v>
      </c>
      <c r="G200" s="69"/>
      <c r="H200" s="69"/>
      <c r="I200" s="36"/>
      <c r="L200" s="63"/>
      <c r="M200" s="63"/>
      <c r="N200" s="36"/>
    </row>
    <row r="201" spans="1:14" s="55" customFormat="1" x14ac:dyDescent="0.25">
      <c r="A201" s="69">
        <f t="shared" si="21"/>
        <v>6</v>
      </c>
      <c r="B201" s="69"/>
      <c r="C201" s="53">
        <v>1</v>
      </c>
      <c r="D201" s="58">
        <f>(29.89+2.75*0.95+2.15*0.95+0.75*(2.75+2.15+2.75))*(10.764)</f>
        <v>433.60082999999997</v>
      </c>
      <c r="E201" s="59">
        <v>0</v>
      </c>
      <c r="F201" s="59">
        <f t="shared" si="20"/>
        <v>672.08128650000003</v>
      </c>
      <c r="G201" s="69"/>
      <c r="H201" s="69"/>
      <c r="I201" s="36"/>
      <c r="L201" s="63"/>
      <c r="M201" s="63"/>
      <c r="N201" s="36"/>
    </row>
    <row r="202" spans="1:14" s="55" customFormat="1" x14ac:dyDescent="0.25">
      <c r="A202" s="69">
        <f t="shared" si="21"/>
        <v>7</v>
      </c>
      <c r="B202" s="69"/>
      <c r="C202" s="53">
        <v>1</v>
      </c>
      <c r="D202" s="58">
        <f>(29.89+2.75*0.95+2.15*0.95+0.75*(2.75+2.15+2.75))*(10.764)</f>
        <v>433.60082999999997</v>
      </c>
      <c r="E202" s="59">
        <v>0</v>
      </c>
      <c r="F202" s="59">
        <f t="shared" si="20"/>
        <v>672.08128650000003</v>
      </c>
      <c r="G202" s="69"/>
      <c r="H202" s="69"/>
      <c r="I202" s="36"/>
      <c r="L202" s="63"/>
      <c r="M202" s="63"/>
      <c r="N202" s="36"/>
    </row>
    <row r="203" spans="1:14" s="55" customFormat="1" x14ac:dyDescent="0.25">
      <c r="A203" s="69">
        <f t="shared" si="21"/>
        <v>8</v>
      </c>
      <c r="B203" s="69"/>
      <c r="C203" s="79" t="s">
        <v>211</v>
      </c>
      <c r="D203" s="79"/>
      <c r="E203" s="79"/>
      <c r="F203" s="79"/>
      <c r="G203" s="69"/>
      <c r="H203" s="69"/>
      <c r="I203" s="36"/>
      <c r="L203" s="63"/>
      <c r="M203" s="63"/>
      <c r="N203" s="36"/>
    </row>
    <row r="204" spans="1:14" s="55" customFormat="1" ht="15.75" customHeight="1" x14ac:dyDescent="0.25">
      <c r="A204" s="80" t="s">
        <v>212</v>
      </c>
      <c r="B204" s="81"/>
      <c r="C204" s="81"/>
      <c r="D204" s="81"/>
      <c r="E204" s="81"/>
      <c r="F204" s="81"/>
      <c r="G204" s="81"/>
      <c r="H204" s="82"/>
    </row>
    <row r="205" spans="1:14" s="55" customFormat="1" x14ac:dyDescent="0.25">
      <c r="A205" s="64">
        <v>1</v>
      </c>
      <c r="B205" s="65"/>
      <c r="C205" s="70" t="s">
        <v>214</v>
      </c>
      <c r="D205" s="71"/>
      <c r="E205" s="71"/>
      <c r="F205" s="72"/>
      <c r="G205" s="83" t="str">
        <f>A204</f>
        <v>13th Floor For Part Refuge Area &amp; Recreational Area</v>
      </c>
      <c r="H205" s="84"/>
      <c r="I205" s="36"/>
      <c r="L205" s="63"/>
      <c r="M205" s="63"/>
      <c r="N205" s="36"/>
    </row>
    <row r="206" spans="1:14" s="55" customFormat="1" x14ac:dyDescent="0.25">
      <c r="A206" s="64">
        <f t="shared" ref="A206:A212" si="22">A205+1</f>
        <v>2</v>
      </c>
      <c r="B206" s="65"/>
      <c r="C206" s="73"/>
      <c r="D206" s="74"/>
      <c r="E206" s="74"/>
      <c r="F206" s="75"/>
      <c r="G206" s="85"/>
      <c r="H206" s="86"/>
      <c r="I206" s="36"/>
      <c r="L206" s="63"/>
      <c r="M206" s="63"/>
      <c r="N206" s="36"/>
    </row>
    <row r="207" spans="1:14" s="55" customFormat="1" x14ac:dyDescent="0.25">
      <c r="A207" s="64">
        <f t="shared" si="22"/>
        <v>3</v>
      </c>
      <c r="B207" s="65"/>
      <c r="C207" s="73"/>
      <c r="D207" s="74"/>
      <c r="E207" s="74"/>
      <c r="F207" s="75"/>
      <c r="G207" s="85"/>
      <c r="H207" s="86"/>
      <c r="I207" s="36"/>
      <c r="L207" s="63"/>
      <c r="M207" s="63"/>
      <c r="N207" s="36"/>
    </row>
    <row r="208" spans="1:14" s="55" customFormat="1" x14ac:dyDescent="0.25">
      <c r="A208" s="64">
        <f t="shared" si="22"/>
        <v>4</v>
      </c>
      <c r="B208" s="65"/>
      <c r="C208" s="73"/>
      <c r="D208" s="74"/>
      <c r="E208" s="74"/>
      <c r="F208" s="75"/>
      <c r="G208" s="85"/>
      <c r="H208" s="86"/>
      <c r="I208" s="36"/>
      <c r="L208" s="63"/>
      <c r="M208" s="63"/>
      <c r="N208" s="36"/>
    </row>
    <row r="209" spans="1:14" s="55" customFormat="1" x14ac:dyDescent="0.25">
      <c r="A209" s="64">
        <f t="shared" si="22"/>
        <v>5</v>
      </c>
      <c r="B209" s="65"/>
      <c r="C209" s="73"/>
      <c r="D209" s="74"/>
      <c r="E209" s="74"/>
      <c r="F209" s="75"/>
      <c r="G209" s="85"/>
      <c r="H209" s="86"/>
      <c r="I209" s="36"/>
      <c r="L209" s="63"/>
      <c r="M209" s="63"/>
      <c r="N209" s="36"/>
    </row>
    <row r="210" spans="1:14" s="55" customFormat="1" x14ac:dyDescent="0.25">
      <c r="A210" s="64">
        <f t="shared" si="22"/>
        <v>6</v>
      </c>
      <c r="B210" s="65"/>
      <c r="C210" s="73"/>
      <c r="D210" s="74"/>
      <c r="E210" s="74"/>
      <c r="F210" s="75"/>
      <c r="G210" s="85"/>
      <c r="H210" s="86"/>
      <c r="I210" s="36"/>
      <c r="L210" s="63"/>
      <c r="M210" s="63"/>
      <c r="N210" s="36"/>
    </row>
    <row r="211" spans="1:14" s="55" customFormat="1" x14ac:dyDescent="0.25">
      <c r="A211" s="64">
        <f t="shared" si="22"/>
        <v>7</v>
      </c>
      <c r="B211" s="65"/>
      <c r="C211" s="76"/>
      <c r="D211" s="77"/>
      <c r="E211" s="77"/>
      <c r="F211" s="78"/>
      <c r="G211" s="85"/>
      <c r="H211" s="86"/>
      <c r="I211" s="36"/>
      <c r="L211" s="63"/>
      <c r="M211" s="63"/>
      <c r="N211" s="36"/>
    </row>
    <row r="212" spans="1:14" s="55" customFormat="1" x14ac:dyDescent="0.25">
      <c r="A212" s="64">
        <f t="shared" si="22"/>
        <v>8</v>
      </c>
      <c r="B212" s="65"/>
      <c r="C212" s="66" t="s">
        <v>211</v>
      </c>
      <c r="D212" s="67"/>
      <c r="E212" s="67"/>
      <c r="F212" s="68"/>
      <c r="G212" s="87"/>
      <c r="H212" s="88"/>
      <c r="I212" s="36"/>
      <c r="L212" s="63"/>
      <c r="M212" s="63"/>
      <c r="N212" s="36"/>
    </row>
    <row r="213" spans="1:14" s="37" customFormat="1" hidden="1" x14ac:dyDescent="0.25">
      <c r="A213" s="80" t="s">
        <v>123</v>
      </c>
      <c r="B213" s="81"/>
      <c r="C213" s="81"/>
      <c r="D213" s="81"/>
      <c r="E213" s="81"/>
      <c r="F213" s="81"/>
      <c r="G213" s="81"/>
      <c r="H213" s="82"/>
    </row>
    <row r="214" spans="1:14" s="37" customFormat="1" hidden="1" x14ac:dyDescent="0.25">
      <c r="A214" s="64">
        <v>1</v>
      </c>
      <c r="B214" s="65"/>
      <c r="C214" s="53"/>
      <c r="D214" s="42"/>
      <c r="E214" s="42">
        <v>0</v>
      </c>
      <c r="F214" s="42">
        <f>D214*(($F$150)+1)+(IF(E214&lt;101,E214,IF(E214&lt;201,E214/2,IF(E214&lt;=301,E214/3,E214/4))))</f>
        <v>0</v>
      </c>
      <c r="G214" s="64" t="str">
        <f>A213</f>
        <v>Ground Floor</v>
      </c>
      <c r="H214" s="65"/>
      <c r="I214" s="36"/>
      <c r="L214" s="63"/>
      <c r="M214" s="63"/>
      <c r="N214" s="36"/>
    </row>
    <row r="215" spans="1:14" s="37" customFormat="1" hidden="1" x14ac:dyDescent="0.25">
      <c r="A215" s="64">
        <f t="shared" ref="A215:A217" si="23">A214+1</f>
        <v>2</v>
      </c>
      <c r="B215" s="65"/>
      <c r="C215" s="53"/>
      <c r="D215" s="42"/>
      <c r="E215" s="42">
        <v>0</v>
      </c>
      <c r="F215" s="42">
        <f>D215*(($F$150)+1)+(IF(E215&lt;101,E215,IF(E215&lt;201,E215/2,IF(E215&lt;=301,E215/3,E215/4))))</f>
        <v>0</v>
      </c>
      <c r="G215" s="64" t="str">
        <f t="shared" ref="G215:G217" si="24">G214</f>
        <v>Ground Floor</v>
      </c>
      <c r="H215" s="65"/>
      <c r="I215" s="36"/>
      <c r="L215" s="63"/>
      <c r="M215" s="63"/>
      <c r="N215" s="36"/>
    </row>
    <row r="216" spans="1:14" s="37" customFormat="1" hidden="1" x14ac:dyDescent="0.25">
      <c r="A216" s="64">
        <f t="shared" si="23"/>
        <v>3</v>
      </c>
      <c r="B216" s="65"/>
      <c r="C216" s="53"/>
      <c r="D216" s="42"/>
      <c r="E216" s="42">
        <v>0</v>
      </c>
      <c r="F216" s="42">
        <f>D216*(($F$150)+1)+(IF(E216&lt;101,E216,IF(E216&lt;201,E216/2,IF(E216&lt;=301,E216/3,E216/4))))</f>
        <v>0</v>
      </c>
      <c r="G216" s="64" t="str">
        <f t="shared" si="24"/>
        <v>Ground Floor</v>
      </c>
      <c r="H216" s="65"/>
      <c r="I216" s="36"/>
      <c r="L216" s="63"/>
      <c r="M216" s="63"/>
      <c r="N216" s="36"/>
    </row>
    <row r="217" spans="1:14" s="37" customFormat="1" hidden="1" x14ac:dyDescent="0.25">
      <c r="A217" s="64">
        <f t="shared" si="23"/>
        <v>4</v>
      </c>
      <c r="B217" s="65"/>
      <c r="C217" s="53"/>
      <c r="D217" s="42"/>
      <c r="E217" s="42">
        <v>0</v>
      </c>
      <c r="F217" s="42">
        <f>D217*(($F$150)+1)+(IF(E217&lt;101,E217,IF(E217&lt;201,E217/2,IF(E217&lt;=301,E217/3,E217/4))))</f>
        <v>0</v>
      </c>
      <c r="G217" s="64" t="str">
        <f t="shared" si="24"/>
        <v>Ground Floor</v>
      </c>
      <c r="H217" s="65"/>
      <c r="I217" s="36"/>
      <c r="L217" s="63"/>
      <c r="M217" s="63"/>
      <c r="N217" s="36"/>
    </row>
    <row r="218" spans="1:14" s="37" customFormat="1" hidden="1" x14ac:dyDescent="0.25">
      <c r="A218" s="91" t="s">
        <v>124</v>
      </c>
      <c r="B218" s="91"/>
      <c r="C218" s="91"/>
      <c r="D218" s="91"/>
      <c r="E218" s="91"/>
      <c r="F218" s="91"/>
      <c r="G218" s="91"/>
      <c r="H218" s="91"/>
      <c r="I218" s="36"/>
      <c r="L218" s="63"/>
      <c r="M218" s="63"/>
    </row>
    <row r="219" spans="1:14" s="37" customFormat="1" hidden="1" x14ac:dyDescent="0.25">
      <c r="A219" s="69">
        <f>LEFT(A218,SUM(LEN(A218)-LEN(SUBSTITUTE(A218,{"0","1","2","3","4","5","6","7","8","9"},""))))*100+1</f>
        <v>201</v>
      </c>
      <c r="B219" s="69"/>
      <c r="C219" s="53"/>
      <c r="D219" s="42"/>
      <c r="E219" s="42">
        <v>0</v>
      </c>
      <c r="F219" s="42">
        <f t="shared" ref="F219:F220" si="25">D219*(($F$150)+1)+(IF(E219&lt;101,E219,IF(E219&lt;201,E219/2,IF(E219&lt;=301,E219/3,E219/4))))</f>
        <v>0</v>
      </c>
      <c r="G219" s="69" t="str">
        <f>A218</f>
        <v>2nd Floor</v>
      </c>
      <c r="H219" s="69"/>
      <c r="I219" s="36"/>
      <c r="N219" s="36"/>
    </row>
    <row r="220" spans="1:14" s="37" customFormat="1" hidden="1" x14ac:dyDescent="0.25">
      <c r="A220" s="69">
        <f>A219+1</f>
        <v>202</v>
      </c>
      <c r="B220" s="69"/>
      <c r="C220" s="53"/>
      <c r="D220" s="42"/>
      <c r="E220" s="42">
        <v>0</v>
      </c>
      <c r="F220" s="42">
        <f t="shared" si="25"/>
        <v>0</v>
      </c>
      <c r="G220" s="69" t="str">
        <f>G219</f>
        <v>2nd Floor</v>
      </c>
      <c r="H220" s="69"/>
      <c r="I220" s="36"/>
      <c r="N220" s="36"/>
    </row>
    <row r="221" spans="1:14" s="37" customFormat="1" hidden="1" x14ac:dyDescent="0.25">
      <c r="A221" s="69">
        <f>A220+1</f>
        <v>203</v>
      </c>
      <c r="B221" s="69"/>
      <c r="C221" s="53"/>
      <c r="D221" s="42"/>
      <c r="E221" s="42">
        <v>0</v>
      </c>
      <c r="F221" s="42">
        <f>D221*(($F$150)+1)+(IF(E221&lt;101,E221,IF(E221&lt;201,E221/2,IF(E221&lt;=301,E221/3,E221/4))))</f>
        <v>0</v>
      </c>
      <c r="G221" s="69" t="str">
        <f>G220</f>
        <v>2nd Floor</v>
      </c>
      <c r="H221" s="69"/>
      <c r="I221" s="36"/>
      <c r="N221" s="36"/>
    </row>
    <row r="222" spans="1:14" s="37" customFormat="1" hidden="1" x14ac:dyDescent="0.25">
      <c r="A222" s="69">
        <f>A221+1</f>
        <v>204</v>
      </c>
      <c r="B222" s="69"/>
      <c r="C222" s="53"/>
      <c r="D222" s="42"/>
      <c r="E222" s="42">
        <v>0</v>
      </c>
      <c r="F222" s="42">
        <f>D222*(($F$150)+1)+(IF(E222&lt;101,E222,IF(E222&lt;201,E222/2,IF(E222&lt;=301,E222/3,E222/4))))</f>
        <v>0</v>
      </c>
      <c r="G222" s="69" t="str">
        <f>G221</f>
        <v>2nd Floor</v>
      </c>
      <c r="H222" s="69"/>
      <c r="I222" s="36"/>
      <c r="N222" s="36"/>
    </row>
    <row r="223" spans="1:14" s="37" customFormat="1" hidden="1" x14ac:dyDescent="0.25">
      <c r="A223" s="69">
        <f>A222+1</f>
        <v>205</v>
      </c>
      <c r="B223" s="69"/>
      <c r="C223" s="53"/>
      <c r="D223" s="42"/>
      <c r="E223" s="42">
        <v>0</v>
      </c>
      <c r="F223" s="42">
        <f>D223*(($F$150)+1)+(IF(E223&lt;101,E223,IF(E223&lt;201,E223/2,IF(E223&lt;=301,E223/3,E223/4))))</f>
        <v>0</v>
      </c>
      <c r="G223" s="69" t="str">
        <f>G222</f>
        <v>2nd Floor</v>
      </c>
      <c r="H223" s="69"/>
      <c r="I223" s="36"/>
      <c r="N223" s="36"/>
    </row>
    <row r="224" spans="1:14" s="37" customFormat="1" ht="15.75" hidden="1" customHeight="1" x14ac:dyDescent="0.25">
      <c r="A224" s="80" t="s">
        <v>159</v>
      </c>
      <c r="B224" s="81"/>
      <c r="C224" s="81"/>
      <c r="D224" s="81"/>
      <c r="E224" s="81"/>
      <c r="F224" s="81"/>
      <c r="G224" s="81"/>
      <c r="H224" s="82"/>
      <c r="I224" s="36"/>
    </row>
    <row r="225" spans="1:9" s="37" customFormat="1" hidden="1" x14ac:dyDescent="0.25">
      <c r="A225" s="64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,..,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301 ,.., 1501</v>
      </c>
      <c r="B225" s="65"/>
      <c r="C225" s="53"/>
      <c r="D225" s="42"/>
      <c r="E225" s="42">
        <v>0</v>
      </c>
      <c r="F225" s="42">
        <f>D225*(($F$150)+1)+(IF(E225&lt;101,E225,IF(E225&lt;201,E225/2,IF(E225&lt;=301,E225/3,E225/4))))</f>
        <v>0</v>
      </c>
      <c r="G225" s="64" t="str">
        <f>A224</f>
        <v>3rd, 5th, 7th, 9th, 11th, 13th, 15th Floor</v>
      </c>
      <c r="H225" s="65"/>
      <c r="I225" s="36"/>
    </row>
    <row r="226" spans="1:9" s="37" customFormat="1" hidden="1" x14ac:dyDescent="0.25">
      <c r="A226" s="64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,..,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302 ,.., 1502</v>
      </c>
      <c r="B226" s="65"/>
      <c r="C226" s="53"/>
      <c r="D226" s="42"/>
      <c r="E226" s="42">
        <v>0</v>
      </c>
      <c r="F226" s="42">
        <f>D226*(($F$150)+1)+(IF(E226&lt;101,E226,IF(E226&lt;201,E226/2,IF(E226&lt;=301,E226/3,E226/4))))</f>
        <v>0</v>
      </c>
      <c r="G226" s="64" t="str">
        <f>G225</f>
        <v>3rd, 5th, 7th, 9th, 11th, 13th, 15th Floor</v>
      </c>
      <c r="H226" s="65"/>
      <c r="I226" s="36"/>
    </row>
    <row r="227" spans="1:9" s="37" customFormat="1" ht="15.75" hidden="1" customHeight="1" x14ac:dyDescent="0.25">
      <c r="A227" s="64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,..,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303 ,.., 1503</v>
      </c>
      <c r="B227" s="65"/>
      <c r="C227" s="53"/>
      <c r="D227" s="42"/>
      <c r="E227" s="42">
        <v>0</v>
      </c>
      <c r="F227" s="42">
        <f>D227*(($F$150)+1)+(IF(E227&lt;101,E227,IF(E227&lt;201,E227/2,IF(E227&lt;=301,E227/3,E227/4))))</f>
        <v>0</v>
      </c>
      <c r="G227" s="64" t="str">
        <f>G226</f>
        <v>3rd, 5th, 7th, 9th, 11th, 13th, 15th Floor</v>
      </c>
      <c r="H227" s="65"/>
      <c r="I227" s="36"/>
    </row>
    <row r="228" spans="1:9" s="37" customFormat="1" ht="15.75" hidden="1" customHeight="1" x14ac:dyDescent="0.25">
      <c r="A228" s="64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,..,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304 ,.., 1504</v>
      </c>
      <c r="B228" s="65"/>
      <c r="C228" s="53"/>
      <c r="D228" s="42"/>
      <c r="E228" s="42">
        <v>0</v>
      </c>
      <c r="F228" s="42">
        <f>D228*(($F$150)+1)+(IF(E228&lt;101,E228,IF(E228&lt;201,E228/2,IF(E228&lt;=301,E228/3,E228/4))))</f>
        <v>0</v>
      </c>
      <c r="G228" s="64" t="str">
        <f>G227</f>
        <v>3rd, 5th, 7th, 9th, 11th, 13th, 15th Floor</v>
      </c>
      <c r="H228" s="65"/>
      <c r="I228" s="36"/>
    </row>
    <row r="229" spans="1:9" s="37" customFormat="1" ht="15.75" hidden="1" customHeight="1" x14ac:dyDescent="0.25">
      <c r="A229" s="64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,..,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305 ,.., 1505</v>
      </c>
      <c r="B229" s="65"/>
      <c r="C229" s="53"/>
      <c r="D229" s="42"/>
      <c r="E229" s="42">
        <v>0</v>
      </c>
      <c r="F229" s="42">
        <f>D229*(($F$150)+1)+(IF(E229&lt;101,E229,IF(E229&lt;201,E229/2,IF(E229&lt;=301,E229/3,E229/4))))</f>
        <v>0</v>
      </c>
      <c r="G229" s="64" t="str">
        <f>G228</f>
        <v>3rd, 5th, 7th, 9th, 11th, 13th, 15th Floor</v>
      </c>
      <c r="H229" s="65"/>
      <c r="I229" s="36"/>
    </row>
    <row r="230" spans="1:9" s="37" customFormat="1" hidden="1" x14ac:dyDescent="0.25">
      <c r="A230" s="80" t="s">
        <v>153</v>
      </c>
      <c r="B230" s="81"/>
      <c r="C230" s="81"/>
      <c r="D230" s="81"/>
      <c r="E230" s="81"/>
      <c r="F230" s="81"/>
      <c r="G230" s="81"/>
      <c r="H230" s="82"/>
      <c r="I230" s="36"/>
    </row>
    <row r="231" spans="1:9" s="37" customFormat="1" hidden="1" x14ac:dyDescent="0.25">
      <c r="A231" s="64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201 to 501</v>
      </c>
      <c r="B231" s="65"/>
      <c r="C231" s="53"/>
      <c r="D231" s="42"/>
      <c r="E231" s="42">
        <v>0</v>
      </c>
      <c r="F231" s="42">
        <f>D231*(($F$150)+1)+(IF(E231&lt;101,E231,IF(E231&lt;201,E231/2,IF(E231&lt;=301,E231/3,E231/4))))</f>
        <v>0</v>
      </c>
      <c r="G231" s="64" t="str">
        <f>A230</f>
        <v>2nd to 5th Floor</v>
      </c>
      <c r="H231" s="65"/>
      <c r="I231" s="36"/>
    </row>
    <row r="232" spans="1:9" s="37" customFormat="1" hidden="1" x14ac:dyDescent="0.25">
      <c r="A232" s="64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to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202 to 502</v>
      </c>
      <c r="B232" s="65"/>
      <c r="C232" s="53"/>
      <c r="D232" s="42"/>
      <c r="E232" s="42">
        <v>0</v>
      </c>
      <c r="F232" s="42">
        <f>D232*(($F$150)+1)+(IF(E232&lt;101,E232,IF(E232&lt;201,E232/2,IF(E232&lt;=301,E232/3,E232/4))))</f>
        <v>0</v>
      </c>
      <c r="G232" s="64" t="str">
        <f>G231</f>
        <v>2nd to 5th Floor</v>
      </c>
      <c r="H232" s="65"/>
      <c r="I232" s="36"/>
    </row>
    <row r="233" spans="1:9" s="37" customFormat="1" hidden="1" x14ac:dyDescent="0.25">
      <c r="A233" s="64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to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203 to 503</v>
      </c>
      <c r="B233" s="65"/>
      <c r="C233" s="53"/>
      <c r="D233" s="42"/>
      <c r="E233" s="42">
        <v>0</v>
      </c>
      <c r="F233" s="42">
        <f>D233*(($F$150)+1)+(IF(E233&lt;101,E233,IF(E233&lt;201,E233/2,IF(E233&lt;=301,E233/3,E233/4))))</f>
        <v>0</v>
      </c>
      <c r="G233" s="64" t="str">
        <f>G232</f>
        <v>2nd to 5th Floor</v>
      </c>
      <c r="H233" s="65"/>
      <c r="I233" s="36"/>
    </row>
    <row r="234" spans="1:9" s="37" customFormat="1" hidden="1" x14ac:dyDescent="0.25">
      <c r="A234" s="64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to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204 to 504</v>
      </c>
      <c r="B234" s="65"/>
      <c r="C234" s="53"/>
      <c r="D234" s="42"/>
      <c r="E234" s="42">
        <v>0</v>
      </c>
      <c r="F234" s="42">
        <f>D234*(($F$150)+1)+(IF(E234&lt;101,E234,IF(E234&lt;201,E234/2,IF(E234&lt;=301,E234/3,E234/4))))</f>
        <v>0</v>
      </c>
      <c r="G234" s="64" t="str">
        <f>G233</f>
        <v>2nd to 5th Floor</v>
      </c>
      <c r="H234" s="65"/>
      <c r="I234" s="36"/>
    </row>
    <row r="235" spans="1:9" s="37" customFormat="1" hidden="1" x14ac:dyDescent="0.25">
      <c r="A235" s="64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10^ROW(INDIRECT("1:"&amp;LEN((LEFT(A234,SUM(LEN(A234)-LEN(SUBSTITUTE(A234,{"0","1","2"},""))))))))/10))*1+1&amp;""&amp;" to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",LEN(A234))),LEN(A234)))))))/10))*1+1</f>
        <v>205 to 505</v>
      </c>
      <c r="B235" s="65"/>
      <c r="C235" s="53"/>
      <c r="D235" s="42"/>
      <c r="E235" s="42">
        <v>0</v>
      </c>
      <c r="F235" s="42">
        <f>D235*(($F$150)+1)+(IF(E235&lt;101,E235,IF(E235&lt;201,E235/2,IF(E235&lt;=301,E235/3,E235/4))))</f>
        <v>0</v>
      </c>
      <c r="G235" s="64" t="str">
        <f>G234</f>
        <v>2nd to 5th Floor</v>
      </c>
      <c r="H235" s="65"/>
      <c r="I235" s="36"/>
    </row>
    <row r="236" spans="1:9" s="37" customFormat="1" hidden="1" x14ac:dyDescent="0.25">
      <c r="A236" s="80" t="s">
        <v>154</v>
      </c>
      <c r="B236" s="81"/>
      <c r="C236" s="81"/>
      <c r="D236" s="81"/>
      <c r="E236" s="81"/>
      <c r="F236" s="81"/>
      <c r="G236" s="81"/>
      <c r="H236" s="82"/>
      <c r="I236" s="36"/>
    </row>
    <row r="237" spans="1:9" s="37" customFormat="1" hidden="1" x14ac:dyDescent="0.25">
      <c r="A237" s="64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201 &amp; 501</v>
      </c>
      <c r="B237" s="65"/>
      <c r="C237" s="53"/>
      <c r="D237" s="42"/>
      <c r="E237" s="42">
        <v>0</v>
      </c>
      <c r="F237" s="42">
        <f>D237*(($F$150)+1)+(IF(E237&lt;101,E237,IF(E237&lt;201,E237/2,IF(E237&lt;=301,E237/3,E237/4))))</f>
        <v>0</v>
      </c>
      <c r="G237" s="64" t="str">
        <f>A236</f>
        <v>2nd &amp; 5th Floor</v>
      </c>
      <c r="H237" s="65"/>
      <c r="I237" s="36"/>
    </row>
    <row r="238" spans="1:9" s="37" customFormat="1" hidden="1" x14ac:dyDescent="0.25">
      <c r="A238" s="64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202 &amp; 502</v>
      </c>
      <c r="B238" s="65"/>
      <c r="C238" s="53"/>
      <c r="D238" s="42"/>
      <c r="E238" s="42">
        <v>0</v>
      </c>
      <c r="F238" s="42">
        <f>D238*(($F$150)+1)+(IF(E238&lt;101,E238,IF(E238&lt;201,E238/2,IF(E238&lt;=301,E238/3,E238/4))))</f>
        <v>0</v>
      </c>
      <c r="G238" s="64" t="str">
        <f t="shared" ref="G238:G241" si="26">G237</f>
        <v>2nd &amp; 5th Floor</v>
      </c>
      <c r="H238" s="65"/>
      <c r="I238" s="36"/>
    </row>
    <row r="239" spans="1:9" s="37" customFormat="1" hidden="1" x14ac:dyDescent="0.25">
      <c r="A239" s="64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&amp;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203 &amp; 503</v>
      </c>
      <c r="B239" s="65"/>
      <c r="C239" s="53"/>
      <c r="D239" s="42"/>
      <c r="E239" s="42">
        <v>0</v>
      </c>
      <c r="F239" s="42">
        <f>D239*(($F$150)+1)+(IF(E239&lt;101,E239,IF(E239&lt;201,E239/2,IF(E239&lt;=301,E239/3,E239/4))))</f>
        <v>0</v>
      </c>
      <c r="G239" s="64" t="str">
        <f t="shared" si="26"/>
        <v>2nd &amp; 5th Floor</v>
      </c>
      <c r="H239" s="65"/>
      <c r="I239" s="36"/>
    </row>
    <row r="240" spans="1:9" s="37" customFormat="1" hidden="1" x14ac:dyDescent="0.25">
      <c r="A240" s="64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&amp;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204 &amp; 504</v>
      </c>
      <c r="B240" s="65"/>
      <c r="C240" s="53"/>
      <c r="D240" s="42"/>
      <c r="E240" s="42">
        <v>0</v>
      </c>
      <c r="F240" s="42">
        <f>D240*(($F$150)+1)+(IF(E240&lt;101,E240,IF(E240&lt;201,E240/2,IF(E240&lt;=301,E240/3,E240/4))))</f>
        <v>0</v>
      </c>
      <c r="G240" s="64" t="str">
        <f t="shared" si="26"/>
        <v>2nd &amp; 5th Floor</v>
      </c>
      <c r="H240" s="65"/>
      <c r="I240" s="36"/>
    </row>
    <row r="241" spans="1:9" s="37" customFormat="1" hidden="1" x14ac:dyDescent="0.25">
      <c r="A241" s="64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10^ROW(INDIRECT("1:"&amp;LEN((LEFT(A240,SUM(LEN(A240)-LEN(SUBSTITUTE(A240,{"0","1","2"},""))))))))/10))*1+1&amp;""&amp;" &amp;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",LEN(A240))),LEN(A240)))))))/10))*1+1</f>
        <v>205 &amp; 505</v>
      </c>
      <c r="B241" s="65"/>
      <c r="C241" s="53"/>
      <c r="D241" s="42"/>
      <c r="E241" s="42">
        <v>0</v>
      </c>
      <c r="F241" s="42">
        <f>D241*(($F$150)+1)+(IF(E241&lt;101,E241,IF(E241&lt;201,E241/2,IF(E241&lt;=301,E241/3,E241/4))))</f>
        <v>0</v>
      </c>
      <c r="G241" s="64" t="str">
        <f t="shared" si="26"/>
        <v>2nd &amp; 5th Floor</v>
      </c>
      <c r="H241" s="65"/>
      <c r="I241" s="36"/>
    </row>
    <row r="242" spans="1:9" s="35" customFormat="1" x14ac:dyDescent="0.25">
      <c r="A242" s="132" t="s">
        <v>70</v>
      </c>
      <c r="B242" s="132"/>
      <c r="C242" s="132"/>
      <c r="D242" s="132"/>
      <c r="E242" s="132"/>
      <c r="F242" s="132"/>
      <c r="G242" s="132"/>
      <c r="H242" s="132"/>
    </row>
    <row r="243" spans="1:9" s="35" customFormat="1" x14ac:dyDescent="0.25">
      <c r="A243" s="47" t="s">
        <v>163</v>
      </c>
      <c r="B243" s="125" t="s">
        <v>225</v>
      </c>
      <c r="C243" s="126"/>
      <c r="D243" s="126"/>
      <c r="E243" s="126"/>
      <c r="F243" s="126"/>
      <c r="G243" s="126"/>
      <c r="H243" s="127"/>
    </row>
    <row r="244" spans="1:9" s="35" customFormat="1" x14ac:dyDescent="0.25">
      <c r="A244" s="47" t="s">
        <v>163</v>
      </c>
      <c r="B244" s="125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244" s="126"/>
      <c r="D244" s="126"/>
      <c r="E244" s="126"/>
      <c r="F244" s="126"/>
      <c r="G244" s="126"/>
      <c r="H244" s="127"/>
    </row>
    <row r="245" spans="1:9" s="35" customFormat="1" x14ac:dyDescent="0.25">
      <c r="A245" s="47" t="s">
        <v>163</v>
      </c>
      <c r="B245" s="125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5" s="126"/>
      <c r="D245" s="126"/>
      <c r="E245" s="126"/>
      <c r="F245" s="126"/>
      <c r="G245" s="126"/>
      <c r="H245" s="127"/>
    </row>
    <row r="246" spans="1:9" s="35" customFormat="1" x14ac:dyDescent="0.25">
      <c r="A246" s="47" t="s">
        <v>163</v>
      </c>
      <c r="B246" s="139" t="s">
        <v>130</v>
      </c>
      <c r="C246" s="140"/>
      <c r="D246" s="140"/>
      <c r="E246" s="140"/>
      <c r="F246" s="140"/>
      <c r="G246" s="140"/>
      <c r="H246" s="141"/>
    </row>
    <row r="247" spans="1:9" s="35" customFormat="1" x14ac:dyDescent="0.25">
      <c r="A247" s="47" t="s">
        <v>163</v>
      </c>
      <c r="B247" s="139" t="s">
        <v>217</v>
      </c>
      <c r="C247" s="140"/>
      <c r="D247" s="140"/>
      <c r="E247" s="140"/>
      <c r="F247" s="140"/>
      <c r="G247" s="140"/>
      <c r="H247" s="141"/>
    </row>
    <row r="248" spans="1:9" s="35" customFormat="1" x14ac:dyDescent="0.25">
      <c r="A248" s="47" t="s">
        <v>163</v>
      </c>
      <c r="B248" s="139" t="s">
        <v>162</v>
      </c>
      <c r="C248" s="140"/>
      <c r="D248" s="140"/>
      <c r="E248" s="140"/>
      <c r="F248" s="140"/>
      <c r="G248" s="140"/>
      <c r="H248" s="141"/>
    </row>
    <row r="249" spans="1:9" s="35" customFormat="1" x14ac:dyDescent="0.25">
      <c r="A249" s="47" t="s">
        <v>163</v>
      </c>
      <c r="B249" s="139" t="s">
        <v>131</v>
      </c>
      <c r="C249" s="140"/>
      <c r="D249" s="140"/>
      <c r="E249" s="140"/>
      <c r="F249" s="140"/>
      <c r="G249" s="140"/>
      <c r="H249" s="141"/>
    </row>
    <row r="250" spans="1:9" s="35" customFormat="1" ht="34.5" customHeight="1" x14ac:dyDescent="0.25">
      <c r="A250" s="47" t="s">
        <v>163</v>
      </c>
      <c r="B250" s="139" t="s">
        <v>164</v>
      </c>
      <c r="C250" s="140"/>
      <c r="D250" s="140"/>
      <c r="E250" s="140"/>
      <c r="F250" s="140"/>
      <c r="G250" s="140"/>
      <c r="H250" s="141"/>
    </row>
    <row r="251" spans="1:9" s="35" customFormat="1" x14ac:dyDescent="0.25">
      <c r="A251" s="47" t="s">
        <v>163</v>
      </c>
      <c r="B251" s="139" t="s">
        <v>132</v>
      </c>
      <c r="C251" s="140"/>
      <c r="D251" s="140"/>
      <c r="E251" s="140"/>
      <c r="F251" s="140"/>
      <c r="G251" s="140"/>
      <c r="H251" s="141"/>
    </row>
    <row r="252" spans="1:9" x14ac:dyDescent="0.25">
      <c r="A252" s="138" t="s">
        <v>63</v>
      </c>
      <c r="B252" s="138"/>
      <c r="C252" s="138"/>
      <c r="D252" s="138"/>
      <c r="E252" s="138"/>
      <c r="F252" s="138"/>
      <c r="G252" s="138"/>
      <c r="H252" s="138"/>
    </row>
    <row r="253" spans="1:9" x14ac:dyDescent="0.25">
      <c r="A253" s="92" t="s">
        <v>64</v>
      </c>
      <c r="B253" s="92"/>
      <c r="C253" s="92"/>
      <c r="D253" s="92"/>
      <c r="E253" s="92"/>
      <c r="F253" s="92"/>
      <c r="G253" s="92"/>
      <c r="H253" s="92"/>
    </row>
    <row r="254" spans="1:9" ht="15.75" customHeight="1" x14ac:dyDescent="0.25">
      <c r="A254" s="93" t="s">
        <v>65</v>
      </c>
      <c r="B254" s="93"/>
      <c r="C254" s="93"/>
      <c r="D254" s="93"/>
      <c r="E254" s="93"/>
      <c r="F254" s="93"/>
      <c r="G254" s="93"/>
      <c r="H254" s="93"/>
    </row>
    <row r="255" spans="1:9" x14ac:dyDescent="0.25">
      <c r="A255" s="92" t="s">
        <v>66</v>
      </c>
      <c r="B255" s="92"/>
      <c r="C255" s="92"/>
      <c r="D255" s="92"/>
      <c r="E255" s="92"/>
      <c r="F255" s="92"/>
      <c r="G255" s="92"/>
      <c r="H255" s="92"/>
    </row>
    <row r="256" spans="1:9" x14ac:dyDescent="0.25">
      <c r="A256" s="92" t="s">
        <v>67</v>
      </c>
      <c r="B256" s="92"/>
      <c r="C256" s="92"/>
      <c r="D256" s="92"/>
      <c r="E256" s="92"/>
      <c r="F256" s="92"/>
      <c r="G256" s="92"/>
      <c r="H256" s="92"/>
    </row>
    <row r="257" spans="1:8" x14ac:dyDescent="0.25">
      <c r="A257" s="92" t="s">
        <v>133</v>
      </c>
      <c r="B257" s="92"/>
      <c r="C257" s="92"/>
      <c r="D257" s="92"/>
      <c r="E257" s="92"/>
      <c r="F257" s="92"/>
      <c r="G257" s="92"/>
      <c r="H257" s="92"/>
    </row>
    <row r="258" spans="1:8" ht="32.25" customHeight="1" x14ac:dyDescent="0.25">
      <c r="A258" s="121" t="s">
        <v>134</v>
      </c>
      <c r="B258" s="121"/>
      <c r="C258" s="121"/>
      <c r="D258" s="121"/>
      <c r="E258" s="121"/>
      <c r="F258" s="121"/>
      <c r="G258" s="121"/>
      <c r="H258" s="121"/>
    </row>
    <row r="259" spans="1:8" x14ac:dyDescent="0.25">
      <c r="A259" s="134" t="s">
        <v>80</v>
      </c>
      <c r="B259" s="134"/>
      <c r="C259" s="134" t="s">
        <v>226</v>
      </c>
      <c r="D259" s="134"/>
      <c r="E259" s="134" t="s">
        <v>110</v>
      </c>
      <c r="F259" s="134"/>
      <c r="G259" s="134" t="s">
        <v>228</v>
      </c>
      <c r="H259" s="134"/>
    </row>
    <row r="260" spans="1:8" x14ac:dyDescent="0.25">
      <c r="A260" s="133" t="s">
        <v>82</v>
      </c>
      <c r="B260" s="133"/>
      <c r="C260" s="133"/>
      <c r="D260" s="133"/>
      <c r="E260" s="133"/>
      <c r="F260" s="133"/>
      <c r="G260" s="133"/>
      <c r="H260" s="133"/>
    </row>
    <row r="261" spans="1:8" x14ac:dyDescent="0.25">
      <c r="A261" s="133"/>
      <c r="B261" s="133"/>
      <c r="C261" s="133"/>
      <c r="D261" s="133"/>
      <c r="E261" s="133"/>
      <c r="F261" s="133"/>
      <c r="G261" s="133"/>
      <c r="H261" s="133"/>
    </row>
    <row r="262" spans="1:8" x14ac:dyDescent="0.25">
      <c r="A262" s="133"/>
      <c r="B262" s="133"/>
      <c r="C262" s="133"/>
      <c r="D262" s="133"/>
      <c r="E262" s="133"/>
      <c r="F262" s="133"/>
      <c r="G262" s="133"/>
      <c r="H262" s="133"/>
    </row>
    <row r="263" spans="1:8" x14ac:dyDescent="0.25">
      <c r="A263" s="133"/>
      <c r="B263" s="133"/>
      <c r="C263" s="133"/>
      <c r="D263" s="133"/>
      <c r="E263" s="133"/>
      <c r="F263" s="133"/>
      <c r="G263" s="133"/>
      <c r="H263" s="133"/>
    </row>
    <row r="264" spans="1:8" x14ac:dyDescent="0.25">
      <c r="A264" s="38" t="s">
        <v>68</v>
      </c>
      <c r="B264" s="39"/>
      <c r="C264" s="39"/>
      <c r="D264" s="38" t="str">
        <f>E8</f>
        <v>Unique Elanza</v>
      </c>
      <c r="F264" s="39"/>
      <c r="G264" s="39"/>
      <c r="H264" s="39"/>
    </row>
    <row r="265" spans="1:8" x14ac:dyDescent="0.25">
      <c r="A265" s="39"/>
      <c r="B265" s="39"/>
      <c r="C265" s="39"/>
      <c r="D265" s="39"/>
      <c r="E265" s="39"/>
      <c r="F265" s="39"/>
      <c r="G265" s="39"/>
      <c r="H265" s="39"/>
    </row>
    <row r="266" spans="1:8" x14ac:dyDescent="0.25">
      <c r="A266" s="39"/>
      <c r="B266" s="39"/>
      <c r="C266" s="39"/>
      <c r="D266" s="39"/>
      <c r="E266" s="39"/>
      <c r="F266" s="39"/>
      <c r="G266" s="39"/>
      <c r="H266" s="39"/>
    </row>
    <row r="267" spans="1:8" ht="15" customHeight="1" x14ac:dyDescent="0.25"/>
    <row r="306" spans="1:1" x14ac:dyDescent="0.25">
      <c r="A306" s="41" t="s">
        <v>178</v>
      </c>
    </row>
    <row r="349" spans="1:1" x14ac:dyDescent="0.25">
      <c r="A349" s="41" t="s">
        <v>69</v>
      </c>
    </row>
  </sheetData>
  <mergeCells count="514">
    <mergeCell ref="A102:E102"/>
    <mergeCell ref="A97:E97"/>
    <mergeCell ref="A94:E94"/>
    <mergeCell ref="B250:H250"/>
    <mergeCell ref="A47:B47"/>
    <mergeCell ref="C47:H47"/>
    <mergeCell ref="B248:H248"/>
    <mergeCell ref="G84:H93"/>
    <mergeCell ref="A85:B85"/>
    <mergeCell ref="A86:B86"/>
    <mergeCell ref="A87:B87"/>
    <mergeCell ref="F96:H96"/>
    <mergeCell ref="A96:E96"/>
    <mergeCell ref="G226:H226"/>
    <mergeCell ref="G222:H222"/>
    <mergeCell ref="G219:H219"/>
    <mergeCell ref="D121:D122"/>
    <mergeCell ref="A98:E98"/>
    <mergeCell ref="A136:B136"/>
    <mergeCell ref="A137:B137"/>
    <mergeCell ref="F98:H98"/>
    <mergeCell ref="B246:H246"/>
    <mergeCell ref="B247:H247"/>
    <mergeCell ref="A99:E99"/>
    <mergeCell ref="L218:M218"/>
    <mergeCell ref="L217:M217"/>
    <mergeCell ref="A239:B239"/>
    <mergeCell ref="G239:H239"/>
    <mergeCell ref="G238:H238"/>
    <mergeCell ref="A236:H236"/>
    <mergeCell ref="L215:M215"/>
    <mergeCell ref="L216:M216"/>
    <mergeCell ref="L214:M214"/>
    <mergeCell ref="G227:H227"/>
    <mergeCell ref="G225:H225"/>
    <mergeCell ref="G235:H235"/>
    <mergeCell ref="A111:B111"/>
    <mergeCell ref="C117:D117"/>
    <mergeCell ref="G117:H117"/>
    <mergeCell ref="C111:D111"/>
    <mergeCell ref="E111:F111"/>
    <mergeCell ref="G111:H111"/>
    <mergeCell ref="A112:B112"/>
    <mergeCell ref="C112:D112"/>
    <mergeCell ref="E112:F112"/>
    <mergeCell ref="G112:H112"/>
    <mergeCell ref="A117:B117"/>
    <mergeCell ref="E117:F117"/>
    <mergeCell ref="F99:H99"/>
    <mergeCell ref="A38:B38"/>
    <mergeCell ref="C38:H38"/>
    <mergeCell ref="A233:B233"/>
    <mergeCell ref="A222:B222"/>
    <mergeCell ref="G223:H223"/>
    <mergeCell ref="G229:H229"/>
    <mergeCell ref="G228:H228"/>
    <mergeCell ref="A138:B138"/>
    <mergeCell ref="A82:B82"/>
    <mergeCell ref="C82:H82"/>
    <mergeCell ref="A83:B83"/>
    <mergeCell ref="E83:F83"/>
    <mergeCell ref="G83:H83"/>
    <mergeCell ref="A100:E100"/>
    <mergeCell ref="F100:H100"/>
    <mergeCell ref="A101:E101"/>
    <mergeCell ref="A103:E103"/>
    <mergeCell ref="F97:H97"/>
    <mergeCell ref="A116:B116"/>
    <mergeCell ref="C116:D116"/>
    <mergeCell ref="E116:F116"/>
    <mergeCell ref="G116:H116"/>
    <mergeCell ref="G214:H214"/>
    <mergeCell ref="A41:D41"/>
    <mergeCell ref="A119:H119"/>
    <mergeCell ref="G221:H221"/>
    <mergeCell ref="G240:H240"/>
    <mergeCell ref="A148:H148"/>
    <mergeCell ref="A149:A150"/>
    <mergeCell ref="A118:B118"/>
    <mergeCell ref="C118:D118"/>
    <mergeCell ref="E118:F118"/>
    <mergeCell ref="G118:H118"/>
    <mergeCell ref="G215:H215"/>
    <mergeCell ref="C121:C122"/>
    <mergeCell ref="B149:B150"/>
    <mergeCell ref="A214:B214"/>
    <mergeCell ref="A139:B139"/>
    <mergeCell ref="A216:B216"/>
    <mergeCell ref="G216:H216"/>
    <mergeCell ref="A215:B215"/>
    <mergeCell ref="A123:H123"/>
    <mergeCell ref="A124:H124"/>
    <mergeCell ref="A125:B125"/>
    <mergeCell ref="A151:H151"/>
    <mergeCell ref="C149:C150"/>
    <mergeCell ref="G237:H237"/>
    <mergeCell ref="A37:B37"/>
    <mergeCell ref="C37:H37"/>
    <mergeCell ref="A44:D44"/>
    <mergeCell ref="L139:M139"/>
    <mergeCell ref="L138:M138"/>
    <mergeCell ref="L137:M137"/>
    <mergeCell ref="L136:M136"/>
    <mergeCell ref="A77:B77"/>
    <mergeCell ref="C115:D115"/>
    <mergeCell ref="E115:F115"/>
    <mergeCell ref="G115:H115"/>
    <mergeCell ref="F101:H101"/>
    <mergeCell ref="A95:E95"/>
    <mergeCell ref="A135:H135"/>
    <mergeCell ref="E121:E122"/>
    <mergeCell ref="G121:H122"/>
    <mergeCell ref="A84:B84"/>
    <mergeCell ref="E84:F93"/>
    <mergeCell ref="A91:B91"/>
    <mergeCell ref="A92:B92"/>
    <mergeCell ref="F94:H94"/>
    <mergeCell ref="A93:B93"/>
    <mergeCell ref="A49:B49"/>
    <mergeCell ref="E41:H41"/>
    <mergeCell ref="A36:H36"/>
    <mergeCell ref="A35:B35"/>
    <mergeCell ref="C35:E35"/>
    <mergeCell ref="A40:D40"/>
    <mergeCell ref="E40:H40"/>
    <mergeCell ref="A60:C60"/>
    <mergeCell ref="E70:F79"/>
    <mergeCell ref="G70:H79"/>
    <mergeCell ref="A78:B78"/>
    <mergeCell ref="A79:B79"/>
    <mergeCell ref="D60:H60"/>
    <mergeCell ref="A50:B51"/>
    <mergeCell ref="A76:B76"/>
    <mergeCell ref="A69:B69"/>
    <mergeCell ref="A72:B72"/>
    <mergeCell ref="A68:B68"/>
    <mergeCell ref="A66:B66"/>
    <mergeCell ref="C66:H66"/>
    <mergeCell ref="A74:B74"/>
    <mergeCell ref="A61:C61"/>
    <mergeCell ref="A39:H39"/>
    <mergeCell ref="A59:C59"/>
    <mergeCell ref="F35:H35"/>
    <mergeCell ref="C49:E49"/>
    <mergeCell ref="A48:B48"/>
    <mergeCell ref="C48:E48"/>
    <mergeCell ref="G48:H48"/>
    <mergeCell ref="D59:H59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D54:H54"/>
    <mergeCell ref="C50:E50"/>
    <mergeCell ref="A57:C58"/>
    <mergeCell ref="D57:H57"/>
    <mergeCell ref="D58:H58"/>
    <mergeCell ref="A52:B52"/>
    <mergeCell ref="C52:E52"/>
    <mergeCell ref="A53:H53"/>
    <mergeCell ref="A54:C5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5:H65"/>
    <mergeCell ref="A63:C63"/>
    <mergeCell ref="D63:H63"/>
    <mergeCell ref="A64:C64"/>
    <mergeCell ref="D64:H64"/>
    <mergeCell ref="A70:B70"/>
    <mergeCell ref="G69:H69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A260:H263"/>
    <mergeCell ref="A259:B259"/>
    <mergeCell ref="E259:F259"/>
    <mergeCell ref="C259:D259"/>
    <mergeCell ref="G259:H259"/>
    <mergeCell ref="A108:H108"/>
    <mergeCell ref="A106:E106"/>
    <mergeCell ref="F106:H106"/>
    <mergeCell ref="A107:E107"/>
    <mergeCell ref="F107:H107"/>
    <mergeCell ref="A218:H218"/>
    <mergeCell ref="A115:B115"/>
    <mergeCell ref="A227:B227"/>
    <mergeCell ref="A110:B110"/>
    <mergeCell ref="A255:H255"/>
    <mergeCell ref="A113:H113"/>
    <mergeCell ref="A258:H258"/>
    <mergeCell ref="A256:H256"/>
    <mergeCell ref="A252:H252"/>
    <mergeCell ref="A253:H253"/>
    <mergeCell ref="E114:F114"/>
    <mergeCell ref="B251:H251"/>
    <mergeCell ref="B249:H249"/>
    <mergeCell ref="B245:H245"/>
    <mergeCell ref="A242:H242"/>
    <mergeCell ref="A234:B234"/>
    <mergeCell ref="A235:B235"/>
    <mergeCell ref="G233:H233"/>
    <mergeCell ref="A230:H230"/>
    <mergeCell ref="A232:B232"/>
    <mergeCell ref="G241:H241"/>
    <mergeCell ref="A240:B240"/>
    <mergeCell ref="A185:B185"/>
    <mergeCell ref="A195:H195"/>
    <mergeCell ref="A196:B196"/>
    <mergeCell ref="G196:H203"/>
    <mergeCell ref="A201:B201"/>
    <mergeCell ref="A223:B223"/>
    <mergeCell ref="A220:B220"/>
    <mergeCell ref="A221:B221"/>
    <mergeCell ref="A224:H224"/>
    <mergeCell ref="A217:B217"/>
    <mergeCell ref="A211:B211"/>
    <mergeCell ref="G50:H50"/>
    <mergeCell ref="B244:H244"/>
    <mergeCell ref="A231:B231"/>
    <mergeCell ref="C114:D114"/>
    <mergeCell ref="G114:H114"/>
    <mergeCell ref="G231:H231"/>
    <mergeCell ref="A229:B229"/>
    <mergeCell ref="F102:H102"/>
    <mergeCell ref="C109:D109"/>
    <mergeCell ref="G232:H232"/>
    <mergeCell ref="F105:H105"/>
    <mergeCell ref="F103:H103"/>
    <mergeCell ref="A226:B226"/>
    <mergeCell ref="A120:H120"/>
    <mergeCell ref="G109:H109"/>
    <mergeCell ref="A104:E104"/>
    <mergeCell ref="C110:D110"/>
    <mergeCell ref="E110:F110"/>
    <mergeCell ref="G220:H220"/>
    <mergeCell ref="B121:B122"/>
    <mergeCell ref="A121:A122"/>
    <mergeCell ref="B243:H243"/>
    <mergeCell ref="A225:B225"/>
    <mergeCell ref="G217:H217"/>
    <mergeCell ref="A55:C55"/>
    <mergeCell ref="D55:H55"/>
    <mergeCell ref="G52:H52"/>
    <mergeCell ref="C51:H51"/>
    <mergeCell ref="A88:B88"/>
    <mergeCell ref="A89:B89"/>
    <mergeCell ref="A90:B90"/>
    <mergeCell ref="F95:H95"/>
    <mergeCell ref="G110:H110"/>
    <mergeCell ref="F104:H104"/>
    <mergeCell ref="E109:F109"/>
    <mergeCell ref="A109:B109"/>
    <mergeCell ref="A105:E105"/>
    <mergeCell ref="A80:B80"/>
    <mergeCell ref="C80:H80"/>
    <mergeCell ref="A75:B75"/>
    <mergeCell ref="D61:H61"/>
    <mergeCell ref="C68:H68"/>
    <mergeCell ref="A71:B71"/>
    <mergeCell ref="A73:B73"/>
    <mergeCell ref="E69:F69"/>
    <mergeCell ref="A62:C62"/>
    <mergeCell ref="D62:H62"/>
    <mergeCell ref="A65:C65"/>
    <mergeCell ref="A257:H257"/>
    <mergeCell ref="A254:H254"/>
    <mergeCell ref="G234:H234"/>
    <mergeCell ref="A219:B219"/>
    <mergeCell ref="A114:B114"/>
    <mergeCell ref="D149:D150"/>
    <mergeCell ref="E149:E150"/>
    <mergeCell ref="G149:H150"/>
    <mergeCell ref="A152:H152"/>
    <mergeCell ref="A153:B153"/>
    <mergeCell ref="A156:B156"/>
    <mergeCell ref="A164:H164"/>
    <mergeCell ref="A165:B165"/>
    <mergeCell ref="G165:H169"/>
    <mergeCell ref="A177:H177"/>
    <mergeCell ref="A213:H213"/>
    <mergeCell ref="A228:B228"/>
    <mergeCell ref="A237:B237"/>
    <mergeCell ref="A238:B238"/>
    <mergeCell ref="A241:B241"/>
    <mergeCell ref="A131:B131"/>
    <mergeCell ref="A179:B179"/>
    <mergeCell ref="A184:B184"/>
    <mergeCell ref="A206:B206"/>
    <mergeCell ref="L129:M129"/>
    <mergeCell ref="A130:B130"/>
    <mergeCell ref="L130:M130"/>
    <mergeCell ref="L125:M125"/>
    <mergeCell ref="A126:B126"/>
    <mergeCell ref="L126:M126"/>
    <mergeCell ref="A127:B127"/>
    <mergeCell ref="L127:M127"/>
    <mergeCell ref="L156:M156"/>
    <mergeCell ref="L131:M131"/>
    <mergeCell ref="A132:B132"/>
    <mergeCell ref="L132:M132"/>
    <mergeCell ref="A133:B133"/>
    <mergeCell ref="L133:M133"/>
    <mergeCell ref="G125:H133"/>
    <mergeCell ref="A128:B128"/>
    <mergeCell ref="L128:M128"/>
    <mergeCell ref="A129:B129"/>
    <mergeCell ref="A157:B157"/>
    <mergeCell ref="L157:M157"/>
    <mergeCell ref="G153:H157"/>
    <mergeCell ref="A158:H158"/>
    <mergeCell ref="A159:B159"/>
    <mergeCell ref="G159:H163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L153:M153"/>
    <mergeCell ref="A154:B154"/>
    <mergeCell ref="L154:M154"/>
    <mergeCell ref="A155:B155"/>
    <mergeCell ref="L155:M155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C167:F167"/>
    <mergeCell ref="L179:M179"/>
    <mergeCell ref="A180:B180"/>
    <mergeCell ref="L180:M180"/>
    <mergeCell ref="A170:H170"/>
    <mergeCell ref="A171:B171"/>
    <mergeCell ref="G171:H175"/>
    <mergeCell ref="L171:M171"/>
    <mergeCell ref="A172:B172"/>
    <mergeCell ref="L172:M172"/>
    <mergeCell ref="A173:B173"/>
    <mergeCell ref="C173:F173"/>
    <mergeCell ref="L173:M173"/>
    <mergeCell ref="A174:B174"/>
    <mergeCell ref="L174:M174"/>
    <mergeCell ref="A175:B175"/>
    <mergeCell ref="L175:M175"/>
    <mergeCell ref="C171:F172"/>
    <mergeCell ref="C174:F175"/>
    <mergeCell ref="A178:B178"/>
    <mergeCell ref="L184:M184"/>
    <mergeCell ref="L146:M146"/>
    <mergeCell ref="A147:B147"/>
    <mergeCell ref="L147:M147"/>
    <mergeCell ref="A134:H134"/>
    <mergeCell ref="G136:H147"/>
    <mergeCell ref="A181:B181"/>
    <mergeCell ref="L181:M181"/>
    <mergeCell ref="A176:H176"/>
    <mergeCell ref="A140:B140"/>
    <mergeCell ref="L140:M140"/>
    <mergeCell ref="A141:B141"/>
    <mergeCell ref="L141:M141"/>
    <mergeCell ref="A142:B142"/>
    <mergeCell ref="L142:M142"/>
    <mergeCell ref="A143:B143"/>
    <mergeCell ref="L143:M143"/>
    <mergeCell ref="A144:B144"/>
    <mergeCell ref="L144:M144"/>
    <mergeCell ref="A145:B145"/>
    <mergeCell ref="L145:M145"/>
    <mergeCell ref="A146:B146"/>
    <mergeCell ref="L178:M178"/>
    <mergeCell ref="I159:K159"/>
    <mergeCell ref="L185:M185"/>
    <mergeCell ref="G178:H185"/>
    <mergeCell ref="A186:H186"/>
    <mergeCell ref="A187:B187"/>
    <mergeCell ref="G187:H194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82:B182"/>
    <mergeCell ref="L182:M182"/>
    <mergeCell ref="A183:B183"/>
    <mergeCell ref="L183:M183"/>
    <mergeCell ref="L211:M211"/>
    <mergeCell ref="A212:B212"/>
    <mergeCell ref="C212:F212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L212:M212"/>
    <mergeCell ref="C205:F211"/>
    <mergeCell ref="L201:M201"/>
    <mergeCell ref="A202:B202"/>
    <mergeCell ref="L202:M202"/>
    <mergeCell ref="A203:B203"/>
    <mergeCell ref="L203:M203"/>
    <mergeCell ref="C203:F203"/>
    <mergeCell ref="A204:H204"/>
    <mergeCell ref="A205:B205"/>
    <mergeCell ref="G205:H212"/>
    <mergeCell ref="L205:M205"/>
    <mergeCell ref="L206:M206"/>
    <mergeCell ref="A207:B207"/>
    <mergeCell ref="L207:M207"/>
    <mergeCell ref="A208:B208"/>
    <mergeCell ref="L208:M208"/>
    <mergeCell ref="A209:B209"/>
    <mergeCell ref="L209:M209"/>
    <mergeCell ref="A210:B210"/>
    <mergeCell ref="L210:M210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63" max="16383" man="1"/>
    <brk id="305" max="16383" man="1"/>
    <brk id="34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8" t="s">
        <v>111</v>
      </c>
      <c r="C3" s="198"/>
      <c r="D3" s="198"/>
      <c r="E3" s="198"/>
      <c r="F3" s="198"/>
      <c r="G3" s="198"/>
      <c r="H3" s="198"/>
    </row>
    <row r="4" spans="1:9" x14ac:dyDescent="0.2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2025-07-15T04:12:05Z</cp:lastPrinted>
  <dcterms:created xsi:type="dcterms:W3CDTF">2019-07-16T09:29:46Z</dcterms:created>
  <dcterms:modified xsi:type="dcterms:W3CDTF">2025-07-15T04:12:38Z</dcterms:modified>
</cp:coreProperties>
</file>