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87009A1D-671D-40E2-BBAF-EBBB7456B91A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_FilterDatabase" localSheetId="0" hidden="1">Report!$A$116:$H$168</definedName>
    <definedName name="_xlnm.Print_Area" localSheetId="0">Report!$A$1:$H$299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0" i="1" l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19" i="1"/>
  <c r="N119" i="1"/>
  <c r="N127" i="1"/>
  <c r="N128" i="1"/>
  <c r="N129" i="1"/>
  <c r="N130" i="1"/>
  <c r="N131" i="1"/>
  <c r="N132" i="1"/>
  <c r="N133" i="1"/>
  <c r="N134" i="1"/>
  <c r="N120" i="1"/>
  <c r="N121" i="1"/>
  <c r="N122" i="1"/>
  <c r="N123" i="1"/>
  <c r="N124" i="1"/>
  <c r="N125" i="1"/>
  <c r="N126" i="1"/>
  <c r="D144" i="1"/>
  <c r="D143" i="1"/>
  <c r="D142" i="1"/>
  <c r="D141" i="1"/>
  <c r="D140" i="1"/>
  <c r="D139" i="1"/>
  <c r="D138" i="1"/>
  <c r="D137" i="1"/>
  <c r="D133" i="1"/>
  <c r="I133" i="1" s="1"/>
  <c r="D132" i="1"/>
  <c r="I132" i="1" s="1"/>
  <c r="D131" i="1"/>
  <c r="I131" i="1" s="1"/>
  <c r="D130" i="1"/>
  <c r="I130" i="1" s="1"/>
  <c r="D128" i="1"/>
  <c r="I128" i="1" s="1"/>
  <c r="D135" i="1"/>
  <c r="I135" i="1" s="1"/>
  <c r="D134" i="1"/>
  <c r="I134" i="1" s="1"/>
  <c r="D129" i="1"/>
  <c r="I129" i="1" s="1"/>
  <c r="D125" i="1"/>
  <c r="D126" i="1"/>
  <c r="J126" i="1"/>
  <c r="D124" i="1"/>
  <c r="D123" i="1"/>
  <c r="D120" i="1"/>
  <c r="D119" i="1"/>
  <c r="E123" i="1"/>
  <c r="E122" i="1"/>
  <c r="D122" i="1"/>
  <c r="D121" i="1"/>
  <c r="E121" i="1"/>
  <c r="E100" i="1" l="1"/>
  <c r="L119" i="1"/>
  <c r="G100" i="1"/>
  <c r="G108" i="1" l="1"/>
  <c r="L126" i="1" l="1"/>
  <c r="L125" i="1"/>
  <c r="L124" i="1"/>
  <c r="L123" i="1"/>
  <c r="L122" i="1"/>
  <c r="L121" i="1"/>
  <c r="L120" i="1"/>
  <c r="J124" i="1"/>
  <c r="J119" i="1"/>
  <c r="K119" i="1" s="1"/>
  <c r="D108" i="1" l="1"/>
  <c r="K108" i="1" l="1"/>
  <c r="E119" i="1"/>
  <c r="D114" i="1"/>
  <c r="D113" i="1"/>
  <c r="D112" i="1"/>
  <c r="D111" i="1"/>
  <c r="K111" i="1" s="1"/>
  <c r="D110" i="1"/>
  <c r="K110" i="1" s="1"/>
  <c r="D109" i="1"/>
  <c r="K109" i="1" s="1"/>
  <c r="I126" i="1"/>
  <c r="I124" i="1"/>
  <c r="I123" i="1"/>
  <c r="I119" i="1"/>
  <c r="J123" i="1"/>
  <c r="K123" i="1" s="1"/>
  <c r="E96" i="1" l="1"/>
  <c r="E101" i="1"/>
  <c r="C100" i="1"/>
  <c r="C101" i="1" s="1"/>
  <c r="E97" i="1"/>
  <c r="C96" i="1"/>
  <c r="C97" i="1" s="1"/>
  <c r="I110" i="1"/>
  <c r="I112" i="1"/>
  <c r="I108" i="1"/>
  <c r="G50" i="1"/>
  <c r="C50" i="1"/>
  <c r="D60" i="1" l="1"/>
  <c r="E102" i="1" l="1"/>
  <c r="C102" i="1"/>
  <c r="E43" i="1" l="1"/>
  <c r="E44" i="1" s="1"/>
  <c r="C15" i="1" l="1"/>
  <c r="E30" i="1" l="1"/>
  <c r="A120" i="1" l="1"/>
  <c r="A121" i="1" s="1"/>
  <c r="A122" i="1" s="1"/>
  <c r="G119" i="1"/>
  <c r="F93" i="1" l="1"/>
  <c r="G96" i="1" l="1"/>
  <c r="G97" i="1" s="1"/>
  <c r="B147" i="1"/>
  <c r="G101" i="1" l="1"/>
  <c r="G102" i="1" s="1"/>
  <c r="B14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8" i="1"/>
  <c r="G137" i="1"/>
  <c r="G128" i="1"/>
  <c r="A109" i="1"/>
  <c r="A110" i="1" s="1"/>
  <c r="A111" i="1" s="1"/>
  <c r="A112" i="1" s="1"/>
  <c r="A113" i="1" s="1"/>
  <c r="A114" i="1" s="1"/>
  <c r="C66" i="1"/>
  <c r="B67" i="1" s="1"/>
  <c r="D55" i="1"/>
  <c r="E27" i="1"/>
  <c r="E25" i="1"/>
  <c r="E7" i="1"/>
  <c r="E3" i="1"/>
  <c r="J74" i="1" l="1"/>
  <c r="J75" i="1" s="1"/>
  <c r="J76" i="1" s="1"/>
  <c r="J77" i="1" s="1"/>
  <c r="H67" i="1"/>
  <c r="D73" i="1" l="1"/>
  <c r="J66" i="1"/>
  <c r="J68" i="1" s="1"/>
  <c r="D79" i="1"/>
  <c r="D75" i="1"/>
  <c r="D74" i="1"/>
  <c r="D72" i="1"/>
  <c r="D76" i="1"/>
  <c r="J71" i="1"/>
  <c r="C70" i="1" s="1"/>
  <c r="D70" i="1" s="1"/>
  <c r="D77" i="1"/>
  <c r="J72" i="1"/>
  <c r="J73" i="1" s="1"/>
  <c r="J78" i="1" s="1"/>
  <c r="J79" i="1" s="1"/>
  <c r="C71" i="1" s="1"/>
  <c r="J70" i="1"/>
  <c r="D78" i="1"/>
  <c r="J69" i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<sst xmlns="http://schemas.openxmlformats.org/spreadsheetml/2006/main" count="301" uniqueCount="230">
  <si>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</si>
  <si>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</si>
  <si>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</si>
  <si>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</si>
  <si>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</si>
  <si>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</si>
  <si>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</si>
  <si>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</si>
  <si>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</si>
  <si>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</si>
  <si>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</si>
  <si>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</si>
  <si>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</si>
  <si>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</si>
  <si>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</si>
  <si>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</si>
  <si>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</si>
  <si>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</si>
  <si>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</si>
  <si>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</si>
  <si>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</si>
  <si>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</si>
  <si>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</si>
  <si>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</si>
  <si>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</si>
  <si>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</si>
  <si>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</si>
  <si>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</si>
  <si>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</si>
  <si>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</si>
  <si>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</si>
  <si>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</si>
  <si>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</si>
  <si>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</si>
  <si>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</si>
  <si>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</si>
  <si>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</si>
  <si>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</si>
  <si>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</si>
  <si>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</si>
  <si>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</si>
  <si>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</si>
  <si>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</si>
  <si>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</si>
  <si>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</si>
  <si>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</si>
  <si>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</si>
  <si>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</si>
  <si>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</si>
  <si>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</si>
  <si>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</si>
  <si>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</si>
  <si>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</si>
  <si>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</si>
  <si>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</si>
  <si>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</si>
  <si>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</si>
  <si>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</si>
  <si>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</si>
  <si>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</si>
  <si>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</si>
  <si>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</si>
  <si>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</si>
  <si>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</si>
  <si>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</si>
  <si>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</si>
  <si>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</si>
  <si>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</si>
  <si>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</si>
  <si>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</si>
  <si>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</si>
  <si>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</si>
  <si>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</si>
  <si>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</si>
  <si>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</si>
  <si>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</si>
  <si>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</si>
  <si>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</si>
  <si>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</si>
  <si>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</si>
  <si>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</si>
  <si>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</si>
  <si>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</si>
  <si>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</si>
  <si>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</si>
  <si>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</si>
  <si>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</si>
  <si>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</si>
  <si>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</si>
  <si>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</si>
  <si>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</si>
  <si>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</si>
  <si>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</si>
  <si>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</si>
  <si>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</si>
  <si>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</si>
  <si>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</si>
  <si>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</si>
  <si>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</si>
  <si>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</si>
  <si>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</si>
  <si>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</si>
  <si>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</si>
  <si>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</si>
  <si>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</si>
  <si>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</si>
  <si>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</si>
  <si>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</si>
  <si>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</si>
  <si>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</si>
  <si>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</si>
  <si>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</si>
  <si>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</si>
  <si>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</si>
  <si>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</si>
  <si>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</si>
  <si>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</si>
  <si>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</si>
  <si>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</si>
  <si>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</si>
  <si>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</si>
  <si>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</si>
  <si>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</si>
  <si>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</si>
  <si>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</si>
  <si>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</si>
  <si>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</si>
  <si>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</si>
  <si>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</si>
  <si>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</si>
  <si>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</si>
  <si>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</si>
  <si>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</si>
  <si>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</si>
  <si>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</si>
  <si>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</si>
  <si>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</si>
  <si>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</si>
  <si>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</si>
  <si>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</si>
  <si>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</si>
  <si>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</si>
  <si>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</si>
  <si>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</si>
  <si>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</si>
  <si>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</si>
  <si>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</si>
  <si>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</si>
  <si>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</si>
  <si>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</si>
  <si>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</si>
  <si>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</si>
  <si>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</si>
  <si>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</si>
  <si>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</si>
  <si>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</si>
  <si>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</si>
  <si>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</si>
  <si>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</si>
  <si>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</si>
  <si>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</si>
  <si>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</si>
  <si>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</si>
  <si>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</si>
  <si>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</si>
  <si>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</si>
  <si>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</si>
  <si>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</si>
  <si>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</si>
  <si>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</si>
  <si>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</si>
  <si>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</si>
  <si>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</si>
  <si>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</si>
  <si>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Survey No</t>
  </si>
  <si>
    <t>Axis Sanpada</t>
  </si>
  <si>
    <t>Leela Associates</t>
  </si>
  <si>
    <t>Vasant Leela</t>
  </si>
  <si>
    <t xml:space="preserve">Mr. Jitesh Thakur 9822840010 / 7744997222
</t>
  </si>
  <si>
    <t xml:space="preserve">Approved Plans, CC, Sale Plans, Builder Saleable Area, Cost Sheet </t>
  </si>
  <si>
    <t>P52000050609</t>
  </si>
  <si>
    <t>Khopoli</t>
  </si>
  <si>
    <t>Raigad</t>
  </si>
  <si>
    <t>Khalapur</t>
  </si>
  <si>
    <t>KMC/T.P./BP/2648</t>
  </si>
  <si>
    <t>KMC/TP/2648</t>
  </si>
  <si>
    <t>18.785489, 73.352390</t>
  </si>
  <si>
    <t>Internal Road</t>
  </si>
  <si>
    <t>1.1 KM from Khopoli  Railway Station</t>
  </si>
  <si>
    <t>Open Plot</t>
  </si>
  <si>
    <t>CTS No.4392</t>
  </si>
  <si>
    <t>CTS No.4391</t>
  </si>
  <si>
    <t>CTS No.4389, 4416</t>
  </si>
  <si>
    <t xml:space="preserve">As per RERA - 31/03/2027 </t>
  </si>
  <si>
    <t>Shop</t>
  </si>
  <si>
    <t>2BHK</t>
  </si>
  <si>
    <t>3BHK</t>
  </si>
  <si>
    <t>2nd to 7th &amp; 9th Floor</t>
  </si>
  <si>
    <t>1st Floor For Residential</t>
  </si>
  <si>
    <t>Commercial Area Details : Shops</t>
  </si>
  <si>
    <t>Building No.1</t>
  </si>
  <si>
    <t>Residential Area Details : Flats</t>
  </si>
  <si>
    <t>Ashiyana's Lake View Building No.2</t>
  </si>
  <si>
    <t>Flats - 72, Shops - 6</t>
  </si>
  <si>
    <t xml:space="preserve">Khopoli Municipal Council </t>
  </si>
  <si>
    <t>Mr. Sanjay Jadhav 9560220682</t>
  </si>
  <si>
    <t xml:space="preserve">                                                          </t>
  </si>
  <si>
    <t xml:space="preserve">Builder                                    Saleable area  </t>
  </si>
  <si>
    <t xml:space="preserve">Builder Saleable area </t>
  </si>
  <si>
    <t>Remark                                                                                           Terrace Area not provide in floor plan . We have considered terrace area as per sale plan</t>
  </si>
  <si>
    <t>Building No.1 = Gr + 1st to 9th Floor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</si>
  <si>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</si>
  <si>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Nitesh Patil</t>
  </si>
  <si>
    <t>Gagangiri Nagar</t>
  </si>
  <si>
    <t>Khopoli East</t>
  </si>
  <si>
    <t>CTS No.4365/ Internal Road</t>
  </si>
  <si>
    <t>Internal Road/ Gagangiri Ashram</t>
  </si>
  <si>
    <t xml:space="preserve">CCTV Surveillance, Luxurious Entrance Lobby, Kids Play Area on Terrace, Terrace Garden, Ample Parking Space, Gazebo on Terrace, Rainwater Harvest, Solar Panel For Lift &amp; common Area, Open Gymnasium on Terrace etc. </t>
  </si>
  <si>
    <t>Ground Floor For Commercial, Driver Room, Society Office, 
Entrance Room &amp; Parking</t>
  </si>
  <si>
    <t>8th Floor (Part Refuge Balcony Area)</t>
  </si>
  <si>
    <t xml:space="preserve">We considered Gross carpet area = Net carpet + W.S Area </t>
  </si>
  <si>
    <t>Builder</t>
  </si>
  <si>
    <t>Water, MSEB &amp; Development Charges</t>
  </si>
  <si>
    <t>https://goo.gl/maps/jVBR9CmAjpkfYGkLA</t>
  </si>
  <si>
    <t>33/1 &amp; 28/1, CTS No. 4379, 4390</t>
  </si>
  <si>
    <t>3500 to 3700 on 17/01/2025 smith Cost sheet</t>
  </si>
  <si>
    <t>Recommended Rates/Other Charges of the Property have been revised on 17/01/2025.</t>
  </si>
  <si>
    <t>Mr. Aryan Oswal 7066712250</t>
  </si>
  <si>
    <t>Gaurav Panchal</t>
  </si>
  <si>
    <t xml:space="preserve">Finishing work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</si>
</sst>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  <numFmt numFmtId="170" formatCode="0.000"/>
    <numFmt numFmtId="171" formatCode="0.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171" fontId="7" fillId="0" borderId="0" xfId="1" applyNumberFormat="1" applyFont="1" applyAlignment="1">
      <alignment horizontal="center" vertical="center"/>
    </xf>
    <xf numFmtId="0" fontId="14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69" fontId="7" fillId="0" borderId="0" xfId="1" applyNumberFormat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20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image" Target="../media/image15.jpeg"/><Relationship Id="rId26" Type="http://schemas.openxmlformats.org/officeDocument/2006/relationships/image" Target="../media/image23.jpeg"/><Relationship Id="rId39" Type="http://schemas.openxmlformats.org/officeDocument/2006/relationships/image" Target="../media/image36.jpeg"/><Relationship Id="rId21" Type="http://schemas.openxmlformats.org/officeDocument/2006/relationships/image" Target="../media/image18.jpeg"/><Relationship Id="rId34" Type="http://schemas.openxmlformats.org/officeDocument/2006/relationships/image" Target="../media/image31.jpeg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33" Type="http://schemas.openxmlformats.org/officeDocument/2006/relationships/image" Target="../media/image30.jpeg"/><Relationship Id="rId38" Type="http://schemas.openxmlformats.org/officeDocument/2006/relationships/image" Target="../media/image35.jpeg"/><Relationship Id="rId2" Type="http://schemas.microsoft.com/office/2007/relationships/hdphoto" Target="../media/hdphoto1.wdp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29" Type="http://schemas.openxmlformats.org/officeDocument/2006/relationships/image" Target="../media/image26.jpe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24" Type="http://schemas.openxmlformats.org/officeDocument/2006/relationships/image" Target="../media/image21.jpeg"/><Relationship Id="rId32" Type="http://schemas.openxmlformats.org/officeDocument/2006/relationships/image" Target="../media/image29.jpeg"/><Relationship Id="rId37" Type="http://schemas.openxmlformats.org/officeDocument/2006/relationships/image" Target="../media/image34.jpeg"/><Relationship Id="rId40" Type="http://schemas.openxmlformats.org/officeDocument/2006/relationships/image" Target="../media/image37.jpeg"/><Relationship Id="rId5" Type="http://schemas.microsoft.com/office/2007/relationships/hdphoto" Target="../media/hdphoto2.wdp"/><Relationship Id="rId15" Type="http://schemas.openxmlformats.org/officeDocument/2006/relationships/image" Target="../media/image12.jpeg"/><Relationship Id="rId23" Type="http://schemas.openxmlformats.org/officeDocument/2006/relationships/image" Target="../media/image20.jpeg"/><Relationship Id="rId28" Type="http://schemas.openxmlformats.org/officeDocument/2006/relationships/image" Target="../media/image25.jpeg"/><Relationship Id="rId36" Type="http://schemas.openxmlformats.org/officeDocument/2006/relationships/image" Target="../media/image33.jpeg"/><Relationship Id="rId10" Type="http://schemas.openxmlformats.org/officeDocument/2006/relationships/image" Target="../media/image8.jpeg"/><Relationship Id="rId19" Type="http://schemas.openxmlformats.org/officeDocument/2006/relationships/image" Target="../media/image16.jpeg"/><Relationship Id="rId31" Type="http://schemas.openxmlformats.org/officeDocument/2006/relationships/image" Target="../media/image28.jpeg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microsoft.com/office/2007/relationships/hdphoto" Target="../media/hdphoto3.wdp"/><Relationship Id="rId22" Type="http://schemas.openxmlformats.org/officeDocument/2006/relationships/image" Target="../media/image19.jpeg"/><Relationship Id="rId27" Type="http://schemas.openxmlformats.org/officeDocument/2006/relationships/image" Target="../media/image24.jpeg"/><Relationship Id="rId30" Type="http://schemas.openxmlformats.org/officeDocument/2006/relationships/image" Target="../media/image27.jpeg"/><Relationship Id="rId35" Type="http://schemas.openxmlformats.org/officeDocument/2006/relationships/image" Target="../media/image32.jpeg"/><Relationship Id="rId8" Type="http://schemas.openxmlformats.org/officeDocument/2006/relationships/image" Target="../media/image6.jpeg"/><Relationship Id="rId3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432088</xdr:colOff>
      <xdr:row>275</xdr:row>
      <xdr:rowOff>48489</xdr:rowOff>
    </xdr:from>
    <xdr:to>
      <xdr:col>7</xdr:col>
      <xdr:colOff>163707</xdr:colOff>
      <xdr:row>297</xdr:row>
      <xdr:rowOff>1984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2088" y="57882557"/>
          <a:ext cx="5414530" cy="428711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822090</xdr:colOff>
      <xdr:row>286</xdr:row>
      <xdr:rowOff>1411</xdr:rowOff>
    </xdr:from>
    <xdr:to>
      <xdr:col>5</xdr:col>
      <xdr:colOff>164435</xdr:colOff>
      <xdr:row>294</xdr:row>
      <xdr:rowOff>50639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 rot="6586032">
          <a:off x="2940386" y="58776440"/>
          <a:ext cx="1649428" cy="1066370"/>
          <a:chOff x="130683" y="1610033"/>
          <a:chExt cx="7956596" cy="4882976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rot="15013968" flipH="1">
            <a:off x="2982355" y="455110"/>
            <a:ext cx="229652" cy="3753287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15013968" flipH="1">
            <a:off x="5429347" y="1276396"/>
            <a:ext cx="1423845" cy="209112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rot="15013968">
            <a:off x="7804" y="3062655"/>
            <a:ext cx="1802563" cy="1556806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15013968" flipH="1">
            <a:off x="935747" y="4339472"/>
            <a:ext cx="1888487" cy="2191836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rot="15013968" flipH="1">
            <a:off x="3767023" y="5342764"/>
            <a:ext cx="267989" cy="1251413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15013968" flipH="1">
            <a:off x="4767611" y="5355640"/>
            <a:ext cx="850885" cy="1423854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15013968" flipH="1">
            <a:off x="6545953" y="5339312"/>
            <a:ext cx="174921" cy="1571978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rot="15013968">
            <a:off x="5889524" y="3575767"/>
            <a:ext cx="2983374" cy="1412136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476250</xdr:colOff>
      <xdr:row>257</xdr:row>
      <xdr:rowOff>50730</xdr:rowOff>
    </xdr:from>
    <xdr:to>
      <xdr:col>7</xdr:col>
      <xdr:colOff>76863</xdr:colOff>
      <xdr:row>274</xdr:row>
      <xdr:rowOff>125845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54299935"/>
          <a:ext cx="5283524" cy="34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698836</xdr:colOff>
      <xdr:row>235</xdr:row>
      <xdr:rowOff>132067</xdr:rowOff>
    </xdr:from>
    <xdr:to>
      <xdr:col>6</xdr:col>
      <xdr:colOff>2482</xdr:colOff>
      <xdr:row>252</xdr:row>
      <xdr:rowOff>22236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60836" y="49480226"/>
          <a:ext cx="3454630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65452</xdr:colOff>
      <xdr:row>190</xdr:row>
      <xdr:rowOff>111803</xdr:rowOff>
    </xdr:from>
    <xdr:to>
      <xdr:col>15</xdr:col>
      <xdr:colOff>175167</xdr:colOff>
      <xdr:row>200</xdr:row>
      <xdr:rowOff>98758</xdr:rowOff>
    </xdr:to>
    <xdr:pic>
      <xdr:nvPicPr>
        <xdr:cNvPr id="14" name="Picture 13" descr="https://vsjcllp.vsjadon.com/upload/insp-150346-1525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1527" y="40231103"/>
          <a:ext cx="1599537" cy="1963192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807944</xdr:colOff>
      <xdr:row>167</xdr:row>
      <xdr:rowOff>49024</xdr:rowOff>
    </xdr:from>
    <xdr:to>
      <xdr:col>11</xdr:col>
      <xdr:colOff>23847</xdr:colOff>
      <xdr:row>179</xdr:row>
      <xdr:rowOff>3773</xdr:rowOff>
    </xdr:to>
    <xdr:pic>
      <xdr:nvPicPr>
        <xdr:cNvPr id="15" name="Picture 14" descr="https://vsjcllp.vsjadon.com/upload/insp-150346-84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5297" y="35829406"/>
          <a:ext cx="1845283" cy="2340000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82921</xdr:colOff>
      <xdr:row>190</xdr:row>
      <xdr:rowOff>112051</xdr:rowOff>
    </xdr:from>
    <xdr:to>
      <xdr:col>11</xdr:col>
      <xdr:colOff>21399</xdr:colOff>
      <xdr:row>200</xdr:row>
      <xdr:rowOff>99006</xdr:rowOff>
    </xdr:to>
    <xdr:pic>
      <xdr:nvPicPr>
        <xdr:cNvPr id="16" name="Picture 15" descr="https://vsjcllp.vsjadon.com/upload/insp-150346-845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6721" y="40231351"/>
          <a:ext cx="1409330" cy="1963192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130222</xdr:colOff>
      <xdr:row>179</xdr:row>
      <xdr:rowOff>78433</xdr:rowOff>
    </xdr:from>
    <xdr:to>
      <xdr:col>11</xdr:col>
      <xdr:colOff>98344</xdr:colOff>
      <xdr:row>190</xdr:row>
      <xdr:rowOff>46082</xdr:rowOff>
    </xdr:to>
    <xdr:pic>
      <xdr:nvPicPr>
        <xdr:cNvPr id="17" name="Picture 16" descr="https://vsjcllp.vsjadon.com/upload/insp-150346-86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74022" y="37997458"/>
          <a:ext cx="1438974" cy="2141510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203579</xdr:colOff>
      <xdr:row>167</xdr:row>
      <xdr:rowOff>8405</xdr:rowOff>
    </xdr:from>
    <xdr:to>
      <xdr:col>15</xdr:col>
      <xdr:colOff>419525</xdr:colOff>
      <xdr:row>178</xdr:row>
      <xdr:rowOff>164859</xdr:rowOff>
    </xdr:to>
    <xdr:pic>
      <xdr:nvPicPr>
        <xdr:cNvPr id="18" name="Picture 17" descr="https://vsjcllp.vsjadon.com/upload/insp-150346-87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14229" y="35536655"/>
          <a:ext cx="3211599" cy="2323191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125413</xdr:colOff>
      <xdr:row>190</xdr:row>
      <xdr:rowOff>112050</xdr:rowOff>
    </xdr:from>
    <xdr:to>
      <xdr:col>12</xdr:col>
      <xdr:colOff>774555</xdr:colOff>
      <xdr:row>200</xdr:row>
      <xdr:rowOff>99005</xdr:rowOff>
    </xdr:to>
    <xdr:pic>
      <xdr:nvPicPr>
        <xdr:cNvPr id="19" name="Picture 18" descr="https://vsjcllp.vsjadon.com/upload/insp-150346-860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36063" y="40231350"/>
          <a:ext cx="1356394" cy="1963192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192374</xdr:colOff>
      <xdr:row>179</xdr:row>
      <xdr:rowOff>71434</xdr:rowOff>
    </xdr:from>
    <xdr:to>
      <xdr:col>15</xdr:col>
      <xdr:colOff>198814</xdr:colOff>
      <xdr:row>190</xdr:row>
      <xdr:rowOff>39083</xdr:rowOff>
    </xdr:to>
    <xdr:pic>
      <xdr:nvPicPr>
        <xdr:cNvPr id="20" name="Picture 19" descr="https://vsjcllp.vsjadon.com/upload/insp-150346-849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03024" y="37990459"/>
          <a:ext cx="3002093" cy="2141510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346360</xdr:colOff>
      <xdr:row>213</xdr:row>
      <xdr:rowOff>0</xdr:rowOff>
    </xdr:from>
    <xdr:to>
      <xdr:col>7</xdr:col>
      <xdr:colOff>391172</xdr:colOff>
      <xdr:row>234</xdr:row>
      <xdr:rowOff>188086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6360" y="44966659"/>
          <a:ext cx="572772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1079686</xdr:colOff>
      <xdr:row>168</xdr:row>
      <xdr:rowOff>39644</xdr:rowOff>
    </xdr:from>
    <xdr:to>
      <xdr:col>17</xdr:col>
      <xdr:colOff>84028</xdr:colOff>
      <xdr:row>202</xdr:row>
      <xdr:rowOff>17848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461436" y="36129869"/>
          <a:ext cx="6014742" cy="6769529"/>
          <a:chOff x="212911" y="36158444"/>
          <a:chExt cx="6014742" cy="6769529"/>
        </a:xfrm>
      </xdr:grpSpPr>
      <xdr:pic>
        <xdr:nvPicPr>
          <xdr:cNvPr id="22" name="Picture 21" descr="https://vsjcllp.vsjadon.com/upload/insp-213187-843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26872" y="36158444"/>
            <a:ext cx="2196243" cy="29403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13187-862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81222" y="40914872"/>
            <a:ext cx="1500573" cy="20131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13187-877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9462" y="39174729"/>
            <a:ext cx="1203207" cy="16144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13187-880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19327" y="39184688"/>
            <a:ext cx="1192559" cy="16144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13187-931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99881" y="39197141"/>
            <a:ext cx="1204888" cy="16144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13187-883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7695" y="39204339"/>
            <a:ext cx="2139958" cy="161440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13187-874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23397" y="36158444"/>
            <a:ext cx="2184234" cy="29403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13187-1022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2911" y="40903666"/>
            <a:ext cx="2656968" cy="20131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13187-1525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77939" y="40914872"/>
            <a:ext cx="1502255" cy="20131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314325</xdr:colOff>
      <xdr:row>168</xdr:row>
      <xdr:rowOff>66675</xdr:rowOff>
    </xdr:from>
    <xdr:to>
      <xdr:col>15</xdr:col>
      <xdr:colOff>663038</xdr:colOff>
      <xdr:row>203</xdr:row>
      <xdr:rowOff>47625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7858125" y="36156900"/>
          <a:ext cx="4806413" cy="6972300"/>
          <a:chOff x="1166812" y="400050"/>
          <a:chExt cx="4806413" cy="7377000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6812" y="400050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1412" y="400050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3012" y="36385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10256" y="36385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0001" y="597705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3255" y="597705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238126</xdr:colOff>
      <xdr:row>168</xdr:row>
      <xdr:rowOff>57151</xdr:rowOff>
    </xdr:from>
    <xdr:to>
      <xdr:col>7</xdr:col>
      <xdr:colOff>390526</xdr:colOff>
      <xdr:row>210</xdr:row>
      <xdr:rowOff>85726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53F4F8B9-E79D-478F-B95A-B3AD6AB8C469}"/>
            </a:ext>
          </a:extLst>
        </xdr:cNvPr>
        <xdr:cNvGrpSpPr/>
      </xdr:nvGrpSpPr>
      <xdr:grpSpPr>
        <a:xfrm>
          <a:off x="238126" y="36147376"/>
          <a:ext cx="5829300" cy="7219950"/>
          <a:chOff x="659668" y="340659"/>
          <a:chExt cx="5905573" cy="8432841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C3740EAB-A559-4D2A-942E-D0BE10380C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9847" y="340659"/>
            <a:ext cx="258535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81FA353B-9E4B-470D-9EEC-AF7CEEA37B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4774" y="340659"/>
            <a:ext cx="269696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52F0678D-09F4-4FD3-9E97-CC19859E5F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2111" y="5376829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AF1B4A51-0D54-4684-AE02-776168549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9847" y="3398744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9423CB90-A383-4F23-A6DC-74FD989DF7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0999" y="339874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B5786C52-0784-49C0-AE48-921FB69252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3609" y="339874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DF08BFC6-88D7-4D20-9C6E-A166C7457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59668" y="5376829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42B0B937-B0B6-412C-905D-42630E53D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8241" y="5376829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1AAE7AC4-5DA1-4170-966E-51508327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4111" y="715350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5D797ED7-E185-44BB-9153-2480E5E96F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8548" y="7153500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9B476E58-6C4D-4688-8231-7B2A8D4CE8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9298" y="7153500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VBR9CmAjpkfYGkL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56"/>
  <sheetViews>
    <sheetView tabSelected="1" view="pageBreakPreview" topLeftCell="A163" zoomScaleNormal="100" zoomScaleSheetLayoutView="100" zoomScalePageLayoutView="85" workbookViewId="0">
      <selection activeCell="I176" sqref="I176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6" width="11.7109375" style="39" customWidth="1"/>
    <col min="7" max="7" width="11.42578125" style="39" customWidth="1"/>
    <col min="8" max="8" width="10.5703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2" ht="46.5" customHeight="1" x14ac:dyDescent="0.25">
      <c r="A1" s="174" t="s">
        <v>211</v>
      </c>
      <c r="B1" s="174"/>
      <c r="C1" s="174"/>
      <c r="D1" s="174"/>
      <c r="E1" s="174"/>
      <c r="F1" s="174"/>
      <c r="G1" s="174"/>
      <c r="H1" s="174"/>
    </row>
    <row r="2" spans="1:12" ht="16.5" customHeight="1" x14ac:dyDescent="0.25">
      <c r="A2" s="175" t="s">
        <v>0</v>
      </c>
      <c r="B2" s="175"/>
      <c r="C2" s="175"/>
      <c r="D2" s="175"/>
      <c r="E2" s="175"/>
      <c r="F2" s="175"/>
      <c r="G2" s="175"/>
      <c r="H2" s="175"/>
    </row>
    <row r="3" spans="1:12" x14ac:dyDescent="0.25">
      <c r="A3" s="133" t="s">
        <v>1</v>
      </c>
      <c r="B3" s="133"/>
      <c r="C3" s="133"/>
      <c r="D3" s="133"/>
      <c r="E3" s="133" t="str">
        <f ca="1">TEXT(TODAY(),"DD/MM/YYYY")</f>
        <v>14/07/2025</v>
      </c>
      <c r="F3" s="133"/>
      <c r="G3" s="133"/>
      <c r="H3" s="133"/>
    </row>
    <row r="4" spans="1:12" ht="15" customHeight="1" x14ac:dyDescent="0.25">
      <c r="A4" s="133" t="s">
        <v>2</v>
      </c>
      <c r="B4" s="133"/>
      <c r="C4" s="133"/>
      <c r="D4" s="133"/>
      <c r="E4" s="133" t="s">
        <v>175</v>
      </c>
      <c r="F4" s="133"/>
      <c r="G4" s="133"/>
      <c r="H4" s="133"/>
    </row>
    <row r="5" spans="1:12" x14ac:dyDescent="0.25">
      <c r="A5" s="133" t="s">
        <v>3</v>
      </c>
      <c r="B5" s="133"/>
      <c r="C5" s="133"/>
      <c r="D5" s="133"/>
      <c r="E5" s="176">
        <v>45847</v>
      </c>
      <c r="F5" s="133"/>
      <c r="G5" s="133"/>
      <c r="H5" s="133"/>
    </row>
    <row r="6" spans="1:12" ht="16.5" customHeight="1" x14ac:dyDescent="0.25">
      <c r="A6" s="133" t="s">
        <v>4</v>
      </c>
      <c r="B6" s="133"/>
      <c r="C6" s="133"/>
      <c r="D6" s="133"/>
      <c r="E6" s="133" t="s">
        <v>176</v>
      </c>
      <c r="F6" s="133"/>
      <c r="G6" s="133"/>
      <c r="H6" s="133"/>
    </row>
    <row r="7" spans="1:12" ht="15" customHeight="1" x14ac:dyDescent="0.25">
      <c r="A7" s="133" t="s">
        <v>5</v>
      </c>
      <c r="B7" s="133"/>
      <c r="C7" s="133"/>
      <c r="D7" s="133"/>
      <c r="E7" s="133" t="str">
        <f>E6</f>
        <v>Leela Associates</v>
      </c>
      <c r="F7" s="133"/>
      <c r="G7" s="133"/>
      <c r="H7" s="133"/>
    </row>
    <row r="8" spans="1:12" x14ac:dyDescent="0.25">
      <c r="A8" s="133" t="s">
        <v>6</v>
      </c>
      <c r="B8" s="133"/>
      <c r="C8" s="133"/>
      <c r="D8" s="133"/>
      <c r="E8" s="143" t="s">
        <v>177</v>
      </c>
      <c r="F8" s="143"/>
      <c r="G8" s="143"/>
      <c r="H8" s="143"/>
    </row>
    <row r="9" spans="1:12" x14ac:dyDescent="0.25">
      <c r="A9" s="133" t="s">
        <v>168</v>
      </c>
      <c r="B9" s="133"/>
      <c r="C9" s="133"/>
      <c r="D9" s="133"/>
      <c r="E9" s="89" t="s">
        <v>178</v>
      </c>
      <c r="F9" s="133"/>
      <c r="G9" s="133"/>
      <c r="H9" s="133"/>
    </row>
    <row r="10" spans="1:12" x14ac:dyDescent="0.25">
      <c r="A10" s="133" t="s">
        <v>169</v>
      </c>
      <c r="B10" s="133"/>
      <c r="C10" s="133"/>
      <c r="D10" s="133"/>
      <c r="E10" s="133" t="s">
        <v>227</v>
      </c>
      <c r="F10" s="133"/>
      <c r="G10" s="133"/>
      <c r="H10" s="133"/>
      <c r="I10" s="133" t="s">
        <v>205</v>
      </c>
      <c r="J10" s="133"/>
      <c r="K10" s="133"/>
      <c r="L10" s="133"/>
    </row>
    <row r="11" spans="1:12" x14ac:dyDescent="0.25">
      <c r="A11" s="133" t="s">
        <v>7</v>
      </c>
      <c r="B11" s="133"/>
      <c r="C11" s="133"/>
      <c r="D11" s="133"/>
      <c r="E11" s="133" t="s">
        <v>200</v>
      </c>
      <c r="F11" s="133"/>
      <c r="G11" s="133"/>
      <c r="H11" s="133"/>
    </row>
    <row r="12" spans="1:12" x14ac:dyDescent="0.25">
      <c r="A12" s="133" t="s">
        <v>170</v>
      </c>
      <c r="B12" s="133"/>
      <c r="C12" s="133"/>
      <c r="D12" s="133"/>
      <c r="E12" s="133" t="s">
        <v>29</v>
      </c>
      <c r="F12" s="133"/>
      <c r="G12" s="133"/>
      <c r="H12" s="133"/>
    </row>
    <row r="13" spans="1:12" ht="32.25" customHeight="1" x14ac:dyDescent="0.25">
      <c r="A13" s="75" t="s">
        <v>8</v>
      </c>
      <c r="B13" s="75"/>
      <c r="C13" s="75"/>
      <c r="D13" s="75"/>
      <c r="E13" s="169" t="s">
        <v>179</v>
      </c>
      <c r="F13" s="169"/>
      <c r="G13" s="169"/>
      <c r="H13" s="169"/>
    </row>
    <row r="14" spans="1:12" x14ac:dyDescent="0.25">
      <c r="A14" s="75" t="s">
        <v>9</v>
      </c>
      <c r="B14" s="75"/>
      <c r="C14" s="75"/>
      <c r="D14" s="75"/>
      <c r="E14" s="169" t="s">
        <v>180</v>
      </c>
      <c r="F14" s="155"/>
      <c r="G14" s="155"/>
      <c r="H14" s="155"/>
    </row>
    <row r="15" spans="1:12" ht="50.25" customHeight="1" x14ac:dyDescent="0.25">
      <c r="A15" s="80" t="s">
        <v>10</v>
      </c>
      <c r="B15" s="80"/>
      <c r="C15" s="8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Vasant Leela, Survey No.33/1 &amp; 28/1, CTS No. 4379, 4390, near Ashiyana's Lake View Building No.2, Internal Road, Gagangiri Nagar, Khopoli, Khopoli East, Khalapur, Raigad - 410203.</v>
      </c>
      <c r="D15" s="80"/>
      <c r="E15" s="80"/>
      <c r="F15" s="80"/>
      <c r="G15" s="80"/>
      <c r="H15" s="80"/>
    </row>
    <row r="16" spans="1:12" x14ac:dyDescent="0.25">
      <c r="A16" s="169" t="s">
        <v>174</v>
      </c>
      <c r="B16" s="169"/>
      <c r="C16" s="169" t="s">
        <v>224</v>
      </c>
      <c r="D16" s="169"/>
      <c r="E16" s="169"/>
      <c r="F16" s="169"/>
      <c r="G16" s="169"/>
      <c r="H16" s="169"/>
    </row>
    <row r="17" spans="1:8" ht="15.75" customHeight="1" x14ac:dyDescent="0.25">
      <c r="A17" s="89" t="s">
        <v>164</v>
      </c>
      <c r="B17" s="89"/>
      <c r="C17" s="89" t="s">
        <v>213</v>
      </c>
      <c r="D17" s="89"/>
      <c r="E17" s="89"/>
      <c r="F17" s="89"/>
      <c r="G17" s="89"/>
      <c r="H17" s="89"/>
    </row>
    <row r="18" spans="1:8" ht="15.75" customHeight="1" x14ac:dyDescent="0.25">
      <c r="A18" s="80" t="s">
        <v>11</v>
      </c>
      <c r="B18" s="80"/>
      <c r="C18" s="133" t="s">
        <v>187</v>
      </c>
      <c r="D18" s="133"/>
      <c r="E18" s="80" t="s">
        <v>72</v>
      </c>
      <c r="F18" s="80"/>
      <c r="G18" s="89" t="s">
        <v>181</v>
      </c>
      <c r="H18" s="89"/>
    </row>
    <row r="19" spans="1:8" x14ac:dyDescent="0.25">
      <c r="A19" s="75" t="s">
        <v>13</v>
      </c>
      <c r="B19" s="75"/>
      <c r="C19" s="89" t="s">
        <v>214</v>
      </c>
      <c r="D19" s="89"/>
      <c r="E19" s="80" t="s">
        <v>12</v>
      </c>
      <c r="F19" s="80"/>
      <c r="G19" s="170" t="s">
        <v>182</v>
      </c>
      <c r="H19" s="170"/>
    </row>
    <row r="20" spans="1:8" x14ac:dyDescent="0.25">
      <c r="A20" s="75" t="s">
        <v>73</v>
      </c>
      <c r="B20" s="75"/>
      <c r="C20" s="89" t="s">
        <v>183</v>
      </c>
      <c r="D20" s="89"/>
      <c r="E20" s="80" t="s">
        <v>14</v>
      </c>
      <c r="F20" s="80"/>
      <c r="G20" s="169">
        <v>410203</v>
      </c>
      <c r="H20" s="169"/>
    </row>
    <row r="21" spans="1:8" ht="32.25" customHeight="1" x14ac:dyDescent="0.25">
      <c r="A21" s="75" t="s">
        <v>123</v>
      </c>
      <c r="B21" s="75"/>
      <c r="C21" s="89" t="s">
        <v>202</v>
      </c>
      <c r="D21" s="89"/>
      <c r="E21" s="80" t="s">
        <v>15</v>
      </c>
      <c r="F21" s="80"/>
      <c r="G21" s="169" t="s">
        <v>188</v>
      </c>
      <c r="H21" s="169"/>
    </row>
    <row r="22" spans="1:8" ht="15" customHeight="1" x14ac:dyDescent="0.25">
      <c r="A22" s="80" t="s">
        <v>75</v>
      </c>
      <c r="B22" s="80"/>
      <c r="C22" s="80"/>
      <c r="D22" s="80"/>
      <c r="E22" s="133" t="s">
        <v>16</v>
      </c>
      <c r="F22" s="133"/>
      <c r="G22" s="133"/>
      <c r="H22" s="133"/>
    </row>
    <row r="23" spans="1:8" ht="18.75" customHeight="1" x14ac:dyDescent="0.25">
      <c r="A23" s="80"/>
      <c r="B23" s="80"/>
      <c r="C23" s="80"/>
      <c r="D23" s="80"/>
      <c r="E23" s="133"/>
      <c r="F23" s="133"/>
      <c r="G23" s="133"/>
      <c r="H23" s="133"/>
    </row>
    <row r="24" spans="1:8" ht="15" customHeight="1" x14ac:dyDescent="0.25">
      <c r="A24" s="80" t="s">
        <v>17</v>
      </c>
      <c r="B24" s="80"/>
      <c r="C24" s="80"/>
      <c r="D24" s="80"/>
      <c r="E24" s="89" t="s">
        <v>18</v>
      </c>
      <c r="F24" s="89"/>
      <c r="G24" s="89"/>
      <c r="H24" s="89"/>
    </row>
    <row r="25" spans="1:8" ht="15" customHeight="1" x14ac:dyDescent="0.25">
      <c r="A25" s="75" t="s">
        <v>19</v>
      </c>
      <c r="B25" s="75"/>
      <c r="C25" s="75"/>
      <c r="D25" s="75"/>
      <c r="E25" s="89" t="str">
        <f>IF(AND(G19="Mumbai"),"Upper Class","Middle Class")</f>
        <v>Middle Class</v>
      </c>
      <c r="F25" s="89"/>
      <c r="G25" s="89"/>
      <c r="H25" s="89"/>
    </row>
    <row r="26" spans="1:8" x14ac:dyDescent="0.25">
      <c r="A26" s="75" t="s">
        <v>20</v>
      </c>
      <c r="B26" s="75"/>
      <c r="C26" s="75"/>
      <c r="D26" s="75"/>
      <c r="E26" s="89" t="s">
        <v>21</v>
      </c>
      <c r="F26" s="89"/>
      <c r="G26" s="89"/>
      <c r="H26" s="89"/>
    </row>
    <row r="27" spans="1:8" ht="15.75" customHeight="1" x14ac:dyDescent="0.25">
      <c r="A27" s="75" t="s">
        <v>22</v>
      </c>
      <c r="B27" s="75"/>
      <c r="C27" s="75"/>
      <c r="D27" s="75"/>
      <c r="E27" s="89" t="str">
        <f>IF(AND(G19="Mumbai"),"Developed","Developing")</f>
        <v>Developing</v>
      </c>
      <c r="F27" s="89"/>
      <c r="G27" s="89"/>
      <c r="H27" s="89"/>
    </row>
    <row r="28" spans="1:8" x14ac:dyDescent="0.25">
      <c r="A28" s="75" t="s">
        <v>23</v>
      </c>
      <c r="B28" s="75"/>
      <c r="C28" s="75"/>
      <c r="D28" s="75"/>
      <c r="E28" s="89" t="s">
        <v>24</v>
      </c>
      <c r="F28" s="89"/>
      <c r="G28" s="89"/>
      <c r="H28" s="89"/>
    </row>
    <row r="29" spans="1:8" ht="15.75" customHeight="1" x14ac:dyDescent="0.25">
      <c r="A29" s="75" t="s">
        <v>80</v>
      </c>
      <c r="B29" s="75"/>
      <c r="C29" s="75"/>
      <c r="D29" s="75"/>
      <c r="E29" s="89" t="s">
        <v>81</v>
      </c>
      <c r="F29" s="89"/>
      <c r="G29" s="89"/>
      <c r="H29" s="89"/>
    </row>
    <row r="30" spans="1:8" ht="15" customHeight="1" x14ac:dyDescent="0.25">
      <c r="A30" s="75" t="s">
        <v>32</v>
      </c>
      <c r="B30" s="75"/>
      <c r="C30" s="75"/>
      <c r="D30" s="75"/>
      <c r="E30" s="8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9"/>
      <c r="G30" s="89"/>
      <c r="H30" s="89"/>
    </row>
    <row r="31" spans="1:8" ht="15.75" customHeight="1" x14ac:dyDescent="0.25">
      <c r="A31" s="75" t="s">
        <v>92</v>
      </c>
      <c r="B31" s="75"/>
      <c r="C31" s="75"/>
      <c r="D31" s="75"/>
      <c r="E31" s="89" t="s">
        <v>33</v>
      </c>
      <c r="F31" s="89"/>
      <c r="G31" s="89"/>
      <c r="H31" s="89"/>
    </row>
    <row r="32" spans="1:8" s="21" customFormat="1" x14ac:dyDescent="0.25">
      <c r="A32" s="168" t="s">
        <v>93</v>
      </c>
      <c r="B32" s="168"/>
      <c r="C32" s="165" t="s">
        <v>171</v>
      </c>
      <c r="D32" s="166"/>
      <c r="E32" s="167"/>
      <c r="F32" s="165" t="s">
        <v>30</v>
      </c>
      <c r="G32" s="166"/>
      <c r="H32" s="167"/>
    </row>
    <row r="33" spans="1:8" s="21" customFormat="1" x14ac:dyDescent="0.25">
      <c r="A33" s="76" t="s">
        <v>25</v>
      </c>
      <c r="B33" s="76" t="s">
        <v>29</v>
      </c>
      <c r="C33" s="77" t="s">
        <v>192</v>
      </c>
      <c r="D33" s="78"/>
      <c r="E33" s="79"/>
      <c r="F33" s="77" t="s">
        <v>189</v>
      </c>
      <c r="G33" s="78"/>
      <c r="H33" s="79"/>
    </row>
    <row r="34" spans="1:8" x14ac:dyDescent="0.25">
      <c r="A34" s="76" t="s">
        <v>26</v>
      </c>
      <c r="B34" s="76" t="s">
        <v>29</v>
      </c>
      <c r="C34" s="77" t="s">
        <v>190</v>
      </c>
      <c r="D34" s="78"/>
      <c r="E34" s="79"/>
      <c r="F34" s="77" t="s">
        <v>187</v>
      </c>
      <c r="G34" s="78"/>
      <c r="H34" s="79"/>
    </row>
    <row r="35" spans="1:8" s="21" customFormat="1" x14ac:dyDescent="0.25">
      <c r="A35" s="76" t="s">
        <v>28</v>
      </c>
      <c r="B35" s="76" t="s">
        <v>29</v>
      </c>
      <c r="C35" s="77" t="s">
        <v>215</v>
      </c>
      <c r="D35" s="78"/>
      <c r="E35" s="79"/>
      <c r="F35" s="77" t="s">
        <v>216</v>
      </c>
      <c r="G35" s="78"/>
      <c r="H35" s="79"/>
    </row>
    <row r="36" spans="1:8" x14ac:dyDescent="0.25">
      <c r="A36" s="76" t="s">
        <v>27</v>
      </c>
      <c r="B36" s="76" t="s">
        <v>29</v>
      </c>
      <c r="C36" s="77" t="s">
        <v>191</v>
      </c>
      <c r="D36" s="78"/>
      <c r="E36" s="79"/>
      <c r="F36" s="171" t="s">
        <v>202</v>
      </c>
      <c r="G36" s="172"/>
      <c r="H36" s="173"/>
    </row>
    <row r="37" spans="1:8" x14ac:dyDescent="0.25">
      <c r="A37" s="75" t="s">
        <v>31</v>
      </c>
      <c r="B37" s="75"/>
      <c r="C37" s="75"/>
      <c r="D37" s="75"/>
      <c r="E37" s="75"/>
      <c r="F37" s="75"/>
      <c r="G37" s="75"/>
      <c r="H37" s="75"/>
    </row>
    <row r="38" spans="1:8" ht="15.75" customHeight="1" x14ac:dyDescent="0.25">
      <c r="A38" s="87" t="s">
        <v>166</v>
      </c>
      <c r="B38" s="87"/>
      <c r="C38" s="75" t="s">
        <v>186</v>
      </c>
      <c r="D38" s="75"/>
      <c r="E38" s="75"/>
      <c r="F38" s="75"/>
      <c r="G38" s="75"/>
      <c r="H38" s="75"/>
    </row>
    <row r="39" spans="1:8" x14ac:dyDescent="0.25">
      <c r="A39" s="87" t="s">
        <v>163</v>
      </c>
      <c r="B39" s="87"/>
      <c r="C39" s="88" t="s">
        <v>223</v>
      </c>
      <c r="D39" s="89"/>
      <c r="E39" s="89"/>
      <c r="F39" s="89"/>
      <c r="G39" s="89"/>
      <c r="H39" s="89"/>
    </row>
    <row r="40" spans="1:8" x14ac:dyDescent="0.25">
      <c r="A40" s="87" t="s">
        <v>34</v>
      </c>
      <c r="B40" s="87"/>
      <c r="C40" s="87"/>
      <c r="D40" s="87"/>
      <c r="E40" s="87"/>
      <c r="F40" s="87"/>
      <c r="G40" s="87"/>
      <c r="H40" s="87"/>
    </row>
    <row r="41" spans="1:8" x14ac:dyDescent="0.25">
      <c r="A41" s="75" t="s">
        <v>35</v>
      </c>
      <c r="B41" s="75"/>
      <c r="C41" s="75"/>
      <c r="D41" s="75"/>
      <c r="E41" s="151">
        <v>1580</v>
      </c>
      <c r="F41" s="151"/>
      <c r="G41" s="151"/>
      <c r="H41" s="151"/>
    </row>
    <row r="42" spans="1:8" x14ac:dyDescent="0.25">
      <c r="A42" s="75" t="s">
        <v>36</v>
      </c>
      <c r="B42" s="75"/>
      <c r="C42" s="75"/>
      <c r="D42" s="75"/>
      <c r="E42" s="153">
        <v>1.1000000000000001</v>
      </c>
      <c r="F42" s="153"/>
      <c r="G42" s="153"/>
      <c r="H42" s="153"/>
    </row>
    <row r="43" spans="1:8" x14ac:dyDescent="0.25">
      <c r="A43" s="75" t="s">
        <v>37</v>
      </c>
      <c r="B43" s="75"/>
      <c r="C43" s="75"/>
      <c r="D43" s="75"/>
      <c r="E43" s="153">
        <f>E45/E41-E42</f>
        <v>2.2823544303797467</v>
      </c>
      <c r="F43" s="153"/>
      <c r="G43" s="153"/>
      <c r="H43" s="153"/>
    </row>
    <row r="44" spans="1:8" x14ac:dyDescent="0.25">
      <c r="A44" s="75" t="s">
        <v>38</v>
      </c>
      <c r="B44" s="75"/>
      <c r="C44" s="75"/>
      <c r="D44" s="75"/>
      <c r="E44" s="153">
        <f>E42+E43</f>
        <v>3.3823544303797468</v>
      </c>
      <c r="F44" s="153"/>
      <c r="G44" s="153"/>
      <c r="H44" s="153"/>
    </row>
    <row r="45" spans="1:8" x14ac:dyDescent="0.25">
      <c r="A45" s="75" t="s">
        <v>91</v>
      </c>
      <c r="B45" s="75"/>
      <c r="C45" s="75"/>
      <c r="D45" s="75"/>
      <c r="E45" s="154">
        <v>5344.12</v>
      </c>
      <c r="F45" s="154"/>
      <c r="G45" s="154"/>
      <c r="H45" s="154"/>
    </row>
    <row r="46" spans="1:8" x14ac:dyDescent="0.25">
      <c r="A46" s="133" t="s">
        <v>39</v>
      </c>
      <c r="B46" s="133"/>
      <c r="C46" s="133"/>
      <c r="D46" s="133"/>
      <c r="E46" s="155" t="s">
        <v>122</v>
      </c>
      <c r="F46" s="155"/>
      <c r="G46" s="155"/>
      <c r="H46" s="155"/>
    </row>
    <row r="47" spans="1:8" x14ac:dyDescent="0.25">
      <c r="A47" s="87" t="s">
        <v>40</v>
      </c>
      <c r="B47" s="87"/>
      <c r="C47" s="87"/>
      <c r="D47" s="87"/>
      <c r="E47" s="87"/>
      <c r="F47" s="87"/>
      <c r="G47" s="87"/>
      <c r="H47" s="87"/>
    </row>
    <row r="48" spans="1:8" ht="33.75" customHeight="1" x14ac:dyDescent="0.25">
      <c r="A48" s="90" t="s">
        <v>151</v>
      </c>
      <c r="B48" s="91"/>
      <c r="C48" s="92" t="s">
        <v>204</v>
      </c>
      <c r="D48" s="93"/>
      <c r="E48" s="93"/>
      <c r="F48" s="93"/>
      <c r="G48" s="93"/>
      <c r="H48" s="94"/>
    </row>
    <row r="49" spans="1:14" ht="15.75" customHeight="1" x14ac:dyDescent="0.25">
      <c r="A49" s="90" t="s">
        <v>41</v>
      </c>
      <c r="B49" s="91"/>
      <c r="C49" s="90" t="s">
        <v>185</v>
      </c>
      <c r="D49" s="95"/>
      <c r="E49" s="91"/>
      <c r="F49" s="17" t="s">
        <v>42</v>
      </c>
      <c r="G49" s="101">
        <v>44501</v>
      </c>
      <c r="H49" s="91"/>
    </row>
    <row r="50" spans="1:14" x14ac:dyDescent="0.25">
      <c r="A50" s="90" t="s">
        <v>43</v>
      </c>
      <c r="B50" s="91"/>
      <c r="C50" s="90" t="str">
        <f>C49</f>
        <v>KMC/TP/2648</v>
      </c>
      <c r="D50" s="95"/>
      <c r="E50" s="91"/>
      <c r="F50" s="17" t="s">
        <v>42</v>
      </c>
      <c r="G50" s="101">
        <f>G49</f>
        <v>44501</v>
      </c>
      <c r="H50" s="91"/>
    </row>
    <row r="51" spans="1:14" s="22" customFormat="1" ht="15.75" customHeight="1" x14ac:dyDescent="0.25">
      <c r="A51" s="102" t="s">
        <v>155</v>
      </c>
      <c r="B51" s="103"/>
      <c r="C51" s="90" t="s">
        <v>184</v>
      </c>
      <c r="D51" s="95"/>
      <c r="E51" s="91"/>
      <c r="F51" s="17" t="s">
        <v>42</v>
      </c>
      <c r="G51" s="101">
        <v>44501</v>
      </c>
      <c r="H51" s="91"/>
    </row>
    <row r="52" spans="1:14" s="22" customFormat="1" x14ac:dyDescent="0.25">
      <c r="A52" s="104"/>
      <c r="B52" s="105"/>
      <c r="C52" s="90" t="s">
        <v>210</v>
      </c>
      <c r="D52" s="95"/>
      <c r="E52" s="95"/>
      <c r="F52" s="95"/>
      <c r="G52" s="95"/>
      <c r="H52" s="91"/>
    </row>
    <row r="53" spans="1:14" x14ac:dyDescent="0.25">
      <c r="A53" s="201" t="s">
        <v>44</v>
      </c>
      <c r="B53" s="202"/>
      <c r="C53" s="201" t="s">
        <v>104</v>
      </c>
      <c r="D53" s="203"/>
      <c r="E53" s="202"/>
      <c r="F53" s="45" t="s">
        <v>42</v>
      </c>
      <c r="G53" s="204" t="s">
        <v>29</v>
      </c>
      <c r="H53" s="205"/>
    </row>
    <row r="54" spans="1:14" x14ac:dyDescent="0.25">
      <c r="A54" s="183" t="s">
        <v>46</v>
      </c>
      <c r="B54" s="183"/>
      <c r="C54" s="183"/>
      <c r="D54" s="183"/>
      <c r="E54" s="183"/>
      <c r="F54" s="183"/>
      <c r="G54" s="183"/>
      <c r="H54" s="183"/>
    </row>
    <row r="55" spans="1:14" x14ac:dyDescent="0.25">
      <c r="A55" s="80" t="s">
        <v>90</v>
      </c>
      <c r="B55" s="80"/>
      <c r="C55" s="80"/>
      <c r="D55" s="75">
        <f>E45</f>
        <v>5344.12</v>
      </c>
      <c r="E55" s="75"/>
      <c r="F55" s="75"/>
      <c r="G55" s="75"/>
      <c r="H55" s="75"/>
    </row>
    <row r="56" spans="1:14" x14ac:dyDescent="0.25">
      <c r="A56" s="89" t="s">
        <v>47</v>
      </c>
      <c r="B56" s="133"/>
      <c r="C56" s="133"/>
      <c r="D56" s="155" t="s">
        <v>203</v>
      </c>
      <c r="E56" s="155"/>
      <c r="F56" s="155"/>
      <c r="G56" s="155"/>
      <c r="H56" s="155"/>
      <c r="I56" s="23"/>
    </row>
    <row r="57" spans="1:14" x14ac:dyDescent="0.25">
      <c r="A57" s="98" t="s">
        <v>48</v>
      </c>
      <c r="B57" s="99"/>
      <c r="C57" s="100"/>
      <c r="D57" s="96" t="s">
        <v>210</v>
      </c>
      <c r="E57" s="97"/>
      <c r="F57" s="97"/>
      <c r="G57" s="97"/>
      <c r="H57" s="97"/>
    </row>
    <row r="58" spans="1:14" ht="15.75" customHeight="1" x14ac:dyDescent="0.25">
      <c r="A58" s="98" t="s">
        <v>88</v>
      </c>
      <c r="B58" s="99"/>
      <c r="C58" s="99"/>
      <c r="D58" s="155" t="s">
        <v>210</v>
      </c>
      <c r="E58" s="155"/>
      <c r="F58" s="155"/>
      <c r="G58" s="155"/>
      <c r="H58" s="155"/>
    </row>
    <row r="59" spans="1:14" ht="15.75" customHeight="1" x14ac:dyDescent="0.25">
      <c r="A59" s="75" t="s">
        <v>45</v>
      </c>
      <c r="B59" s="75"/>
      <c r="C59" s="75"/>
      <c r="D59" s="80" t="s">
        <v>193</v>
      </c>
      <c r="E59" s="80"/>
      <c r="F59" s="80"/>
      <c r="G59" s="80"/>
      <c r="H59" s="80"/>
      <c r="J59" s="24"/>
      <c r="K59" s="23"/>
      <c r="N59" s="23"/>
    </row>
    <row r="60" spans="1:14" ht="15.75" customHeight="1" x14ac:dyDescent="0.25">
      <c r="A60" s="75" t="s">
        <v>86</v>
      </c>
      <c r="B60" s="75"/>
      <c r="C60" s="75"/>
      <c r="D60" s="152" t="str">
        <f>(IF(G53="NA","60 Years After Completion",IF(G53&lt;&gt;"NA",""&amp;60-ROUNDDOWN((E3-G53)/360,0)&amp;" Years"," ")))</f>
        <v>60 Years After Completion</v>
      </c>
      <c r="E60" s="152"/>
      <c r="F60" s="152"/>
      <c r="G60" s="152"/>
      <c r="H60" s="152"/>
      <c r="N60" s="23"/>
    </row>
    <row r="61" spans="1:14" ht="15.75" customHeight="1" x14ac:dyDescent="0.25">
      <c r="A61" s="75" t="s">
        <v>87</v>
      </c>
      <c r="B61" s="75"/>
      <c r="C61" s="75"/>
      <c r="D61" s="80" t="s">
        <v>24</v>
      </c>
      <c r="E61" s="80"/>
      <c r="F61" s="80"/>
      <c r="G61" s="80"/>
      <c r="H61" s="80"/>
      <c r="J61" s="25"/>
      <c r="K61" s="25"/>
    </row>
    <row r="62" spans="1:14" ht="66.75" customHeight="1" x14ac:dyDescent="0.25">
      <c r="A62" s="75" t="s">
        <v>74</v>
      </c>
      <c r="B62" s="75"/>
      <c r="C62" s="75"/>
      <c r="D62" s="89" t="s">
        <v>217</v>
      </c>
      <c r="E62" s="80"/>
      <c r="F62" s="80"/>
      <c r="G62" s="80"/>
      <c r="H62" s="80"/>
    </row>
    <row r="63" spans="1:14" x14ac:dyDescent="0.25">
      <c r="A63" s="80" t="s">
        <v>149</v>
      </c>
      <c r="B63" s="80"/>
      <c r="C63" s="80"/>
      <c r="D63" s="80" t="s">
        <v>29</v>
      </c>
      <c r="E63" s="80"/>
      <c r="F63" s="80"/>
      <c r="G63" s="80"/>
      <c r="H63" s="80"/>
      <c r="I63" s="26"/>
      <c r="J63" s="26"/>
      <c r="K63" s="26"/>
      <c r="L63" s="26"/>
      <c r="M63" s="26"/>
      <c r="N63" s="26"/>
    </row>
    <row r="64" spans="1:14" ht="15.75" customHeight="1" x14ac:dyDescent="0.25">
      <c r="A64" s="149" t="s">
        <v>85</v>
      </c>
      <c r="B64" s="149"/>
      <c r="C64" s="149"/>
      <c r="D64" s="150" t="str">
        <f ca="1">(IF(G70&gt;95%,"Nothing",IF(G70&gt;0%,"Cement, Aggregate, Steel, etc",IF(G70=0%,"Work not yet Started"))))</f>
        <v>Cement, Aggregate, Steel, etc</v>
      </c>
      <c r="E64" s="150"/>
      <c r="F64" s="150"/>
      <c r="G64" s="150"/>
      <c r="H64" s="150"/>
      <c r="J64" s="25"/>
    </row>
    <row r="65" spans="1:10" ht="33.75" customHeight="1" thickBot="1" x14ac:dyDescent="0.3">
      <c r="A65" s="157" t="s">
        <v>117</v>
      </c>
      <c r="B65" s="157"/>
      <c r="C65" s="157"/>
      <c r="D65" s="150" t="str">
        <f ca="1">(IF(D64="Nothing","Yes",IF(D64="Cement, Aggregate, Steel, etc","Under Construction",IF(D64="Work not yet Started","Work not yet Started"))))</f>
        <v>Under Construction</v>
      </c>
      <c r="E65" s="150"/>
      <c r="F65" s="150" t="str">
        <f ca="1">(IF(D64="Nothing","Yes",IF(D64="Cement, Aggregate, Steel, etc","Under Construction",IF(D64="Work not yet Started","Work not yet Started"))))</f>
        <v>Under Construction</v>
      </c>
      <c r="G65" s="150"/>
      <c r="H65" s="150"/>
    </row>
    <row r="66" spans="1:10" ht="15.75" customHeight="1" x14ac:dyDescent="0.25">
      <c r="A66" s="144" t="s">
        <v>141</v>
      </c>
      <c r="B66" s="145"/>
      <c r="C66" s="146" t="str">
        <f>D58</f>
        <v>Building No.1 = Gr + 1st to 9th Floor</v>
      </c>
      <c r="D66" s="147"/>
      <c r="E66" s="147"/>
      <c r="F66" s="147"/>
      <c r="G66" s="147"/>
      <c r="H66" s="148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5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5 Floor</v>
      </c>
    </row>
    <row r="67" spans="1:10" x14ac:dyDescent="0.25">
      <c r="A67" s="15" t="s">
        <v>143</v>
      </c>
      <c r="B67" s="53">
        <f>IF(AND(ISNUMBER(SEARCH("1B",C66))),1,IF(AND(ISNUMBER(SEARCH("2B",C66))),2,IF(AND(ISNUMBER(SEARCH("3B",C66))),3,IF(AND(ISNUMBER(SEARCH("4B",C66))),4,IF(ISNUMBER(SEARCH("5B",C66)),5,0)))))</f>
        <v>0</v>
      </c>
      <c r="C67" s="47" t="s">
        <v>71</v>
      </c>
      <c r="D67" s="47">
        <v>1</v>
      </c>
      <c r="E67" s="47" t="s">
        <v>70</v>
      </c>
      <c r="F67" s="54">
        <v>0</v>
      </c>
      <c r="G67" s="48" t="s">
        <v>79</v>
      </c>
      <c r="H67" s="16">
        <f ca="1">--TRIM(RIGHT(SUBSTITUTE(LEFT(C66,_xlfn.AGGREGATE(16,6,FIND({0,1,2,3,4,5,6,7,8,9},C66,ROW(INDIRECT("1:"&amp;LEN(C66)))),1))," ",REPT(" ",LEN(C66))),LEN(C66)))</f>
        <v>9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25">
      <c r="A68" s="142" t="s">
        <v>89</v>
      </c>
      <c r="B68" s="143"/>
      <c r="C68" s="106" t="str">
        <f ca="1">I66</f>
        <v>Excavation, Plinth, RCC Slab, Brickwork, Internal Plaster, External Plaster, Flooring, Painting Completed, Finishing upto 5 Floor Completed</v>
      </c>
      <c r="D68" s="106"/>
      <c r="E68" s="106"/>
      <c r="F68" s="106"/>
      <c r="G68" s="106"/>
      <c r="H68" s="107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25">
      <c r="A69" s="108" t="s">
        <v>49</v>
      </c>
      <c r="B69" s="109"/>
      <c r="C69" s="43" t="s">
        <v>140</v>
      </c>
      <c r="D69" s="43" t="s">
        <v>82</v>
      </c>
      <c r="E69" s="109" t="s">
        <v>84</v>
      </c>
      <c r="F69" s="109"/>
      <c r="G69" s="109" t="s">
        <v>83</v>
      </c>
      <c r="H69" s="126"/>
      <c r="I69" s="13" t="s">
        <v>142</v>
      </c>
      <c r="J69" s="27">
        <f ca="1">H67*25%</f>
        <v>2.25</v>
      </c>
    </row>
    <row r="70" spans="1:10" x14ac:dyDescent="0.25">
      <c r="A70" s="108" t="s">
        <v>129</v>
      </c>
      <c r="B70" s="109"/>
      <c r="C70" s="43">
        <f ca="1">J71</f>
        <v>9</v>
      </c>
      <c r="D70" s="18">
        <f ca="1">((100/H67)*C70)/100</f>
        <v>1</v>
      </c>
      <c r="E70" s="81">
        <f ca="1">(((C71/H67*10)+(40/(D67+F67+H67)*C72)+(7.5/(H67)*C73)+(7.5/(H67)*C74)+(10/H67*C75)+(10/H67*C76)+(5/H67*C77)+(5/H67*C78)+(5/H67*C79))/100)</f>
        <v>0.9277777777777777</v>
      </c>
      <c r="F70" s="82"/>
      <c r="G70" s="81">
        <f ca="1">((((C70/H67)*20)+((C71/H67)*25)+(30/(H67+F67+D67)*C72)+(5/H67*C73)+(5/H67*C74)+(5/H67*C75)+(5/H67*C76)+(0/H67*C77)+(0/H67*C78)+(5/H67*C79))/100)</f>
        <v>0.95</v>
      </c>
      <c r="H70" s="137"/>
      <c r="I70" s="13" t="s">
        <v>99</v>
      </c>
      <c r="J70" s="28">
        <f ca="1">H67*50%</f>
        <v>4.5</v>
      </c>
    </row>
    <row r="71" spans="1:10" x14ac:dyDescent="0.25">
      <c r="A71" s="108" t="s">
        <v>50</v>
      </c>
      <c r="B71" s="109"/>
      <c r="C71" s="43">
        <f ca="1">J79</f>
        <v>9</v>
      </c>
      <c r="D71" s="18">
        <f ca="1">((100/H67)*C71)/100</f>
        <v>1</v>
      </c>
      <c r="E71" s="83"/>
      <c r="F71" s="84"/>
      <c r="G71" s="83"/>
      <c r="H71" s="138"/>
      <c r="I71" s="13" t="s">
        <v>100</v>
      </c>
      <c r="J71" s="28">
        <f ca="1">H67</f>
        <v>9</v>
      </c>
    </row>
    <row r="72" spans="1:10" ht="15.75" customHeight="1" x14ac:dyDescent="0.25">
      <c r="A72" s="108" t="s">
        <v>130</v>
      </c>
      <c r="B72" s="109"/>
      <c r="C72" s="43">
        <v>10</v>
      </c>
      <c r="D72" s="18">
        <f ca="1">((100/(D67+F67+H67))*C72)/100</f>
        <v>1</v>
      </c>
      <c r="E72" s="83"/>
      <c r="F72" s="84"/>
      <c r="G72" s="83"/>
      <c r="H72" s="138"/>
      <c r="I72" s="13" t="s">
        <v>101</v>
      </c>
      <c r="J72" s="29">
        <f ca="1">(IF(B67&gt;1,(H67/(B67+2)),H67/4))</f>
        <v>2.25</v>
      </c>
    </row>
    <row r="73" spans="1:10" ht="15.75" customHeight="1" x14ac:dyDescent="0.25">
      <c r="A73" s="108" t="s">
        <v>137</v>
      </c>
      <c r="B73" s="109" t="s">
        <v>131</v>
      </c>
      <c r="C73" s="43">
        <v>9</v>
      </c>
      <c r="D73" s="18">
        <f ca="1">((100/H67)*C73)/100</f>
        <v>1</v>
      </c>
      <c r="E73" s="83"/>
      <c r="F73" s="84"/>
      <c r="G73" s="83"/>
      <c r="H73" s="138"/>
      <c r="I73" s="13" t="s">
        <v>102</v>
      </c>
      <c r="J73" s="29">
        <f ca="1">(IF(B67&gt;1,(H67/(B67+2)+J72),H67/4+J72))</f>
        <v>4.5</v>
      </c>
    </row>
    <row r="74" spans="1:10" ht="15.75" customHeight="1" x14ac:dyDescent="0.25">
      <c r="A74" s="108" t="s">
        <v>138</v>
      </c>
      <c r="B74" s="109" t="s">
        <v>131</v>
      </c>
      <c r="C74" s="43">
        <v>9</v>
      </c>
      <c r="D74" s="18">
        <f ca="1">((100/H67)*C74)/100</f>
        <v>1</v>
      </c>
      <c r="E74" s="83"/>
      <c r="F74" s="84"/>
      <c r="G74" s="83"/>
      <c r="H74" s="138"/>
      <c r="I74" s="13" t="s">
        <v>147</v>
      </c>
      <c r="J74" s="29">
        <f>(IF(B67&gt;1,(H67/(B67+2)+J73),0))</f>
        <v>0</v>
      </c>
    </row>
    <row r="75" spans="1:10" ht="15" customHeight="1" x14ac:dyDescent="0.25">
      <c r="A75" s="108" t="s">
        <v>136</v>
      </c>
      <c r="B75" s="109" t="s">
        <v>133</v>
      </c>
      <c r="C75" s="43">
        <v>9</v>
      </c>
      <c r="D75" s="18">
        <f ca="1">((100/(H67))*C75)/100</f>
        <v>1</v>
      </c>
      <c r="E75" s="83"/>
      <c r="F75" s="84"/>
      <c r="G75" s="83"/>
      <c r="H75" s="138"/>
      <c r="I75" s="13" t="s">
        <v>144</v>
      </c>
      <c r="J75" s="29">
        <f>(IF(B67&gt;2,(H67/(B67+2)+J74),0))</f>
        <v>0</v>
      </c>
    </row>
    <row r="76" spans="1:10" ht="15.75" customHeight="1" x14ac:dyDescent="0.25">
      <c r="A76" s="108" t="s">
        <v>132</v>
      </c>
      <c r="B76" s="109" t="s">
        <v>132</v>
      </c>
      <c r="C76" s="43">
        <v>9</v>
      </c>
      <c r="D76" s="18">
        <f ca="1">((100/H67)*C76)/100</f>
        <v>1</v>
      </c>
      <c r="E76" s="83"/>
      <c r="F76" s="84"/>
      <c r="G76" s="83"/>
      <c r="H76" s="138"/>
      <c r="I76" s="13" t="s">
        <v>145</v>
      </c>
      <c r="J76" s="30">
        <f>(IF(B67&gt;3,(H67/(B67+2)+J75),0))</f>
        <v>0</v>
      </c>
    </row>
    <row r="77" spans="1:10" ht="15.75" customHeight="1" x14ac:dyDescent="0.25">
      <c r="A77" s="108" t="s">
        <v>139</v>
      </c>
      <c r="B77" s="109"/>
      <c r="C77" s="43">
        <v>9</v>
      </c>
      <c r="D77" s="18">
        <f ca="1">((100/H67)*C77)/100</f>
        <v>1</v>
      </c>
      <c r="E77" s="83"/>
      <c r="F77" s="84"/>
      <c r="G77" s="83"/>
      <c r="H77" s="138"/>
      <c r="I77" s="13" t="s">
        <v>146</v>
      </c>
      <c r="J77" s="29">
        <f>(IF(B67&gt;4,(H67/(B67+2)+J76),0))</f>
        <v>0</v>
      </c>
    </row>
    <row r="78" spans="1:10" ht="15.75" customHeight="1" x14ac:dyDescent="0.25">
      <c r="A78" s="108" t="s">
        <v>134</v>
      </c>
      <c r="B78" s="109" t="s">
        <v>134</v>
      </c>
      <c r="C78" s="43">
        <v>5</v>
      </c>
      <c r="D78" s="18">
        <f ca="1">((100/(H67))*C78)/100</f>
        <v>0.55555555555555558</v>
      </c>
      <c r="E78" s="83"/>
      <c r="F78" s="84"/>
      <c r="G78" s="83"/>
      <c r="H78" s="138"/>
      <c r="I78" s="13" t="s">
        <v>148</v>
      </c>
      <c r="J78" s="29">
        <f ca="1">(IF(B67=1,(H67/(B67+3)+J73),IF(B67=0,(H67/4+J73),IF(B67&gt;1,0))))</f>
        <v>6.75</v>
      </c>
    </row>
    <row r="79" spans="1:10" ht="16.5" thickBot="1" x14ac:dyDescent="0.3">
      <c r="A79" s="140" t="s">
        <v>135</v>
      </c>
      <c r="B79" s="141"/>
      <c r="C79" s="44">
        <v>0</v>
      </c>
      <c r="D79" s="19">
        <f ca="1">((100/(H67))*C79)/100</f>
        <v>0</v>
      </c>
      <c r="E79" s="85"/>
      <c r="F79" s="86"/>
      <c r="G79" s="85"/>
      <c r="H79" s="139"/>
      <c r="I79" s="14" t="s">
        <v>103</v>
      </c>
      <c r="J79" s="31">
        <f ca="1">(IF(B67&gt;1.5,(H67/(B67+2)+J73+MAX(0,J74-J73)+MAX(0,J75-J74)+MAX(0,J76-J75)+MAX(0,J77-J76)+MAX(0,J78-J77)),IF(B67=1,(H67/(B67+3)+J78),IF(B67=0,H67/4+J78))))</f>
        <v>9</v>
      </c>
    </row>
    <row r="80" spans="1:10" x14ac:dyDescent="0.25">
      <c r="A80" s="156" t="s">
        <v>157</v>
      </c>
      <c r="B80" s="156"/>
      <c r="C80" s="156"/>
      <c r="D80" s="156"/>
      <c r="E80" s="156"/>
      <c r="F80" s="127" t="s">
        <v>161</v>
      </c>
      <c r="G80" s="127"/>
      <c r="H80" s="127"/>
    </row>
    <row r="81" spans="1:10" x14ac:dyDescent="0.25">
      <c r="A81" s="75" t="s">
        <v>159</v>
      </c>
      <c r="B81" s="75"/>
      <c r="C81" s="75"/>
      <c r="D81" s="75"/>
      <c r="E81" s="75"/>
      <c r="F81" s="110">
        <v>3700</v>
      </c>
      <c r="G81" s="110"/>
      <c r="H81" s="110"/>
      <c r="I81" s="20" t="s">
        <v>225</v>
      </c>
      <c r="J81" s="20" t="s">
        <v>221</v>
      </c>
    </row>
    <row r="82" spans="1:10" x14ac:dyDescent="0.25">
      <c r="A82" s="75" t="s">
        <v>158</v>
      </c>
      <c r="B82" s="75"/>
      <c r="C82" s="75"/>
      <c r="D82" s="75"/>
      <c r="E82" s="75"/>
      <c r="F82" s="110">
        <v>5000</v>
      </c>
      <c r="G82" s="110"/>
      <c r="H82" s="110"/>
      <c r="J82" s="20">
        <v>4100</v>
      </c>
    </row>
    <row r="83" spans="1:10" hidden="1" x14ac:dyDescent="0.25">
      <c r="A83" s="75" t="s">
        <v>160</v>
      </c>
      <c r="B83" s="75"/>
      <c r="C83" s="75"/>
      <c r="D83" s="75"/>
      <c r="E83" s="75"/>
      <c r="F83" s="110"/>
      <c r="G83" s="110"/>
      <c r="H83" s="110"/>
    </row>
    <row r="84" spans="1:10" s="32" customFormat="1" hidden="1" x14ac:dyDescent="0.25">
      <c r="A84" s="75" t="s">
        <v>173</v>
      </c>
      <c r="B84" s="75"/>
      <c r="C84" s="75"/>
      <c r="D84" s="75"/>
      <c r="E84" s="75"/>
      <c r="F84" s="110"/>
      <c r="G84" s="110"/>
      <c r="H84" s="110"/>
    </row>
    <row r="85" spans="1:10" s="32" customFormat="1" hidden="1" x14ac:dyDescent="0.25">
      <c r="A85" s="75" t="s">
        <v>94</v>
      </c>
      <c r="B85" s="75"/>
      <c r="C85" s="75"/>
      <c r="D85" s="75"/>
      <c r="E85" s="75"/>
      <c r="F85" s="110"/>
      <c r="G85" s="110"/>
      <c r="H85" s="110"/>
    </row>
    <row r="86" spans="1:10" s="32" customFormat="1" hidden="1" x14ac:dyDescent="0.25">
      <c r="A86" s="75" t="s">
        <v>95</v>
      </c>
      <c r="B86" s="75"/>
      <c r="C86" s="75"/>
      <c r="D86" s="75"/>
      <c r="E86" s="75"/>
      <c r="F86" s="110"/>
      <c r="G86" s="110"/>
      <c r="H86" s="110"/>
    </row>
    <row r="87" spans="1:10" s="32" customFormat="1" hidden="1" x14ac:dyDescent="0.25">
      <c r="A87" s="75" t="s">
        <v>162</v>
      </c>
      <c r="B87" s="75"/>
      <c r="C87" s="75"/>
      <c r="D87" s="75"/>
      <c r="E87" s="75"/>
      <c r="F87" s="110">
        <v>10000</v>
      </c>
      <c r="G87" s="110"/>
      <c r="H87" s="110"/>
    </row>
    <row r="88" spans="1:10" s="32" customFormat="1" hidden="1" x14ac:dyDescent="0.25">
      <c r="A88" s="75" t="s">
        <v>96</v>
      </c>
      <c r="B88" s="75"/>
      <c r="C88" s="75"/>
      <c r="D88" s="75"/>
      <c r="E88" s="75"/>
      <c r="F88" s="110"/>
      <c r="G88" s="110"/>
      <c r="H88" s="110"/>
    </row>
    <row r="89" spans="1:10" s="70" customFormat="1" x14ac:dyDescent="0.25">
      <c r="A89" s="133" t="s">
        <v>222</v>
      </c>
      <c r="B89" s="133"/>
      <c r="C89" s="133"/>
      <c r="D89" s="133"/>
      <c r="E89" s="133"/>
      <c r="F89" s="110">
        <v>300000</v>
      </c>
      <c r="G89" s="110"/>
      <c r="H89" s="110"/>
    </row>
    <row r="90" spans="1:10" s="32" customFormat="1" hidden="1" x14ac:dyDescent="0.25">
      <c r="A90" s="75" t="s">
        <v>97</v>
      </c>
      <c r="B90" s="75"/>
      <c r="C90" s="75"/>
      <c r="D90" s="75"/>
      <c r="E90" s="75"/>
      <c r="F90" s="110"/>
      <c r="G90" s="110"/>
      <c r="H90" s="110"/>
    </row>
    <row r="91" spans="1:10" s="32" customFormat="1" hidden="1" x14ac:dyDescent="0.25">
      <c r="A91" s="75" t="s">
        <v>98</v>
      </c>
      <c r="B91" s="75"/>
      <c r="C91" s="75"/>
      <c r="D91" s="75"/>
      <c r="E91" s="75"/>
      <c r="F91" s="110"/>
      <c r="G91" s="110"/>
      <c r="H91" s="110"/>
    </row>
    <row r="92" spans="1:10" x14ac:dyDescent="0.25">
      <c r="A92" s="75" t="s">
        <v>51</v>
      </c>
      <c r="B92" s="75"/>
      <c r="C92" s="75"/>
      <c r="D92" s="75"/>
      <c r="E92" s="75"/>
      <c r="F92" s="110">
        <v>100000</v>
      </c>
      <c r="G92" s="110"/>
      <c r="H92" s="110"/>
    </row>
    <row r="93" spans="1:10" s="33" customFormat="1" x14ac:dyDescent="0.25">
      <c r="A93" s="87" t="s">
        <v>52</v>
      </c>
      <c r="B93" s="87"/>
      <c r="C93" s="87"/>
      <c r="D93" s="87"/>
      <c r="E93" s="87"/>
      <c r="F93" s="110">
        <f>F81*0.8</f>
        <v>2960</v>
      </c>
      <c r="G93" s="110"/>
      <c r="H93" s="110"/>
    </row>
    <row r="94" spans="1:10" s="34" customFormat="1" ht="15.75" customHeight="1" x14ac:dyDescent="0.25">
      <c r="A94" s="129" t="s">
        <v>199</v>
      </c>
      <c r="B94" s="129"/>
      <c r="C94" s="129"/>
      <c r="D94" s="129"/>
      <c r="E94" s="129"/>
      <c r="F94" s="129"/>
      <c r="G94" s="129"/>
      <c r="H94" s="129"/>
    </row>
    <row r="95" spans="1:10" s="34" customFormat="1" ht="15.75" customHeight="1" x14ac:dyDescent="0.25">
      <c r="A95" s="132" t="s">
        <v>53</v>
      </c>
      <c r="B95" s="132"/>
      <c r="C95" s="119" t="s">
        <v>77</v>
      </c>
      <c r="D95" s="119"/>
      <c r="E95" s="118" t="s">
        <v>54</v>
      </c>
      <c r="F95" s="118"/>
      <c r="G95" s="132" t="s">
        <v>55</v>
      </c>
      <c r="H95" s="132"/>
    </row>
    <row r="96" spans="1:10" s="34" customFormat="1" x14ac:dyDescent="0.25">
      <c r="A96" s="179" t="s">
        <v>200</v>
      </c>
      <c r="B96" s="179"/>
      <c r="C96" s="190">
        <f>COUNT(D108:D114)</f>
        <v>7</v>
      </c>
      <c r="D96" s="191"/>
      <c r="E96" s="136">
        <f>SUM(D108:D114)</f>
        <v>1855.7135999999998</v>
      </c>
      <c r="F96" s="192"/>
      <c r="G96" s="136">
        <f>SUM(F108:F114)</f>
        <v>3783</v>
      </c>
      <c r="H96" s="192"/>
    </row>
    <row r="97" spans="1:14" s="34" customFormat="1" x14ac:dyDescent="0.25">
      <c r="A97" s="129" t="s">
        <v>150</v>
      </c>
      <c r="B97" s="129"/>
      <c r="C97" s="130">
        <f>SUM(C96:D96)</f>
        <v>7</v>
      </c>
      <c r="D97" s="119"/>
      <c r="E97" s="131">
        <f>SUM(E96:F96)</f>
        <v>1855.7135999999998</v>
      </c>
      <c r="F97" s="118"/>
      <c r="G97" s="132">
        <f>SUM(G96:H96)</f>
        <v>3783</v>
      </c>
      <c r="H97" s="132"/>
    </row>
    <row r="98" spans="1:14" s="34" customFormat="1" ht="15.75" customHeight="1" x14ac:dyDescent="0.25">
      <c r="A98" s="180" t="s">
        <v>201</v>
      </c>
      <c r="B98" s="181"/>
      <c r="C98" s="181"/>
      <c r="D98" s="181"/>
      <c r="E98" s="181"/>
      <c r="F98" s="181"/>
      <c r="G98" s="181"/>
      <c r="H98" s="182"/>
    </row>
    <row r="99" spans="1:14" s="34" customFormat="1" ht="15.75" customHeight="1" x14ac:dyDescent="0.25">
      <c r="A99" s="132" t="s">
        <v>53</v>
      </c>
      <c r="B99" s="132"/>
      <c r="C99" s="119" t="s">
        <v>77</v>
      </c>
      <c r="D99" s="119"/>
      <c r="E99" s="118" t="s">
        <v>54</v>
      </c>
      <c r="F99" s="118"/>
      <c r="G99" s="132" t="s">
        <v>55</v>
      </c>
      <c r="H99" s="132"/>
    </row>
    <row r="100" spans="1:14" s="34" customFormat="1" x14ac:dyDescent="0.25">
      <c r="A100" s="179" t="s">
        <v>200</v>
      </c>
      <c r="B100" s="179"/>
      <c r="C100" s="134">
        <f>COUNT(D119:D126)+COUNT(D128:D135)*7+COUNT(D137:D144)</f>
        <v>72</v>
      </c>
      <c r="D100" s="135"/>
      <c r="E100" s="136">
        <f>SUM(D119:D126)+SUM(D128:D135)*7+SUM(D137:D144)</f>
        <v>49822.923150000002</v>
      </c>
      <c r="F100" s="136"/>
      <c r="G100" s="136">
        <f>SUM(F119:F126)+SUM(F128:F135)*7+SUM(F137:F144)</f>
        <v>77435</v>
      </c>
      <c r="H100" s="136"/>
    </row>
    <row r="101" spans="1:14" s="34" customFormat="1" ht="16.5" thickBot="1" x14ac:dyDescent="0.3">
      <c r="A101" s="123" t="s">
        <v>150</v>
      </c>
      <c r="B101" s="123"/>
      <c r="C101" s="193">
        <f t="shared" ref="C101:G101" si="0">SUM(C100)</f>
        <v>72</v>
      </c>
      <c r="D101" s="194"/>
      <c r="E101" s="124">
        <f t="shared" si="0"/>
        <v>49822.923150000002</v>
      </c>
      <c r="F101" s="125"/>
      <c r="G101" s="128">
        <f t="shared" si="0"/>
        <v>77435</v>
      </c>
      <c r="H101" s="128"/>
    </row>
    <row r="102" spans="1:14" s="34" customFormat="1" ht="16.5" thickBot="1" x14ac:dyDescent="0.3">
      <c r="A102" s="195" t="s">
        <v>167</v>
      </c>
      <c r="B102" s="196"/>
      <c r="C102" s="197">
        <f>C97+C101</f>
        <v>79</v>
      </c>
      <c r="D102" s="197"/>
      <c r="E102" s="198">
        <f>E97+E101</f>
        <v>51678.636750000005</v>
      </c>
      <c r="F102" s="198"/>
      <c r="G102" s="199">
        <f>G97+G101</f>
        <v>81218</v>
      </c>
      <c r="H102" s="200"/>
    </row>
    <row r="103" spans="1:14" s="33" customFormat="1" x14ac:dyDescent="0.25">
      <c r="A103" s="127" t="s">
        <v>56</v>
      </c>
      <c r="B103" s="127"/>
      <c r="C103" s="127"/>
      <c r="D103" s="127"/>
      <c r="E103" s="127"/>
      <c r="F103" s="127"/>
      <c r="G103" s="127"/>
      <c r="H103" s="127"/>
    </row>
    <row r="104" spans="1:14" x14ac:dyDescent="0.25">
      <c r="A104" s="175" t="s">
        <v>172</v>
      </c>
      <c r="B104" s="175"/>
      <c r="C104" s="175"/>
      <c r="D104" s="175"/>
      <c r="E104" s="175"/>
      <c r="F104" s="175"/>
      <c r="G104" s="175"/>
      <c r="H104" s="175"/>
    </row>
    <row r="105" spans="1:14" ht="47.25" customHeight="1" x14ac:dyDescent="0.25">
      <c r="A105" s="64" t="s">
        <v>119</v>
      </c>
      <c r="B105" s="64" t="s">
        <v>118</v>
      </c>
      <c r="C105" s="64" t="s">
        <v>57</v>
      </c>
      <c r="D105" s="64" t="s">
        <v>58</v>
      </c>
      <c r="E105" s="65" t="s">
        <v>156</v>
      </c>
      <c r="F105" s="42" t="s">
        <v>207</v>
      </c>
      <c r="G105" s="121" t="s">
        <v>60</v>
      </c>
      <c r="H105" s="122"/>
    </row>
    <row r="106" spans="1:14" s="66" customFormat="1" x14ac:dyDescent="0.25">
      <c r="A106" s="115" t="s">
        <v>200</v>
      </c>
      <c r="B106" s="116"/>
      <c r="C106" s="116"/>
      <c r="D106" s="116"/>
      <c r="E106" s="116"/>
      <c r="F106" s="116"/>
      <c r="G106" s="116"/>
      <c r="H106" s="117"/>
      <c r="J106" s="35"/>
    </row>
    <row r="107" spans="1:14" s="36" customFormat="1" ht="33.75" customHeight="1" x14ac:dyDescent="0.25">
      <c r="A107" s="115" t="s">
        <v>218</v>
      </c>
      <c r="B107" s="116"/>
      <c r="C107" s="116"/>
      <c r="D107" s="116"/>
      <c r="E107" s="116"/>
      <c r="F107" s="116"/>
      <c r="G107" s="116"/>
      <c r="H107" s="117"/>
      <c r="J107" s="35"/>
    </row>
    <row r="108" spans="1:14" s="36" customFormat="1" ht="15.75" customHeight="1" x14ac:dyDescent="0.25">
      <c r="A108" s="111">
        <v>1</v>
      </c>
      <c r="B108" s="112"/>
      <c r="C108" s="41" t="s">
        <v>194</v>
      </c>
      <c r="D108" s="60">
        <f>(22.4)*10.764</f>
        <v>241.11359999999996</v>
      </c>
      <c r="E108" s="41">
        <v>0</v>
      </c>
      <c r="F108" s="59">
        <v>491</v>
      </c>
      <c r="G108" s="159" t="str">
        <f>A107</f>
        <v>Ground Floor For Commercial, Driver Room, Society Office, 
Entrance Room &amp; Parking</v>
      </c>
      <c r="H108" s="160"/>
      <c r="I108" s="35">
        <f>3*7.46</f>
        <v>22.38</v>
      </c>
      <c r="J108" s="60">
        <v>10.763999999999999</v>
      </c>
      <c r="K108" s="62">
        <f>491/D108</f>
        <v>2.0363845092105963</v>
      </c>
      <c r="L108" s="67"/>
      <c r="M108" s="67"/>
      <c r="N108" s="35"/>
    </row>
    <row r="109" spans="1:14" s="36" customFormat="1" ht="15.75" customHeight="1" x14ac:dyDescent="0.25">
      <c r="A109" s="111">
        <f t="shared" ref="A109:A114" si="1">A108+1</f>
        <v>2</v>
      </c>
      <c r="B109" s="112"/>
      <c r="C109" s="56" t="s">
        <v>194</v>
      </c>
      <c r="D109" s="60">
        <f>(22.4)*10.764</f>
        <v>241.11359999999996</v>
      </c>
      <c r="E109" s="41">
        <v>0</v>
      </c>
      <c r="F109" s="59">
        <v>491</v>
      </c>
      <c r="G109" s="161"/>
      <c r="H109" s="162"/>
      <c r="I109" s="35"/>
      <c r="K109" s="62">
        <f>491/D109</f>
        <v>2.0363845092105963</v>
      </c>
      <c r="L109" s="67"/>
      <c r="M109" s="67"/>
      <c r="N109" s="35"/>
    </row>
    <row r="110" spans="1:14" s="36" customFormat="1" ht="15.75" customHeight="1" x14ac:dyDescent="0.25">
      <c r="A110" s="111">
        <f t="shared" si="1"/>
        <v>3</v>
      </c>
      <c r="B110" s="112"/>
      <c r="C110" s="56" t="s">
        <v>194</v>
      </c>
      <c r="D110" s="60">
        <f>(20.5)*10.764</f>
        <v>220.66199999999998</v>
      </c>
      <c r="E110" s="41">
        <v>0</v>
      </c>
      <c r="F110" s="59">
        <v>451</v>
      </c>
      <c r="G110" s="161"/>
      <c r="H110" s="162"/>
      <c r="I110" s="35">
        <f>2.75*7.46</f>
        <v>20.515000000000001</v>
      </c>
      <c r="K110" s="62">
        <f>451/D110</f>
        <v>2.0438498699368268</v>
      </c>
      <c r="L110" s="67"/>
      <c r="M110" s="67"/>
      <c r="N110" s="35"/>
    </row>
    <row r="111" spans="1:14" s="36" customFormat="1" ht="15.75" customHeight="1" x14ac:dyDescent="0.25">
      <c r="A111" s="111">
        <f t="shared" si="1"/>
        <v>4</v>
      </c>
      <c r="B111" s="112"/>
      <c r="C111" s="56" t="s">
        <v>194</v>
      </c>
      <c r="D111" s="60">
        <f>(32.1)*10.764</f>
        <v>345.52440000000001</v>
      </c>
      <c r="E111" s="41">
        <v>0</v>
      </c>
      <c r="F111" s="59">
        <v>704</v>
      </c>
      <c r="G111" s="161"/>
      <c r="H111" s="162"/>
      <c r="I111" s="35"/>
      <c r="K111" s="62">
        <f>704/D111</f>
        <v>2.0374827363856212</v>
      </c>
      <c r="L111" s="67"/>
      <c r="M111" s="67"/>
      <c r="N111" s="35"/>
    </row>
    <row r="112" spans="1:14" s="57" customFormat="1" ht="15.75" customHeight="1" x14ac:dyDescent="0.25">
      <c r="A112" s="111">
        <f t="shared" si="1"/>
        <v>5</v>
      </c>
      <c r="B112" s="112"/>
      <c r="C112" s="56" t="s">
        <v>194</v>
      </c>
      <c r="D112" s="60">
        <f>(32.1)*10.764</f>
        <v>345.52440000000001</v>
      </c>
      <c r="E112" s="56">
        <v>0</v>
      </c>
      <c r="F112" s="59">
        <v>704</v>
      </c>
      <c r="G112" s="161"/>
      <c r="H112" s="162"/>
      <c r="I112" s="35">
        <f>4.3*7.46</f>
        <v>32.077999999999996</v>
      </c>
      <c r="K112" s="62"/>
      <c r="L112" s="67"/>
      <c r="M112" s="67"/>
      <c r="N112" s="35"/>
    </row>
    <row r="113" spans="1:16" s="57" customFormat="1" ht="15.75" customHeight="1" x14ac:dyDescent="0.25">
      <c r="A113" s="111">
        <f t="shared" si="1"/>
        <v>6</v>
      </c>
      <c r="B113" s="112"/>
      <c r="C113" s="56" t="s">
        <v>194</v>
      </c>
      <c r="D113" s="60">
        <f>(20.5)*10.764</f>
        <v>220.66199999999998</v>
      </c>
      <c r="E113" s="56">
        <v>0</v>
      </c>
      <c r="F113" s="59">
        <v>451</v>
      </c>
      <c r="G113" s="161"/>
      <c r="H113" s="162"/>
      <c r="I113" s="35"/>
      <c r="K113" s="35"/>
      <c r="L113" s="67"/>
      <c r="M113" s="67"/>
      <c r="N113" s="35"/>
    </row>
    <row r="114" spans="1:16" s="57" customFormat="1" ht="15.75" customHeight="1" x14ac:dyDescent="0.25">
      <c r="A114" s="111">
        <f t="shared" si="1"/>
        <v>7</v>
      </c>
      <c r="B114" s="112"/>
      <c r="C114" s="56" t="s">
        <v>194</v>
      </c>
      <c r="D114" s="60">
        <f>(22.4)*10.764</f>
        <v>241.11359999999996</v>
      </c>
      <c r="E114" s="56">
        <v>0</v>
      </c>
      <c r="F114" s="59">
        <v>491</v>
      </c>
      <c r="G114" s="163"/>
      <c r="H114" s="164"/>
      <c r="I114" s="35"/>
      <c r="K114" s="35"/>
      <c r="L114" s="67"/>
      <c r="M114" s="67"/>
      <c r="N114" s="35"/>
    </row>
    <row r="115" spans="1:16" s="57" customFormat="1" x14ac:dyDescent="0.25">
      <c r="A115" s="111"/>
      <c r="B115" s="113"/>
      <c r="C115" s="113"/>
      <c r="D115" s="113"/>
      <c r="E115" s="113"/>
      <c r="F115" s="113"/>
      <c r="G115" s="113"/>
      <c r="H115" s="112"/>
      <c r="I115" s="35"/>
      <c r="L115" s="66"/>
      <c r="M115" s="66"/>
      <c r="N115" s="35"/>
    </row>
    <row r="116" spans="1:16" ht="47.25" customHeight="1" x14ac:dyDescent="0.25">
      <c r="A116" s="64" t="s">
        <v>120</v>
      </c>
      <c r="B116" s="64" t="s">
        <v>121</v>
      </c>
      <c r="C116" s="64" t="s">
        <v>57</v>
      </c>
      <c r="D116" s="64" t="s">
        <v>58</v>
      </c>
      <c r="E116" s="65" t="s">
        <v>59</v>
      </c>
      <c r="F116" s="64" t="s">
        <v>208</v>
      </c>
      <c r="G116" s="121" t="s">
        <v>60</v>
      </c>
      <c r="H116" s="122"/>
      <c r="I116" s="35"/>
      <c r="K116" s="20" t="s">
        <v>206</v>
      </c>
    </row>
    <row r="117" spans="1:16" s="66" customFormat="1" x14ac:dyDescent="0.25">
      <c r="A117" s="115" t="s">
        <v>200</v>
      </c>
      <c r="B117" s="116"/>
      <c r="C117" s="116"/>
      <c r="D117" s="116"/>
      <c r="E117" s="116"/>
      <c r="F117" s="116"/>
      <c r="G117" s="116"/>
      <c r="H117" s="117"/>
      <c r="J117" s="35"/>
    </row>
    <row r="118" spans="1:16" s="36" customFormat="1" x14ac:dyDescent="0.25">
      <c r="A118" s="115" t="s">
        <v>198</v>
      </c>
      <c r="B118" s="116"/>
      <c r="C118" s="116"/>
      <c r="D118" s="116"/>
      <c r="E118" s="116"/>
      <c r="F118" s="116"/>
      <c r="G118" s="116"/>
      <c r="H118" s="117"/>
      <c r="J118" s="35"/>
    </row>
    <row r="119" spans="1:16" s="36" customFormat="1" ht="15.75" customHeight="1" x14ac:dyDescent="0.25">
      <c r="A119" s="111">
        <v>1</v>
      </c>
      <c r="B119" s="112"/>
      <c r="C119" s="55" t="s">
        <v>195</v>
      </c>
      <c r="D119" s="60">
        <f>(57.2+(0.75*3.5)+(2.1*0.75))*10.764</f>
        <v>660.90960000000007</v>
      </c>
      <c r="E119" s="60">
        <f>(0.75*3+1.4*2.6)*10.764</f>
        <v>63.399959999999993</v>
      </c>
      <c r="F119" s="59">
        <v>1094</v>
      </c>
      <c r="G119" s="159" t="str">
        <f>A118</f>
        <v>1st Floor For Residential</v>
      </c>
      <c r="H119" s="160"/>
      <c r="I119" s="35">
        <f>3*4.85+2.8*2.1+3.85*3.5+3.25*3.5+1.2*2.35+2.35*1.2+3.8*1+(2.1*0.75)+(3.5*0.75)</f>
        <v>58.92</v>
      </c>
      <c r="J119" s="35">
        <f>3*4.85+2.8*2.1+3.85*3.5+3.25*3.5+1.2*2.35+2.35*1.2+3.8*1</f>
        <v>54.72</v>
      </c>
      <c r="K119" s="61">
        <f>J119*5%+55</f>
        <v>57.735999999999997</v>
      </c>
      <c r="L119" s="158">
        <f>1094/D119</f>
        <v>1.6552944608460822</v>
      </c>
      <c r="M119" s="158"/>
      <c r="N119" s="35">
        <f>4100*F119</f>
        <v>4485400</v>
      </c>
      <c r="O119" s="36">
        <f>3400*F119</f>
        <v>3719600</v>
      </c>
      <c r="P119" s="36">
        <f>3200*F119</f>
        <v>3500800</v>
      </c>
    </row>
    <row r="120" spans="1:16" s="36" customFormat="1" ht="15.75" customHeight="1" x14ac:dyDescent="0.25">
      <c r="A120" s="111">
        <f t="shared" ref="A120:A122" si="2">A119+1</f>
        <v>2</v>
      </c>
      <c r="B120" s="112"/>
      <c r="C120" s="55" t="s">
        <v>195</v>
      </c>
      <c r="D120" s="60">
        <f>(57.2+(3*0.75)+(3.5*0.75)+(2.1*0.75))*10.764</f>
        <v>685.12860000000001</v>
      </c>
      <c r="E120" s="60">
        <v>0</v>
      </c>
      <c r="F120" s="59">
        <v>1206</v>
      </c>
      <c r="G120" s="161"/>
      <c r="H120" s="162"/>
      <c r="I120" s="35"/>
      <c r="L120" s="158">
        <f>1206/D120</f>
        <v>1.7602534765006161</v>
      </c>
      <c r="M120" s="158"/>
      <c r="N120" s="35">
        <f t="shared" ref="N120:N134" si="3">4100*F120</f>
        <v>4944600</v>
      </c>
      <c r="O120" s="66">
        <f t="shared" ref="O120:O134" si="4">3400*F120</f>
        <v>4100400</v>
      </c>
      <c r="P120" s="66">
        <f t="shared" ref="P120:P134" si="5">3200*F120</f>
        <v>3859200</v>
      </c>
    </row>
    <row r="121" spans="1:16" s="36" customFormat="1" ht="15.75" customHeight="1" x14ac:dyDescent="0.25">
      <c r="A121" s="111">
        <f t="shared" si="2"/>
        <v>3</v>
      </c>
      <c r="B121" s="112"/>
      <c r="C121" s="55" t="s">
        <v>195</v>
      </c>
      <c r="D121" s="60">
        <f>(55.4)*10.764</f>
        <v>596.32559999999989</v>
      </c>
      <c r="E121" s="60">
        <f>(8.7*3+1.9*6.5)*10.764</f>
        <v>413.87579999999991</v>
      </c>
      <c r="F121" s="59">
        <v>1458</v>
      </c>
      <c r="G121" s="161"/>
      <c r="H121" s="162"/>
      <c r="I121" s="35"/>
      <c r="L121" s="158">
        <f>1458/D121</f>
        <v>2.4449730147422821</v>
      </c>
      <c r="M121" s="158"/>
      <c r="N121" s="68">
        <f t="shared" si="3"/>
        <v>5977800</v>
      </c>
      <c r="O121" s="66">
        <f t="shared" si="4"/>
        <v>4957200</v>
      </c>
      <c r="P121" s="66">
        <f t="shared" si="5"/>
        <v>4665600</v>
      </c>
    </row>
    <row r="122" spans="1:16" s="36" customFormat="1" ht="15.75" customHeight="1" x14ac:dyDescent="0.25">
      <c r="A122" s="111">
        <f t="shared" si="2"/>
        <v>4</v>
      </c>
      <c r="B122" s="112"/>
      <c r="C122" s="55" t="s">
        <v>195</v>
      </c>
      <c r="D122" s="60">
        <f>(55.4)*10.764</f>
        <v>596.32559999999989</v>
      </c>
      <c r="E122" s="60">
        <f>(8.7*3+1.9*6.5)*10.764</f>
        <v>413.87579999999991</v>
      </c>
      <c r="F122" s="59">
        <v>1458</v>
      </c>
      <c r="G122" s="161"/>
      <c r="H122" s="162"/>
      <c r="I122" s="35"/>
      <c r="L122" s="158">
        <f>1458/D122</f>
        <v>2.4449730147422821</v>
      </c>
      <c r="M122" s="158"/>
      <c r="N122" s="68">
        <f t="shared" si="3"/>
        <v>5977800</v>
      </c>
      <c r="O122" s="66">
        <f t="shared" si="4"/>
        <v>4957200</v>
      </c>
      <c r="P122" s="66">
        <f t="shared" si="5"/>
        <v>4665600</v>
      </c>
    </row>
    <row r="123" spans="1:16" s="36" customFormat="1" x14ac:dyDescent="0.25">
      <c r="A123" s="120">
        <v>5</v>
      </c>
      <c r="B123" s="120"/>
      <c r="C123" s="55" t="s">
        <v>196</v>
      </c>
      <c r="D123" s="60">
        <f>(73.1+(2.25*0.75)+(2.9*0.75)+(0.75*3.15)+(0.75*3.05))*10.764</f>
        <v>878.47694999999976</v>
      </c>
      <c r="E123" s="60">
        <f>(3*4)*10.764</f>
        <v>129.16800000000001</v>
      </c>
      <c r="F123" s="59">
        <v>1494</v>
      </c>
      <c r="G123" s="161"/>
      <c r="H123" s="162"/>
      <c r="I123" s="35">
        <f>3*4.95+2.25*3.2+2.9*3.2+3.3*3.15+4.35*3.05+1.25*2.15+1.35*2.15+1.35*2.15+2.3*1+4.1*1+(0.75*3)+(0.75*2.25)+(0.75*2.9)+(0.75*3.15)+(0.75*3.05)</f>
        <v>80.64749999999998</v>
      </c>
      <c r="J123" s="35">
        <f>3*4.95+2.25*3.2+2.9*3.2+3.3*3.15+4.35*3.05+1.25*2.15+1.35*2.15+1.35*2.15+2.3*1+4.1*1</f>
        <v>69.884999999999991</v>
      </c>
      <c r="K123" s="35">
        <f>J123*5%+70</f>
        <v>73.494249999999994</v>
      </c>
      <c r="L123" s="158">
        <f>1494/D123</f>
        <v>1.7006706891967973</v>
      </c>
      <c r="M123" s="158"/>
      <c r="N123" s="35">
        <f t="shared" si="3"/>
        <v>6125400</v>
      </c>
      <c r="O123" s="66">
        <f t="shared" si="4"/>
        <v>5079600</v>
      </c>
      <c r="P123" s="66">
        <f t="shared" si="5"/>
        <v>4780800</v>
      </c>
    </row>
    <row r="124" spans="1:16" s="36" customFormat="1" x14ac:dyDescent="0.25">
      <c r="A124" s="120">
        <v>6</v>
      </c>
      <c r="B124" s="120"/>
      <c r="C124" s="55" t="s">
        <v>195</v>
      </c>
      <c r="D124" s="60">
        <f>(53.9+(0.75*3)+(2.3*0.75)+(0.75*2.9)+(0.75*2.9))*10.764</f>
        <v>669.78989999999988</v>
      </c>
      <c r="E124" s="60">
        <v>0</v>
      </c>
      <c r="F124" s="59">
        <v>1005</v>
      </c>
      <c r="G124" s="161"/>
      <c r="H124" s="162"/>
      <c r="I124" s="35">
        <f>3*4.95+2.3*2.4+3.2*2.9+4.35*2.9+1.25*1.9+1.25*2.1+1.5*1.1+2.7*1+(0.75*3)+(2.3*0.75)+(0.75*2.9)+(0.75*2.9)</f>
        <v>59.94</v>
      </c>
      <c r="J124" s="35">
        <f>3*4.95+2.3*2.4+3.2*2.9+4.35*2.9+1.25*1.9+1.25*2.1+1.5*1.1+2.7*1</f>
        <v>51.615000000000002</v>
      </c>
      <c r="L124" s="158">
        <f>1005/D124</f>
        <v>1.500470520681187</v>
      </c>
      <c r="M124" s="158"/>
      <c r="N124" s="35">
        <f t="shared" si="3"/>
        <v>4120500</v>
      </c>
      <c r="O124" s="66">
        <f t="shared" si="4"/>
        <v>3417000</v>
      </c>
      <c r="P124" s="66">
        <f t="shared" si="5"/>
        <v>3216000</v>
      </c>
    </row>
    <row r="125" spans="1:16" s="36" customFormat="1" x14ac:dyDescent="0.25">
      <c r="A125" s="120">
        <v>7</v>
      </c>
      <c r="B125" s="120"/>
      <c r="C125" s="55" t="s">
        <v>195</v>
      </c>
      <c r="D125" s="60">
        <f>(52.9+(2.3*0.75)+(0.75*3.15)+(1.6*0.75))*10.764</f>
        <v>626.33024999999998</v>
      </c>
      <c r="E125" s="60">
        <v>0</v>
      </c>
      <c r="F125" s="59">
        <v>963</v>
      </c>
      <c r="G125" s="161"/>
      <c r="H125" s="162"/>
      <c r="I125" s="35"/>
      <c r="L125" s="158">
        <f>963/D125</f>
        <v>1.537527526412783</v>
      </c>
      <c r="M125" s="158"/>
      <c r="N125" s="35">
        <f t="shared" si="3"/>
        <v>3948300</v>
      </c>
      <c r="O125" s="66">
        <f t="shared" si="4"/>
        <v>3274200</v>
      </c>
      <c r="P125" s="66">
        <f t="shared" si="5"/>
        <v>3081600</v>
      </c>
    </row>
    <row r="126" spans="1:16" s="36" customFormat="1" x14ac:dyDescent="0.25">
      <c r="A126" s="120">
        <v>8</v>
      </c>
      <c r="B126" s="120"/>
      <c r="C126" s="55" t="s">
        <v>195</v>
      </c>
      <c r="D126" s="60">
        <f>(54+(2.3*0.75)+(0.75*3.15)+(1.6*0.75))*10.764</f>
        <v>638.17065000000002</v>
      </c>
      <c r="E126" s="60">
        <v>0</v>
      </c>
      <c r="F126" s="59">
        <v>981</v>
      </c>
      <c r="G126" s="163"/>
      <c r="H126" s="164"/>
      <c r="I126" s="35">
        <f>2.9*5.15+3.05*2.1+3.15*3.05+3.1*2.9+2.15*1.2+1.35*2.1+3.1*1+2.5*1.3+(1.6*0.75)+(3.15*0.75)+(2.3*0.75)</f>
        <v>56.99</v>
      </c>
      <c r="J126" s="35">
        <f>2.9*5.15+3.05*2.1+3.15*3.05+3.1*2.9+2.15*1.2+1.35*2.1+3.1*1+1.2*2.2</f>
        <v>51.092500000000001</v>
      </c>
      <c r="L126" s="158">
        <f>981/D126</f>
        <v>1.5372063882912823</v>
      </c>
      <c r="M126" s="158"/>
      <c r="N126" s="35">
        <f t="shared" si="3"/>
        <v>4022100</v>
      </c>
      <c r="O126" s="66">
        <f t="shared" si="4"/>
        <v>3335400</v>
      </c>
      <c r="P126" s="66">
        <f t="shared" si="5"/>
        <v>3139200</v>
      </c>
    </row>
    <row r="127" spans="1:16" s="36" customFormat="1" ht="15.75" customHeight="1" x14ac:dyDescent="0.25">
      <c r="A127" s="115" t="s">
        <v>197</v>
      </c>
      <c r="B127" s="116"/>
      <c r="C127" s="116"/>
      <c r="D127" s="116"/>
      <c r="E127" s="116"/>
      <c r="F127" s="116"/>
      <c r="G127" s="116"/>
      <c r="H127" s="117"/>
      <c r="I127" s="35"/>
      <c r="N127" s="35">
        <f t="shared" si="3"/>
        <v>0</v>
      </c>
      <c r="O127" s="66">
        <f t="shared" si="4"/>
        <v>0</v>
      </c>
      <c r="P127" s="66">
        <f t="shared" si="5"/>
        <v>0</v>
      </c>
    </row>
    <row r="128" spans="1:16" s="36" customFormat="1" ht="15.75" customHeight="1" x14ac:dyDescent="0.25">
      <c r="A128" s="111">
        <v>1</v>
      </c>
      <c r="B128" s="112"/>
      <c r="C128" s="55" t="s">
        <v>195</v>
      </c>
      <c r="D128" s="60">
        <f>(57.2+(0.75*3.5)+(2.1*0.75)+(3*0.75))*10.764</f>
        <v>685.12860000000001</v>
      </c>
      <c r="E128" s="60">
        <v>0</v>
      </c>
      <c r="F128" s="59">
        <v>1070</v>
      </c>
      <c r="G128" s="159" t="str">
        <f>A127</f>
        <v>2nd to 7th &amp; 9th Floor</v>
      </c>
      <c r="H128" s="160"/>
      <c r="I128" s="69">
        <f>F128/D128</f>
        <v>1.5617505968952399</v>
      </c>
      <c r="N128" s="35">
        <f t="shared" si="3"/>
        <v>4387000</v>
      </c>
      <c r="O128" s="66">
        <f t="shared" si="4"/>
        <v>3638000</v>
      </c>
      <c r="P128" s="66">
        <f t="shared" si="5"/>
        <v>3424000</v>
      </c>
    </row>
    <row r="129" spans="1:16" s="36" customFormat="1" ht="15.75" customHeight="1" x14ac:dyDescent="0.25">
      <c r="A129" s="111">
        <v>2</v>
      </c>
      <c r="B129" s="112"/>
      <c r="C129" s="55" t="s">
        <v>195</v>
      </c>
      <c r="D129" s="60">
        <f>(57.2+(3*0.75)+(3.5*0.75)+(2.1*0.75))*10.764</f>
        <v>685.12860000000001</v>
      </c>
      <c r="E129" s="60">
        <v>0</v>
      </c>
      <c r="F129" s="59">
        <v>1070</v>
      </c>
      <c r="G129" s="161"/>
      <c r="H129" s="162"/>
      <c r="I129" s="69">
        <f t="shared" ref="I129:I135" si="6">F129/D129</f>
        <v>1.5617505968952399</v>
      </c>
      <c r="N129" s="35">
        <f t="shared" si="3"/>
        <v>4387000</v>
      </c>
      <c r="O129" s="66">
        <f t="shared" si="4"/>
        <v>3638000</v>
      </c>
      <c r="P129" s="66">
        <f t="shared" si="5"/>
        <v>3424000</v>
      </c>
    </row>
    <row r="130" spans="1:16" s="36" customFormat="1" ht="15.75" customHeight="1" x14ac:dyDescent="0.25">
      <c r="A130" s="111">
        <v>3</v>
      </c>
      <c r="B130" s="112"/>
      <c r="C130" s="55" t="s">
        <v>195</v>
      </c>
      <c r="D130" s="60">
        <f>(55.4+0.75*(1.8+2.9+2.15+3))*10.764</f>
        <v>675.84464999999989</v>
      </c>
      <c r="E130" s="60">
        <v>0</v>
      </c>
      <c r="F130" s="59">
        <v>1015</v>
      </c>
      <c r="G130" s="161"/>
      <c r="H130" s="162"/>
      <c r="I130" s="69">
        <f t="shared" si="6"/>
        <v>1.5018244207452114</v>
      </c>
      <c r="N130" s="35">
        <f t="shared" si="3"/>
        <v>4161500</v>
      </c>
      <c r="O130" s="66">
        <f t="shared" si="4"/>
        <v>3451000</v>
      </c>
      <c r="P130" s="66">
        <f t="shared" si="5"/>
        <v>3248000</v>
      </c>
    </row>
    <row r="131" spans="1:16" s="36" customFormat="1" ht="15.75" customHeight="1" x14ac:dyDescent="0.25">
      <c r="A131" s="111">
        <v>4</v>
      </c>
      <c r="B131" s="112"/>
      <c r="C131" s="55" t="s">
        <v>195</v>
      </c>
      <c r="D131" s="60">
        <f>(55.4+0.75*(1.8+2.9+2.15+3))*10.764</f>
        <v>675.84464999999989</v>
      </c>
      <c r="E131" s="60">
        <v>0</v>
      </c>
      <c r="F131" s="59">
        <v>1015</v>
      </c>
      <c r="G131" s="161"/>
      <c r="H131" s="162"/>
      <c r="I131" s="69">
        <f t="shared" si="6"/>
        <v>1.5018244207452114</v>
      </c>
      <c r="N131" s="35">
        <f t="shared" si="3"/>
        <v>4161500</v>
      </c>
      <c r="O131" s="66">
        <f t="shared" si="4"/>
        <v>3451000</v>
      </c>
      <c r="P131" s="66">
        <f t="shared" si="5"/>
        <v>3248000</v>
      </c>
    </row>
    <row r="132" spans="1:16" s="36" customFormat="1" ht="15.75" customHeight="1" x14ac:dyDescent="0.25">
      <c r="A132" s="111">
        <v>5</v>
      </c>
      <c r="B132" s="112"/>
      <c r="C132" s="55" t="s">
        <v>196</v>
      </c>
      <c r="D132" s="60">
        <f>(73.1+(0.75*3)+(2.25*0.75)+(2.9*0.75)+(0.75*3.15)+(0.75*3.05))*10.764</f>
        <v>902.69594999999981</v>
      </c>
      <c r="E132" s="60">
        <v>0</v>
      </c>
      <c r="F132" s="59">
        <v>1353</v>
      </c>
      <c r="G132" s="161"/>
      <c r="H132" s="162"/>
      <c r="I132" s="69">
        <f t="shared" si="6"/>
        <v>1.4988435474868369</v>
      </c>
      <c r="N132" s="35">
        <f t="shared" si="3"/>
        <v>5547300</v>
      </c>
      <c r="O132" s="66">
        <f t="shared" si="4"/>
        <v>4600200</v>
      </c>
      <c r="P132" s="66">
        <f t="shared" si="5"/>
        <v>4329600</v>
      </c>
    </row>
    <row r="133" spans="1:16" s="58" customFormat="1" x14ac:dyDescent="0.25">
      <c r="A133" s="111">
        <v>6</v>
      </c>
      <c r="B133" s="112"/>
      <c r="C133" s="55" t="s">
        <v>195</v>
      </c>
      <c r="D133" s="60">
        <f>(53.9+(0.75*3)+(2.3*0.75)+(0.75*2.9)+(0.75*2.9))*10.764</f>
        <v>669.78989999999988</v>
      </c>
      <c r="E133" s="60">
        <v>0</v>
      </c>
      <c r="F133" s="59">
        <v>1005</v>
      </c>
      <c r="G133" s="161"/>
      <c r="H133" s="162"/>
      <c r="I133" s="69">
        <f t="shared" si="6"/>
        <v>1.500470520681187</v>
      </c>
      <c r="N133" s="35">
        <f t="shared" si="3"/>
        <v>4120500</v>
      </c>
      <c r="O133" s="66">
        <f t="shared" si="4"/>
        <v>3417000</v>
      </c>
      <c r="P133" s="66">
        <f t="shared" si="5"/>
        <v>3216000</v>
      </c>
    </row>
    <row r="134" spans="1:16" s="58" customFormat="1" x14ac:dyDescent="0.25">
      <c r="A134" s="111">
        <v>7</v>
      </c>
      <c r="B134" s="112"/>
      <c r="C134" s="55" t="s">
        <v>195</v>
      </c>
      <c r="D134" s="60">
        <f>(52.9+(2.3*0.75)+(0.75*3.15)+(1.6*0.75))*10.764</f>
        <v>626.33024999999998</v>
      </c>
      <c r="E134" s="60">
        <v>0</v>
      </c>
      <c r="F134" s="59">
        <v>963</v>
      </c>
      <c r="G134" s="161"/>
      <c r="H134" s="162"/>
      <c r="I134" s="69">
        <f t="shared" si="6"/>
        <v>1.537527526412783</v>
      </c>
      <c r="N134" s="35">
        <f t="shared" si="3"/>
        <v>3948300</v>
      </c>
      <c r="O134" s="66">
        <f t="shared" si="4"/>
        <v>3274200</v>
      </c>
      <c r="P134" s="66">
        <f t="shared" si="5"/>
        <v>3081600</v>
      </c>
    </row>
    <row r="135" spans="1:16" s="58" customFormat="1" x14ac:dyDescent="0.25">
      <c r="A135" s="111">
        <v>8</v>
      </c>
      <c r="B135" s="112"/>
      <c r="C135" s="55" t="s">
        <v>195</v>
      </c>
      <c r="D135" s="60">
        <f>(54+(2.3*0.75)+(0.75*3.15)+(1.6*0.75))*10.764</f>
        <v>638.17065000000002</v>
      </c>
      <c r="E135" s="60">
        <v>0</v>
      </c>
      <c r="F135" s="59">
        <v>981</v>
      </c>
      <c r="G135" s="163"/>
      <c r="H135" s="164"/>
      <c r="I135" s="69">
        <f t="shared" si="6"/>
        <v>1.5372063882912823</v>
      </c>
    </row>
    <row r="136" spans="1:16" s="36" customFormat="1" x14ac:dyDescent="0.25">
      <c r="A136" s="115" t="s">
        <v>219</v>
      </c>
      <c r="B136" s="116"/>
      <c r="C136" s="116"/>
      <c r="D136" s="116"/>
      <c r="E136" s="116"/>
      <c r="F136" s="116"/>
      <c r="G136" s="116"/>
      <c r="H136" s="117"/>
      <c r="I136" s="35"/>
    </row>
    <row r="137" spans="1:16" s="36" customFormat="1" ht="15.75" customHeight="1" x14ac:dyDescent="0.25">
      <c r="A137" s="111">
        <v>1</v>
      </c>
      <c r="B137" s="112"/>
      <c r="C137" s="55" t="s">
        <v>195</v>
      </c>
      <c r="D137" s="60">
        <f>(57.2+(0.75*3.5)+(2.1*0.75)+(3*0.75))*10.764</f>
        <v>685.12860000000001</v>
      </c>
      <c r="E137" s="60">
        <v>0</v>
      </c>
      <c r="F137" s="59">
        <v>1070</v>
      </c>
      <c r="G137" s="159" t="str">
        <f>A136</f>
        <v>8th Floor (Part Refuge Balcony Area)</v>
      </c>
      <c r="H137" s="160"/>
      <c r="I137" s="35"/>
    </row>
    <row r="138" spans="1:16" s="36" customFormat="1" ht="15.75" customHeight="1" x14ac:dyDescent="0.25">
      <c r="A138" s="111">
        <v>2</v>
      </c>
      <c r="B138" s="112"/>
      <c r="C138" s="55" t="s">
        <v>195</v>
      </c>
      <c r="D138" s="60">
        <f>(57.2+(3*0.75)+(3.5*0.75)+(2.1*0.75))*10.764</f>
        <v>685.12860000000001</v>
      </c>
      <c r="E138" s="60">
        <v>0</v>
      </c>
      <c r="F138" s="59">
        <v>1070</v>
      </c>
      <c r="G138" s="161"/>
      <c r="H138" s="162"/>
      <c r="I138" s="35"/>
    </row>
    <row r="139" spans="1:16" s="36" customFormat="1" ht="15.75" customHeight="1" x14ac:dyDescent="0.25">
      <c r="A139" s="111">
        <v>3</v>
      </c>
      <c r="B139" s="112"/>
      <c r="C139" s="55" t="s">
        <v>195</v>
      </c>
      <c r="D139" s="60">
        <f>(55.4+0.75*(1.8+2.9+2.15+3))*10.764</f>
        <v>675.84464999999989</v>
      </c>
      <c r="E139" s="60">
        <v>0</v>
      </c>
      <c r="F139" s="59">
        <v>1015</v>
      </c>
      <c r="G139" s="161"/>
      <c r="H139" s="162"/>
      <c r="I139" s="35"/>
    </row>
    <row r="140" spans="1:16" s="36" customFormat="1" ht="15.75" customHeight="1" x14ac:dyDescent="0.25">
      <c r="A140" s="111">
        <v>4</v>
      </c>
      <c r="B140" s="112"/>
      <c r="C140" s="55" t="s">
        <v>195</v>
      </c>
      <c r="D140" s="60">
        <f>(55.4+0.75*(1.8+2.9+2.15+3))*10.764</f>
        <v>675.84464999999989</v>
      </c>
      <c r="E140" s="60">
        <v>0</v>
      </c>
      <c r="F140" s="59">
        <v>1015</v>
      </c>
      <c r="G140" s="161"/>
      <c r="H140" s="162"/>
      <c r="I140" s="35"/>
    </row>
    <row r="141" spans="1:16" s="36" customFormat="1" ht="15.75" customHeight="1" x14ac:dyDescent="0.25">
      <c r="A141" s="111">
        <v>5</v>
      </c>
      <c r="B141" s="112"/>
      <c r="C141" s="55" t="s">
        <v>196</v>
      </c>
      <c r="D141" s="60">
        <f>(73.1+(0.75*3)+(2.25*0.75)+(2.9*0.75)+(0.75*3.15)+(0.75*3.05))*10.764</f>
        <v>902.69594999999981</v>
      </c>
      <c r="E141" s="60">
        <v>0</v>
      </c>
      <c r="F141" s="59">
        <v>1353</v>
      </c>
      <c r="G141" s="161"/>
      <c r="H141" s="162"/>
      <c r="I141" s="35"/>
    </row>
    <row r="142" spans="1:16" s="58" customFormat="1" x14ac:dyDescent="0.25">
      <c r="A142" s="111">
        <v>6</v>
      </c>
      <c r="B142" s="112"/>
      <c r="C142" s="55" t="s">
        <v>195</v>
      </c>
      <c r="D142" s="60">
        <f>(53.9+(0.75*3)+(2.3*0.75)+(0.75*2.9)+(0.75*2.9))*10.764</f>
        <v>669.78989999999988</v>
      </c>
      <c r="E142" s="60">
        <v>0</v>
      </c>
      <c r="F142" s="59">
        <v>1005</v>
      </c>
      <c r="G142" s="161"/>
      <c r="H142" s="162"/>
      <c r="I142" s="35"/>
    </row>
    <row r="143" spans="1:16" s="58" customFormat="1" x14ac:dyDescent="0.25">
      <c r="A143" s="111">
        <v>7</v>
      </c>
      <c r="B143" s="112"/>
      <c r="C143" s="55" t="s">
        <v>195</v>
      </c>
      <c r="D143" s="60">
        <f>(52.9+(2.3*0.75)+(0.75*3.15)+(1.6*0.75))*10.764</f>
        <v>626.33024999999998</v>
      </c>
      <c r="E143" s="60">
        <v>0</v>
      </c>
      <c r="F143" s="59">
        <v>963</v>
      </c>
      <c r="G143" s="161"/>
      <c r="H143" s="162"/>
      <c r="I143" s="35"/>
    </row>
    <row r="144" spans="1:16" s="58" customFormat="1" x14ac:dyDescent="0.25">
      <c r="A144" s="111">
        <v>8</v>
      </c>
      <c r="B144" s="112"/>
      <c r="C144" s="55" t="s">
        <v>195</v>
      </c>
      <c r="D144" s="60">
        <f>(54+(2.3*0.75)+(0.75*3.15)+(1.6*0.75))*10.764</f>
        <v>638.17065000000002</v>
      </c>
      <c r="E144" s="60">
        <v>0</v>
      </c>
      <c r="F144" s="59">
        <v>981</v>
      </c>
      <c r="G144" s="163"/>
      <c r="H144" s="164"/>
      <c r="I144" s="35"/>
    </row>
    <row r="145" spans="1:12" s="34" customFormat="1" x14ac:dyDescent="0.25">
      <c r="A145" s="114" t="s">
        <v>68</v>
      </c>
      <c r="B145" s="114"/>
      <c r="C145" s="114"/>
      <c r="D145" s="114"/>
      <c r="E145" s="114"/>
      <c r="F145" s="114"/>
      <c r="G145" s="114"/>
      <c r="H145" s="114"/>
    </row>
    <row r="146" spans="1:12" s="34" customFormat="1" ht="15.75" customHeight="1" x14ac:dyDescent="0.25">
      <c r="A146" s="63" t="s">
        <v>153</v>
      </c>
      <c r="B146" s="187" t="s">
        <v>229</v>
      </c>
      <c r="C146" s="188"/>
      <c r="D146" s="188"/>
      <c r="E146" s="188"/>
      <c r="F146" s="188"/>
      <c r="G146" s="188"/>
      <c r="H146" s="189"/>
      <c r="I146" s="206" t="s">
        <v>209</v>
      </c>
      <c r="J146" s="207"/>
      <c r="K146" s="207"/>
      <c r="L146" s="207"/>
    </row>
    <row r="147" spans="1:12" s="34" customFormat="1" x14ac:dyDescent="0.25">
      <c r="A147" s="46" t="s">
        <v>153</v>
      </c>
      <c r="B147" s="184" t="str">
        <f>(IF(F116="Saleable area Loading :","We have considered Saleable area of Flats as per our Calculation.","We considered Saleable area of Flat as per Builder area Sheet."))</f>
        <v>We considered Saleable area of Flat as per Builder area Sheet.</v>
      </c>
      <c r="C147" s="185"/>
      <c r="D147" s="185"/>
      <c r="E147" s="185"/>
      <c r="F147" s="185"/>
      <c r="G147" s="185"/>
      <c r="H147" s="186"/>
      <c r="I147" s="206"/>
      <c r="J147" s="207"/>
      <c r="K147" s="207"/>
      <c r="L147" s="207"/>
    </row>
    <row r="148" spans="1:12" s="34" customFormat="1" x14ac:dyDescent="0.25">
      <c r="A148" s="46" t="s">
        <v>153</v>
      </c>
      <c r="B148" s="184" t="str">
        <f>(IF(F105="Saleable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48" s="185"/>
      <c r="D148" s="185"/>
      <c r="E148" s="185"/>
      <c r="F148" s="185"/>
      <c r="G148" s="185"/>
      <c r="H148" s="186"/>
      <c r="I148" s="206"/>
      <c r="J148" s="207"/>
      <c r="K148" s="207"/>
      <c r="L148" s="207"/>
    </row>
    <row r="149" spans="1:12" s="34" customFormat="1" x14ac:dyDescent="0.25">
      <c r="A149" s="46" t="s">
        <v>153</v>
      </c>
      <c r="B149" s="72" t="s">
        <v>124</v>
      </c>
      <c r="C149" s="73"/>
      <c r="D149" s="73"/>
      <c r="E149" s="73"/>
      <c r="F149" s="73"/>
      <c r="G149" s="73"/>
      <c r="H149" s="74"/>
    </row>
    <row r="150" spans="1:12" s="34" customFormat="1" x14ac:dyDescent="0.25">
      <c r="A150" s="46" t="s">
        <v>153</v>
      </c>
      <c r="B150" s="72" t="s">
        <v>220</v>
      </c>
      <c r="C150" s="73"/>
      <c r="D150" s="73"/>
      <c r="E150" s="73"/>
      <c r="F150" s="73"/>
      <c r="G150" s="73"/>
      <c r="H150" s="74"/>
    </row>
    <row r="151" spans="1:12" s="34" customFormat="1" x14ac:dyDescent="0.25">
      <c r="A151" s="46" t="s">
        <v>153</v>
      </c>
      <c r="B151" s="72" t="s">
        <v>152</v>
      </c>
      <c r="C151" s="73"/>
      <c r="D151" s="73"/>
      <c r="E151" s="73"/>
      <c r="F151" s="73"/>
      <c r="G151" s="73"/>
      <c r="H151" s="74"/>
    </row>
    <row r="152" spans="1:12" s="34" customFormat="1" x14ac:dyDescent="0.25">
      <c r="A152" s="46" t="s">
        <v>153</v>
      </c>
      <c r="B152" s="72" t="s">
        <v>125</v>
      </c>
      <c r="C152" s="73"/>
      <c r="D152" s="73"/>
      <c r="E152" s="73"/>
      <c r="F152" s="73"/>
      <c r="G152" s="73"/>
      <c r="H152" s="74"/>
    </row>
    <row r="153" spans="1:12" s="34" customFormat="1" ht="34.5" customHeight="1" x14ac:dyDescent="0.25">
      <c r="A153" s="46" t="s">
        <v>153</v>
      </c>
      <c r="B153" s="72" t="s">
        <v>154</v>
      </c>
      <c r="C153" s="73"/>
      <c r="D153" s="73"/>
      <c r="E153" s="73"/>
      <c r="F153" s="73"/>
      <c r="G153" s="73"/>
      <c r="H153" s="74"/>
    </row>
    <row r="154" spans="1:12" s="34" customFormat="1" x14ac:dyDescent="0.25">
      <c r="A154" s="71" t="s">
        <v>153</v>
      </c>
      <c r="B154" s="72" t="s">
        <v>126</v>
      </c>
      <c r="C154" s="73"/>
      <c r="D154" s="73"/>
      <c r="E154" s="73"/>
      <c r="F154" s="73"/>
      <c r="G154" s="73"/>
      <c r="H154" s="74"/>
    </row>
    <row r="155" spans="1:12" s="34" customFormat="1" x14ac:dyDescent="0.25">
      <c r="A155" s="46" t="s">
        <v>153</v>
      </c>
      <c r="B155" s="72" t="s">
        <v>226</v>
      </c>
      <c r="C155" s="73"/>
      <c r="D155" s="73"/>
      <c r="E155" s="73"/>
      <c r="F155" s="73"/>
      <c r="G155" s="73"/>
      <c r="H155" s="74"/>
    </row>
    <row r="156" spans="1:12" x14ac:dyDescent="0.25">
      <c r="A156" s="183" t="s">
        <v>61</v>
      </c>
      <c r="B156" s="183"/>
      <c r="C156" s="183"/>
      <c r="D156" s="183"/>
      <c r="E156" s="183"/>
      <c r="F156" s="183"/>
      <c r="G156" s="183"/>
      <c r="H156" s="183"/>
    </row>
    <row r="157" spans="1:12" x14ac:dyDescent="0.25">
      <c r="A157" s="75" t="s">
        <v>62</v>
      </c>
      <c r="B157" s="75"/>
      <c r="C157" s="75"/>
      <c r="D157" s="75"/>
      <c r="E157" s="75"/>
      <c r="F157" s="75"/>
      <c r="G157" s="75"/>
      <c r="H157" s="75"/>
    </row>
    <row r="158" spans="1:12" ht="15.75" customHeight="1" x14ac:dyDescent="0.25">
      <c r="A158" s="208" t="s">
        <v>63</v>
      </c>
      <c r="B158" s="208"/>
      <c r="C158" s="208"/>
      <c r="D158" s="208"/>
      <c r="E158" s="208"/>
      <c r="F158" s="208"/>
      <c r="G158" s="208"/>
      <c r="H158" s="208"/>
    </row>
    <row r="159" spans="1:12" x14ac:dyDescent="0.25">
      <c r="A159" s="75" t="s">
        <v>64</v>
      </c>
      <c r="B159" s="75"/>
      <c r="C159" s="75"/>
      <c r="D159" s="75"/>
      <c r="E159" s="75"/>
      <c r="F159" s="75"/>
      <c r="G159" s="75"/>
      <c r="H159" s="75"/>
    </row>
    <row r="160" spans="1:12" x14ac:dyDescent="0.25">
      <c r="A160" s="75" t="s">
        <v>65</v>
      </c>
      <c r="B160" s="75"/>
      <c r="C160" s="75"/>
      <c r="D160" s="75"/>
      <c r="E160" s="75"/>
      <c r="F160" s="75"/>
      <c r="G160" s="75"/>
      <c r="H160" s="75"/>
    </row>
    <row r="161" spans="1:8" x14ac:dyDescent="0.25">
      <c r="A161" s="75" t="s">
        <v>127</v>
      </c>
      <c r="B161" s="75"/>
      <c r="C161" s="75"/>
      <c r="D161" s="75"/>
      <c r="E161" s="75"/>
      <c r="F161" s="75"/>
      <c r="G161" s="75"/>
      <c r="H161" s="75"/>
    </row>
    <row r="162" spans="1:8" ht="33.950000000000003" customHeight="1" x14ac:dyDescent="0.25">
      <c r="A162" s="80" t="s">
        <v>128</v>
      </c>
      <c r="B162" s="80"/>
      <c r="C162" s="80"/>
      <c r="D162" s="80"/>
      <c r="E162" s="80"/>
      <c r="F162" s="80"/>
      <c r="G162" s="80"/>
      <c r="H162" s="80"/>
    </row>
    <row r="163" spans="1:8" ht="15.75" customHeight="1" x14ac:dyDescent="0.25">
      <c r="A163" s="178" t="s">
        <v>76</v>
      </c>
      <c r="B163" s="178"/>
      <c r="C163" s="178" t="s">
        <v>212</v>
      </c>
      <c r="D163" s="178"/>
      <c r="E163" s="178" t="s">
        <v>105</v>
      </c>
      <c r="F163" s="178"/>
      <c r="G163" s="178" t="s">
        <v>228</v>
      </c>
      <c r="H163" s="178"/>
    </row>
    <row r="164" spans="1:8" ht="15.75" customHeight="1" x14ac:dyDescent="0.25">
      <c r="A164" s="177" t="s">
        <v>78</v>
      </c>
      <c r="B164" s="177"/>
      <c r="C164" s="177"/>
      <c r="D164" s="177"/>
      <c r="E164" s="177"/>
      <c r="F164" s="177"/>
      <c r="G164" s="177"/>
      <c r="H164" s="177"/>
    </row>
    <row r="165" spans="1:8" x14ac:dyDescent="0.25">
      <c r="A165" s="177"/>
      <c r="B165" s="177"/>
      <c r="C165" s="177"/>
      <c r="D165" s="177"/>
      <c r="E165" s="177"/>
      <c r="F165" s="177"/>
      <c r="G165" s="177"/>
      <c r="H165" s="177"/>
    </row>
    <row r="166" spans="1:8" x14ac:dyDescent="0.25">
      <c r="A166" s="177"/>
      <c r="B166" s="177"/>
      <c r="C166" s="177"/>
      <c r="D166" s="177"/>
      <c r="E166" s="177"/>
      <c r="F166" s="177"/>
      <c r="G166" s="177"/>
      <c r="H166" s="177"/>
    </row>
    <row r="167" spans="1:8" x14ac:dyDescent="0.25">
      <c r="A167" s="177"/>
      <c r="B167" s="177"/>
      <c r="C167" s="177"/>
      <c r="D167" s="177"/>
      <c r="E167" s="177"/>
      <c r="F167" s="177"/>
      <c r="G167" s="177"/>
      <c r="H167" s="177"/>
    </row>
    <row r="168" spans="1:8" x14ac:dyDescent="0.25">
      <c r="A168" s="37" t="s">
        <v>66</v>
      </c>
      <c r="B168" s="38"/>
      <c r="C168" s="38"/>
      <c r="D168" s="37" t="str">
        <f>E8</f>
        <v>Vasant Leela</v>
      </c>
      <c r="F168" s="38"/>
      <c r="G168" s="38"/>
      <c r="H168" s="38"/>
    </row>
    <row r="169" spans="1:8" x14ac:dyDescent="0.25">
      <c r="A169" s="38"/>
      <c r="B169" s="38"/>
      <c r="C169" s="38"/>
      <c r="D169" s="38"/>
      <c r="E169" s="38"/>
      <c r="F169" s="38"/>
      <c r="G169" s="38"/>
      <c r="H169" s="38"/>
    </row>
    <row r="170" spans="1:8" x14ac:dyDescent="0.25">
      <c r="A170" s="38"/>
      <c r="B170" s="38"/>
      <c r="C170" s="38"/>
      <c r="D170" s="38"/>
      <c r="E170" s="38"/>
      <c r="F170" s="38"/>
      <c r="G170" s="38"/>
      <c r="H170" s="38"/>
    </row>
    <row r="171" spans="1:8" ht="15" customHeight="1" x14ac:dyDescent="0.25"/>
    <row r="205" hidden="1" x14ac:dyDescent="0.25"/>
    <row r="206" hidden="1" x14ac:dyDescent="0.25"/>
    <row r="207" hidden="1" x14ac:dyDescent="0.25"/>
    <row r="208" hidden="1" x14ac:dyDescent="0.25"/>
    <row r="209" spans="1:1" hidden="1" x14ac:dyDescent="0.25"/>
    <row r="210" spans="1:1" hidden="1" x14ac:dyDescent="0.25"/>
    <row r="212" spans="1:1" x14ac:dyDescent="0.25">
      <c r="A212" s="40" t="s">
        <v>165</v>
      </c>
    </row>
    <row r="256" spans="1:1" x14ac:dyDescent="0.25">
      <c r="A256" s="40" t="s">
        <v>67</v>
      </c>
    </row>
  </sheetData>
  <mergeCells count="294">
    <mergeCell ref="I10:L10"/>
    <mergeCell ref="I146:L148"/>
    <mergeCell ref="E42:H42"/>
    <mergeCell ref="A42:D42"/>
    <mergeCell ref="A161:H161"/>
    <mergeCell ref="A158:H158"/>
    <mergeCell ref="A123:B123"/>
    <mergeCell ref="A99:B99"/>
    <mergeCell ref="A75:B75"/>
    <mergeCell ref="F81:H81"/>
    <mergeCell ref="G96:H96"/>
    <mergeCell ref="G108:H114"/>
    <mergeCell ref="A134:B134"/>
    <mergeCell ref="A135:B135"/>
    <mergeCell ref="A142:B142"/>
    <mergeCell ref="A143:B143"/>
    <mergeCell ref="A144:B144"/>
    <mergeCell ref="G137:H144"/>
    <mergeCell ref="G128:H135"/>
    <mergeCell ref="A131:B131"/>
    <mergeCell ref="A49:B49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B149:H149"/>
    <mergeCell ref="F88:H88"/>
    <mergeCell ref="G95:H95"/>
    <mergeCell ref="A90:E90"/>
    <mergeCell ref="C96:D96"/>
    <mergeCell ref="E96:F96"/>
    <mergeCell ref="C101:D101"/>
    <mergeCell ref="A118:H118"/>
    <mergeCell ref="A128:B128"/>
    <mergeCell ref="F90:H90"/>
    <mergeCell ref="E95:F95"/>
    <mergeCell ref="A95:B95"/>
    <mergeCell ref="C99:D99"/>
    <mergeCell ref="A102:B102"/>
    <mergeCell ref="C102:D102"/>
    <mergeCell ref="E102:F102"/>
    <mergeCell ref="G102:H102"/>
    <mergeCell ref="A127:H127"/>
    <mergeCell ref="A104:H104"/>
    <mergeCell ref="A164:H167"/>
    <mergeCell ref="A163:B163"/>
    <mergeCell ref="E163:F163"/>
    <mergeCell ref="C163:D163"/>
    <mergeCell ref="G163:H163"/>
    <mergeCell ref="A94:H94"/>
    <mergeCell ref="A92:E92"/>
    <mergeCell ref="F92:H92"/>
    <mergeCell ref="A93:E93"/>
    <mergeCell ref="F93:H93"/>
    <mergeCell ref="A100:B100"/>
    <mergeCell ref="A130:B130"/>
    <mergeCell ref="A96:B96"/>
    <mergeCell ref="A159:H159"/>
    <mergeCell ref="A98:H98"/>
    <mergeCell ref="A162:H162"/>
    <mergeCell ref="A160:H160"/>
    <mergeCell ref="A156:H156"/>
    <mergeCell ref="A157:H157"/>
    <mergeCell ref="B155:H155"/>
    <mergeCell ref="B152:H152"/>
    <mergeCell ref="B148:H148"/>
    <mergeCell ref="B146:H146"/>
    <mergeCell ref="B147:H14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F36:H36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4:H34"/>
    <mergeCell ref="F33:H33"/>
    <mergeCell ref="L122:M122"/>
    <mergeCell ref="L119:M119"/>
    <mergeCell ref="A120:B120"/>
    <mergeCell ref="L120:M120"/>
    <mergeCell ref="A121:B121"/>
    <mergeCell ref="L121:M121"/>
    <mergeCell ref="G119:H126"/>
    <mergeCell ref="A112:B112"/>
    <mergeCell ref="A113:B113"/>
    <mergeCell ref="L123:M123"/>
    <mergeCell ref="L124:M124"/>
    <mergeCell ref="L125:M125"/>
    <mergeCell ref="L126:M126"/>
    <mergeCell ref="A122:B122"/>
    <mergeCell ref="A119:B119"/>
    <mergeCell ref="A124:B124"/>
    <mergeCell ref="A125:B125"/>
    <mergeCell ref="A41:D41"/>
    <mergeCell ref="E41:H41"/>
    <mergeCell ref="D60:H60"/>
    <mergeCell ref="A43:D43"/>
    <mergeCell ref="E43:H43"/>
    <mergeCell ref="E44:H44"/>
    <mergeCell ref="E45:H45"/>
    <mergeCell ref="E46:H46"/>
    <mergeCell ref="A89:E89"/>
    <mergeCell ref="F83:H83"/>
    <mergeCell ref="A88:E88"/>
    <mergeCell ref="A77:B77"/>
    <mergeCell ref="F87:H87"/>
    <mergeCell ref="A81:E81"/>
    <mergeCell ref="F89:H89"/>
    <mergeCell ref="A83:E83"/>
    <mergeCell ref="A80:E80"/>
    <mergeCell ref="F84:H84"/>
    <mergeCell ref="A85:E85"/>
    <mergeCell ref="E69:F69"/>
    <mergeCell ref="A62:C62"/>
    <mergeCell ref="D62:H62"/>
    <mergeCell ref="A65:C65"/>
    <mergeCell ref="D65:H65"/>
    <mergeCell ref="A45:D45"/>
    <mergeCell ref="A46:D46"/>
    <mergeCell ref="G105:H105"/>
    <mergeCell ref="C100:D100"/>
    <mergeCell ref="E100:F100"/>
    <mergeCell ref="G100:H100"/>
    <mergeCell ref="A107:H107"/>
    <mergeCell ref="F91:H91"/>
    <mergeCell ref="A111:B111"/>
    <mergeCell ref="A63:C63"/>
    <mergeCell ref="D63:H63"/>
    <mergeCell ref="G70:H79"/>
    <mergeCell ref="A78:B78"/>
    <mergeCell ref="A79:B79"/>
    <mergeCell ref="A76:B76"/>
    <mergeCell ref="A69:B69"/>
    <mergeCell ref="A72:B72"/>
    <mergeCell ref="A68:B68"/>
    <mergeCell ref="A66:B66"/>
    <mergeCell ref="C66:H66"/>
    <mergeCell ref="A74:B74"/>
    <mergeCell ref="A64:C64"/>
    <mergeCell ref="D64:H64"/>
    <mergeCell ref="A70:B70"/>
    <mergeCell ref="A59:C59"/>
    <mergeCell ref="A139:B139"/>
    <mergeCell ref="A126:B126"/>
    <mergeCell ref="G116:H116"/>
    <mergeCell ref="A101:B101"/>
    <mergeCell ref="E101:F101"/>
    <mergeCell ref="A61:C61"/>
    <mergeCell ref="D61:H61"/>
    <mergeCell ref="A137:B137"/>
    <mergeCell ref="A133:B133"/>
    <mergeCell ref="G69:H69"/>
    <mergeCell ref="F80:H80"/>
    <mergeCell ref="F85:H85"/>
    <mergeCell ref="A91:E91"/>
    <mergeCell ref="G101:H101"/>
    <mergeCell ref="A97:B97"/>
    <mergeCell ref="C97:D97"/>
    <mergeCell ref="E97:F97"/>
    <mergeCell ref="G97:H97"/>
    <mergeCell ref="G99:H99"/>
    <mergeCell ref="A103:H103"/>
    <mergeCell ref="A110:B110"/>
    <mergeCell ref="A40:H40"/>
    <mergeCell ref="B153:H153"/>
    <mergeCell ref="B151:H151"/>
    <mergeCell ref="F82:H82"/>
    <mergeCell ref="A82:E82"/>
    <mergeCell ref="A84:E84"/>
    <mergeCell ref="A108:B108"/>
    <mergeCell ref="A109:B109"/>
    <mergeCell ref="A86:E86"/>
    <mergeCell ref="F86:H86"/>
    <mergeCell ref="A114:B114"/>
    <mergeCell ref="A115:H115"/>
    <mergeCell ref="B150:H150"/>
    <mergeCell ref="A145:H145"/>
    <mergeCell ref="A140:B140"/>
    <mergeCell ref="A141:B141"/>
    <mergeCell ref="A136:H136"/>
    <mergeCell ref="A106:H106"/>
    <mergeCell ref="A117:H117"/>
    <mergeCell ref="A138:B138"/>
    <mergeCell ref="E99:F99"/>
    <mergeCell ref="A132:B132"/>
    <mergeCell ref="C95:D95"/>
    <mergeCell ref="A129:B129"/>
    <mergeCell ref="B154:H154"/>
    <mergeCell ref="A37:H37"/>
    <mergeCell ref="A36:B36"/>
    <mergeCell ref="C36:E36"/>
    <mergeCell ref="A60:C60"/>
    <mergeCell ref="D59:H59"/>
    <mergeCell ref="E70:F79"/>
    <mergeCell ref="A39:B39"/>
    <mergeCell ref="C39:H39"/>
    <mergeCell ref="A87:E87"/>
    <mergeCell ref="A48:B48"/>
    <mergeCell ref="C48:H48"/>
    <mergeCell ref="C52:H52"/>
    <mergeCell ref="A38:B38"/>
    <mergeCell ref="C38:H38"/>
    <mergeCell ref="A44:D44"/>
    <mergeCell ref="A47:H47"/>
    <mergeCell ref="D57:H57"/>
    <mergeCell ref="A57:C57"/>
    <mergeCell ref="G50:H50"/>
    <mergeCell ref="A51:B52"/>
    <mergeCell ref="C68:H68"/>
    <mergeCell ref="A71:B71"/>
    <mergeCell ref="A73:B73"/>
  </mergeCells>
  <dataValidations count="6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05" xr:uid="{00000000-0002-0000-0000-000003000000}">
      <formula1>"Attached Loft area,Attached Terrace area,Attached Mezzanine area"</formula1>
    </dataValidation>
    <dataValidation type="list" allowBlank="1" showInputMessage="1" showErrorMessage="1" sqref="F80:H80" xr:uid="{00000000-0002-0000-0000-000004000000}">
      <formula1>"On Saleable Area,On Builtup Area,On Carpet Area,On Plot Area"</formula1>
    </dataValidation>
    <dataValidation type="list" allowBlank="1" showInputMessage="1" showErrorMessage="1" sqref="F92:H92" xr:uid="{00000000-0002-0000-0000-000005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44" max="16383" man="1"/>
    <brk id="167" max="16383" man="1"/>
    <brk id="211" max="16383" man="1"/>
    <brk id="25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I10" sqref="I1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106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2025-07-14T12:48:30Z</cp:lastPrinted>
  <dcterms:created xsi:type="dcterms:W3CDTF">2019-07-16T09:29:46Z</dcterms:created>
  <dcterms:modified xsi:type="dcterms:W3CDTF">2025-07-14T13:02:43Z</dcterms:modified>
</cp:coreProperties>
</file>