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D3DFBC77-20EA-4567-B204-FF9E61A9830A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I141" i="1"/>
  <c r="J143" i="1"/>
  <c r="J141" i="1"/>
  <c r="J139" i="1"/>
  <c r="I143" i="1"/>
  <c r="I139" i="1"/>
  <c r="G139" i="1"/>
  <c r="G140" i="1" s="1"/>
  <c r="G141" i="1" s="1"/>
  <c r="G142" i="1" s="1"/>
  <c r="G143" i="1" s="1"/>
  <c r="G144" i="1" s="1"/>
  <c r="D125" i="1"/>
  <c r="F125" i="1" s="1"/>
  <c r="D124" i="1"/>
  <c r="F124" i="1" s="1"/>
  <c r="D123" i="1"/>
  <c r="F123" i="1" s="1"/>
  <c r="D122" i="1"/>
  <c r="F122" i="1" s="1"/>
  <c r="D121" i="1"/>
  <c r="F121" i="1" s="1"/>
  <c r="D120" i="1"/>
  <c r="F120" i="1" s="1"/>
  <c r="D119" i="1"/>
  <c r="F119" i="1" s="1"/>
  <c r="I121" i="1"/>
  <c r="J119" i="1"/>
  <c r="J120" i="1" s="1"/>
  <c r="J124" i="1"/>
  <c r="I124" i="1"/>
  <c r="I120" i="1"/>
  <c r="I119" i="1"/>
  <c r="F126" i="1"/>
  <c r="G119" i="1"/>
  <c r="G120" i="1" s="1"/>
  <c r="G121" i="1" s="1"/>
  <c r="G122" i="1" s="1"/>
  <c r="G123" i="1" s="1"/>
  <c r="G124" i="1" s="1"/>
  <c r="G125" i="1" s="1"/>
  <c r="G126" i="1" s="1"/>
  <c r="D135" i="1"/>
  <c r="F135" i="1" s="1"/>
  <c r="D134" i="1"/>
  <c r="F134" i="1" s="1"/>
  <c r="J134" i="1" s="1"/>
  <c r="D133" i="1"/>
  <c r="F133" i="1" s="1"/>
  <c r="J133" i="1" s="1"/>
  <c r="D132" i="1"/>
  <c r="F132" i="1" s="1"/>
  <c r="J132" i="1" s="1"/>
  <c r="D131" i="1"/>
  <c r="F131" i="1" s="1"/>
  <c r="J131" i="1" s="1"/>
  <c r="D130" i="1"/>
  <c r="I134" i="1"/>
  <c r="I131" i="1"/>
  <c r="I130" i="1"/>
  <c r="C100" i="1" l="1"/>
  <c r="E100" i="1"/>
  <c r="G103" i="1"/>
  <c r="E103" i="1"/>
  <c r="C103" i="1"/>
  <c r="E42" i="1" l="1"/>
  <c r="E43" i="1" s="1"/>
  <c r="C14" i="1" l="1"/>
  <c r="E29" i="1" l="1"/>
  <c r="F130" i="1" l="1"/>
  <c r="G130" i="1"/>
  <c r="G131" i="1" s="1"/>
  <c r="G132" i="1" s="1"/>
  <c r="G133" i="1" s="1"/>
  <c r="G134" i="1" s="1"/>
  <c r="G135" i="1" s="1"/>
  <c r="G100" i="1" l="1"/>
  <c r="J130" i="1"/>
  <c r="F92" i="1"/>
  <c r="F110" i="1" l="1"/>
  <c r="F111" i="1"/>
  <c r="F112" i="1"/>
  <c r="F109" i="1"/>
  <c r="B147" i="1" l="1"/>
  <c r="B14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8" i="1"/>
  <c r="A110" i="1"/>
  <c r="A111" i="1" s="1"/>
  <c r="A112" i="1" s="1"/>
  <c r="G109" i="1"/>
  <c r="G110" i="1" s="1"/>
  <c r="G111" i="1" s="1"/>
  <c r="G112" i="1" s="1"/>
  <c r="C65" i="1"/>
  <c r="B66" i="1" s="1"/>
  <c r="D54" i="1"/>
  <c r="G49" i="1"/>
  <c r="C49" i="1"/>
  <c r="E26" i="1"/>
  <c r="E24" i="1"/>
  <c r="E7" i="1"/>
  <c r="E3" i="1"/>
  <c r="D59" i="1" l="1"/>
  <c r="H66" i="1"/>
  <c r="D73" i="1" l="1"/>
  <c r="J70" i="1"/>
  <c r="C69" i="1" s="1"/>
  <c r="D69" i="1" s="1"/>
  <c r="D74" i="1"/>
  <c r="J71" i="1"/>
  <c r="J72" i="1" s="1"/>
  <c r="J77" i="1" s="1"/>
  <c r="D78" i="1"/>
  <c r="J69" i="1"/>
  <c r="D76" i="1"/>
  <c r="D75" i="1"/>
  <c r="J68" i="1"/>
  <c r="D72" i="1"/>
  <c r="J65" i="1"/>
  <c r="J67" i="1" s="1"/>
  <c r="D77" i="1"/>
  <c r="J73" i="1"/>
  <c r="J74" i="1" s="1"/>
  <c r="J75" i="1" s="1"/>
  <c r="J76" i="1" s="1"/>
  <c r="D71" i="1"/>
  <c r="J78" i="1" l="1"/>
  <c r="C70" i="1" l="1"/>
  <c r="G69" i="1" s="1"/>
  <c r="D63" i="1" s="1"/>
  <c r="D70" i="1" l="1"/>
  <c r="I66" i="1" s="1"/>
  <c r="I67" i="1" s="1"/>
  <c r="E69" i="1"/>
  <c r="J66" i="1"/>
  <c r="D64" i="1"/>
  <c r="F64" i="1"/>
  <c r="I65" i="1" l="1"/>
  <c r="C67" i="1" s="1"/>
</calcChain>
</file>

<file path=xl/sharedStrings.xml><?xml version="1.0" encoding="utf-8"?>
<sst xmlns="http://schemas.openxmlformats.org/spreadsheetml/2006/main" count="289" uniqueCount="226">
  <si>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</si>
  <si>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</si>
  <si>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</si>
  <si>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</si>
  <si>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</si>
  <si>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</si>
  <si>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</si>
  <si>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</si>
  <si>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</si>
  <si>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</si>
  <si>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</si>
  <si>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</si>
  <si>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</si>
  <si>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</si>
  <si>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</si>
  <si>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</si>
  <si>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</si>
  <si>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</si>
  <si>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</si>
  <si>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</si>
  <si>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</si>
  <si>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</si>
  <si>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</si>
  <si>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</si>
  <si>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</si>
  <si>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</si>
  <si>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</si>
  <si>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</si>
  <si>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</si>
  <si>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</si>
  <si>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</si>
  <si>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</si>
  <si>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</si>
  <si>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</si>
  <si>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</si>
  <si>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</si>
  <si>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</si>
  <si>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</si>
  <si>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</si>
  <si>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</si>
  <si>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</si>
  <si>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</si>
  <si>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</si>
  <si>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</si>
  <si>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</si>
  <si>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</si>
  <si>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</si>
  <si>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</si>
  <si>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</si>
  <si>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</si>
  <si>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</si>
  <si>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</si>
  <si>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</si>
  <si>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</si>
  <si>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</si>
  <si>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</si>
  <si>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</si>
  <si>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</si>
  <si>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</si>
  <si>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</si>
  <si>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</si>
  <si>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</si>
  <si>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</si>
  <si>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</si>
  <si>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</si>
  <si>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</si>
  <si>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</si>
  <si>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</si>
  <si>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</si>
  <si>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</si>
  <si>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</si>
  <si>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</si>
  <si>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</si>
  <si>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</si>
  <si>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</si>
  <si>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</si>
  <si>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</si>
  <si>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</si>
  <si>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</si>
  <si>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</si>
  <si>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</si>
  <si>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</si>
  <si>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</si>
  <si>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</si>
  <si>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</si>
  <si>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</si>
  <si>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</si>
  <si>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</si>
  <si>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</si>
  <si>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</si>
  <si>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</si>
  <si>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</si>
  <si>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</si>
  <si>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</si>
  <si>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</si>
  <si>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</si>
  <si>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</si>
  <si>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</si>
  <si>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</si>
  <si>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</si>
  <si>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</si>
  <si>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</si>
  <si>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</si>
  <si>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</si>
  <si>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</si>
  <si>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</si>
  <si>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</si>
  <si>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</si>
  <si>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</si>
  <si>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</si>
  <si>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</si>
  <si>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</si>
  <si>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</si>
  <si>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</si>
  <si>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</si>
  <si>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</si>
  <si>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</si>
  <si>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</si>
  <si>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</si>
  <si>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</si>
  <si>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</si>
  <si>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</si>
  <si>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</si>
  <si>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</si>
  <si>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</si>
  <si>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</si>
  <si>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</si>
  <si>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</si>
  <si>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</si>
  <si>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</si>
  <si>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</si>
  <si>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</si>
  <si>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</si>
  <si>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</si>
  <si>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</si>
  <si>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</si>
  <si>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</si>
  <si>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</si>
  <si>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</si>
  <si>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</si>
  <si>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</si>
  <si>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</si>
  <si>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</si>
  <si>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</si>
  <si>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</si>
  <si>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</si>
  <si>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</si>
  <si>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</si>
  <si>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</si>
  <si>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</si>
  <si>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</si>
  <si>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</si>
  <si>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</si>
  <si>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</si>
  <si>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</si>
  <si>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</si>
  <si>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</si>
  <si>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</si>
  <si>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</si>
  <si>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</si>
  <si>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</si>
  <si>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</si>
  <si>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</si>
  <si>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</si>
  <si>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</si>
  <si>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</si>
  <si>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</si>
  <si>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</si>
  <si>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</si>
  <si>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</si>
  <si>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</si>
  <si>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</si>
  <si>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</si>
  <si>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</si>
  <si>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</si>
  <si>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</si>
  <si>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</si>
  <si>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</si>
  <si>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</si>
  <si>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</si>
  <si>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Vedaant Builders</t>
  </si>
  <si>
    <t>Vedaant Meadows</t>
  </si>
  <si>
    <t>9987080284/9323763636</t>
  </si>
  <si>
    <t>Varap</t>
  </si>
  <si>
    <t>Thane</t>
  </si>
  <si>
    <t>Kalyan</t>
  </si>
  <si>
    <t>Open Plot</t>
  </si>
  <si>
    <t>Internal Road</t>
  </si>
  <si>
    <t>Shree Sai Shrushti Complex</t>
  </si>
  <si>
    <t>19.252081, 73.184240</t>
  </si>
  <si>
    <t>https://goo.gl/maps/TsoYPKLtBc5XQJuR7</t>
  </si>
  <si>
    <t>Town Planning thane</t>
  </si>
  <si>
    <t>BS/Rekhankan/BP/Mauje.varap/T. Kalyan/SSThane/1307</t>
  </si>
  <si>
    <t>Mahsul/Kaksh-1/T-7/BP/Varap-Kalyan/SR-49/2021</t>
  </si>
  <si>
    <t>Building 2 (B Wing)= Gr. + 1st to 7th floor</t>
  </si>
  <si>
    <t>Building 2 (B Wing)</t>
  </si>
  <si>
    <t>As per RERA - 31/12/2025</t>
  </si>
  <si>
    <t>1st to 7th Floor For Residential</t>
  </si>
  <si>
    <t>1BHK</t>
  </si>
  <si>
    <t>2BHK</t>
  </si>
  <si>
    <t>Building No. 2 (B Wing)</t>
  </si>
  <si>
    <t>Building No. 2 (A Wing)</t>
  </si>
  <si>
    <t>Ground Floor For Entrance Lobby &amp; Parking</t>
  </si>
  <si>
    <t>Building No. 1</t>
  </si>
  <si>
    <t>Flats - 42</t>
  </si>
  <si>
    <t>We considered Gross carpet area = Net carpet + balcony.</t>
  </si>
  <si>
    <t>3.5KM from Shahad Railway Station</t>
  </si>
  <si>
    <t>Approved Plans,Cost Sheet.</t>
  </si>
  <si>
    <t>P51700049153</t>
  </si>
  <si>
    <t>Internal Rd</t>
  </si>
  <si>
    <t>Khemani Industry Area</t>
  </si>
  <si>
    <t>Ulhasnagar</t>
  </si>
  <si>
    <t>Shree Sai Srushti Complex</t>
  </si>
  <si>
    <t>House</t>
  </si>
  <si>
    <t>CCTV, Kids Play Area, Leisure Garden, Highspeed Elevators, Car Parking, Energy Mangement, Water Facility 24/7, Earthquake Resistant RCC Structure.</t>
  </si>
  <si>
    <t>Building No. 1 &amp; Building No. 2A Are drafted and hided</t>
  </si>
  <si>
    <t>We have taken CC from RERA site on 02/06/2023.</t>
  </si>
  <si>
    <t>Survey No</t>
  </si>
  <si>
    <t>As per Builder</t>
  </si>
  <si>
    <t>MIS</t>
  </si>
  <si>
    <t>1, Hissa No.1/b &amp; 1/C, Survey No.2, Hissa No. 6/2</t>
  </si>
  <si>
    <t>Sakshi : 9769277999</t>
  </si>
  <si>
    <t>Ms. Siddhi 8452033070</t>
  </si>
  <si>
    <t>Gaurav Pamchal</t>
  </si>
  <si>
    <t>Mangesh Laxman Bapardekar</t>
  </si>
  <si>
    <t>Building No. 2 Wing B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</si>
</sst>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26981</xdr:colOff>
      <xdr:row>243</xdr:row>
      <xdr:rowOff>0</xdr:rowOff>
    </xdr:from>
    <xdr:to>
      <xdr:col>5</xdr:col>
      <xdr:colOff>730157</xdr:colOff>
      <xdr:row>261</xdr:row>
      <xdr:rowOff>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6131" y="45596175"/>
          <a:ext cx="432267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647700</xdr:colOff>
      <xdr:row>261</xdr:row>
      <xdr:rowOff>155625</xdr:rowOff>
    </xdr:from>
    <xdr:to>
      <xdr:col>6</xdr:col>
      <xdr:colOff>90387</xdr:colOff>
      <xdr:row>274</xdr:row>
      <xdr:rowOff>75299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49352250"/>
          <a:ext cx="4719537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257175</xdr:colOff>
      <xdr:row>209</xdr:row>
      <xdr:rowOff>0</xdr:rowOff>
    </xdr:from>
    <xdr:to>
      <xdr:col>6</xdr:col>
      <xdr:colOff>664535</xdr:colOff>
      <xdr:row>230</xdr:row>
      <xdr:rowOff>119476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9195375"/>
          <a:ext cx="568421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771525</xdr:colOff>
      <xdr:row>244</xdr:row>
      <xdr:rowOff>76200</xdr:rowOff>
    </xdr:from>
    <xdr:to>
      <xdr:col>4</xdr:col>
      <xdr:colOff>295275</xdr:colOff>
      <xdr:row>254</xdr:row>
      <xdr:rowOff>19050</xdr:rowOff>
    </xdr:to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90675" y="47272575"/>
          <a:ext cx="2305050" cy="1943100"/>
        </a:xfrm>
        <a:custGeom>
          <a:avLst/>
          <a:gdLst>
            <a:gd name="connsiteX0" fmla="*/ 1581150 w 2305050"/>
            <a:gd name="connsiteY0" fmla="*/ 0 h 1943100"/>
            <a:gd name="connsiteX1" fmla="*/ 2305050 w 2305050"/>
            <a:gd name="connsiteY1" fmla="*/ 1000125 h 1943100"/>
            <a:gd name="connsiteX2" fmla="*/ 1619250 w 2305050"/>
            <a:gd name="connsiteY2" fmla="*/ 1533525 h 1943100"/>
            <a:gd name="connsiteX3" fmla="*/ 1362075 w 2305050"/>
            <a:gd name="connsiteY3" fmla="*/ 1219200 h 1943100"/>
            <a:gd name="connsiteX4" fmla="*/ 1181100 w 2305050"/>
            <a:gd name="connsiteY4" fmla="*/ 1104900 h 1943100"/>
            <a:gd name="connsiteX5" fmla="*/ 1095375 w 2305050"/>
            <a:gd name="connsiteY5" fmla="*/ 1704975 h 1943100"/>
            <a:gd name="connsiteX6" fmla="*/ 209550 w 2305050"/>
            <a:gd name="connsiteY6" fmla="*/ 1943100 h 1943100"/>
            <a:gd name="connsiteX7" fmla="*/ 0 w 2305050"/>
            <a:gd name="connsiteY7" fmla="*/ 981075 h 1943100"/>
            <a:gd name="connsiteX8" fmla="*/ 1123950 w 2305050"/>
            <a:gd name="connsiteY8" fmla="*/ 942975 h 1943100"/>
            <a:gd name="connsiteX9" fmla="*/ 1162050 w 2305050"/>
            <a:gd name="connsiteY9" fmla="*/ 495300 h 1943100"/>
            <a:gd name="connsiteX10" fmla="*/ 1581150 w 2305050"/>
            <a:gd name="connsiteY10" fmla="*/ 0 h 1943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2305050" h="1943100">
              <a:moveTo>
                <a:pt x="1581150" y="0"/>
              </a:moveTo>
              <a:lnTo>
                <a:pt x="2305050" y="1000125"/>
              </a:lnTo>
              <a:lnTo>
                <a:pt x="1619250" y="1533525"/>
              </a:lnTo>
              <a:lnTo>
                <a:pt x="1362075" y="1219200"/>
              </a:lnTo>
              <a:lnTo>
                <a:pt x="1181100" y="1104900"/>
              </a:lnTo>
              <a:lnTo>
                <a:pt x="1095375" y="1704975"/>
              </a:lnTo>
              <a:lnTo>
                <a:pt x="209550" y="1943100"/>
              </a:lnTo>
              <a:lnTo>
                <a:pt x="0" y="981075"/>
              </a:lnTo>
              <a:lnTo>
                <a:pt x="1123950" y="942975"/>
              </a:lnTo>
              <a:lnTo>
                <a:pt x="1162050" y="495300"/>
              </a:lnTo>
              <a:lnTo>
                <a:pt x="1581150" y="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409575</xdr:colOff>
      <xdr:row>216</xdr:row>
      <xdr:rowOff>123825</xdr:rowOff>
    </xdr:from>
    <xdr:to>
      <xdr:col>10</xdr:col>
      <xdr:colOff>552450</xdr:colOff>
      <xdr:row>220</xdr:row>
      <xdr:rowOff>161925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410450" y="40719375"/>
          <a:ext cx="2209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C00000"/>
              </a:solidFill>
            </a:rPr>
            <a:t>BLDG</a:t>
          </a:r>
          <a:r>
            <a:rPr lang="en-IN" sz="1600" b="1" baseline="0">
              <a:ln>
                <a:noFill/>
              </a:ln>
              <a:solidFill>
                <a:srgbClr val="C00000"/>
              </a:solidFill>
            </a:rPr>
            <a:t> No. 1 </a:t>
          </a:r>
          <a:endParaRPr lang="en-IN" sz="16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228600</xdr:colOff>
      <xdr:row>225</xdr:row>
      <xdr:rowOff>0</xdr:rowOff>
    </xdr:from>
    <xdr:to>
      <xdr:col>3</xdr:col>
      <xdr:colOff>666750</xdr:colOff>
      <xdr:row>229</xdr:row>
      <xdr:rowOff>38100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7750" y="42395775"/>
          <a:ext cx="2209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C00000"/>
              </a:solidFill>
            </a:rPr>
            <a:t>BLDG</a:t>
          </a:r>
          <a:r>
            <a:rPr lang="en-IN" sz="1600" b="1" baseline="0">
              <a:ln>
                <a:noFill/>
              </a:ln>
              <a:solidFill>
                <a:srgbClr val="C00000"/>
              </a:solidFill>
            </a:rPr>
            <a:t> No. 1 </a:t>
          </a:r>
          <a:endParaRPr lang="en-IN" sz="16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257175</xdr:colOff>
      <xdr:row>220</xdr:row>
      <xdr:rowOff>133351</xdr:rowOff>
    </xdr:from>
    <xdr:to>
      <xdr:col>6</xdr:col>
      <xdr:colOff>790575</xdr:colOff>
      <xdr:row>224</xdr:row>
      <xdr:rowOff>171451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9877682">
          <a:off x="3857625" y="41529001"/>
          <a:ext cx="2209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ln>
                <a:noFill/>
              </a:ln>
              <a:solidFill>
                <a:srgbClr val="C00000"/>
              </a:solidFill>
            </a:rPr>
            <a:t>BLDG</a:t>
          </a:r>
          <a:r>
            <a:rPr lang="en-IN" sz="1200" b="1" baseline="0">
              <a:ln>
                <a:noFill/>
              </a:ln>
              <a:solidFill>
                <a:srgbClr val="C00000"/>
              </a:solidFill>
            </a:rPr>
            <a:t> No. 2</a:t>
          </a:r>
        </a:p>
        <a:p>
          <a:pPr algn="l"/>
          <a:r>
            <a:rPr lang="en-IN" sz="1200" b="1" baseline="0">
              <a:ln>
                <a:noFill/>
              </a:ln>
              <a:solidFill>
                <a:srgbClr val="C00000"/>
              </a:solidFill>
            </a:rPr>
            <a:t> (A Wing)</a:t>
          </a:r>
          <a:endParaRPr lang="en-IN" sz="12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161924</xdr:colOff>
      <xdr:row>213</xdr:row>
      <xdr:rowOff>57150</xdr:rowOff>
    </xdr:from>
    <xdr:to>
      <xdr:col>5</xdr:col>
      <xdr:colOff>161924</xdr:colOff>
      <xdr:row>224</xdr:row>
      <xdr:rowOff>66675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3845344">
          <a:off x="3076574" y="40738425"/>
          <a:ext cx="2209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ln>
                <a:noFill/>
              </a:ln>
              <a:solidFill>
                <a:srgbClr val="C00000"/>
              </a:solidFill>
            </a:rPr>
            <a:t>BLDG</a:t>
          </a:r>
          <a:r>
            <a:rPr lang="en-IN" sz="1200" b="1" baseline="0">
              <a:ln>
                <a:noFill/>
              </a:ln>
              <a:solidFill>
                <a:srgbClr val="C00000"/>
              </a:solidFill>
            </a:rPr>
            <a:t> No. 2</a:t>
          </a:r>
        </a:p>
        <a:p>
          <a:pPr algn="l"/>
          <a:r>
            <a:rPr lang="en-IN" sz="1200" b="1" baseline="0">
              <a:ln>
                <a:noFill/>
              </a:ln>
              <a:solidFill>
                <a:srgbClr val="C00000"/>
              </a:solidFill>
            </a:rPr>
            <a:t> (B Wing)</a:t>
          </a:r>
          <a:endParaRPr lang="en-IN" sz="12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211930</xdr:colOff>
      <xdr:row>212</xdr:row>
      <xdr:rowOff>75628</xdr:rowOff>
    </xdr:from>
    <xdr:to>
      <xdr:col>5</xdr:col>
      <xdr:colOff>360618</xdr:colOff>
      <xdr:row>218</xdr:row>
      <xdr:rowOff>161096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3788305">
          <a:off x="3663015" y="39801368"/>
          <a:ext cx="1285618" cy="986888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1139825</xdr:colOff>
      <xdr:row>169</xdr:row>
      <xdr:rowOff>6350</xdr:rowOff>
    </xdr:from>
    <xdr:to>
      <xdr:col>17</xdr:col>
      <xdr:colOff>230478</xdr:colOff>
      <xdr:row>207</xdr:row>
      <xdr:rowOff>126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597775" y="27714575"/>
          <a:ext cx="6110578" cy="7594726"/>
          <a:chOff x="158750" y="27273250"/>
          <a:chExt cx="6377278" cy="747407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287" y="3294732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1" y="272732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3136" y="3011028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3011028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3137" y="272732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5944" y="272732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5943" y="3011028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63" y="3294732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95250</xdr:colOff>
      <xdr:row>167</xdr:row>
      <xdr:rowOff>57150</xdr:rowOff>
    </xdr:from>
    <xdr:to>
      <xdr:col>15</xdr:col>
      <xdr:colOff>681300</xdr:colOff>
      <xdr:row>204</xdr:row>
      <xdr:rowOff>110857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26120DBD-4501-482A-933D-146CF4F36FC7}"/>
            </a:ext>
          </a:extLst>
        </xdr:cNvPr>
        <xdr:cNvGrpSpPr/>
      </xdr:nvGrpSpPr>
      <xdr:grpSpPr>
        <a:xfrm>
          <a:off x="7715250" y="27365325"/>
          <a:ext cx="5043750" cy="7454632"/>
          <a:chOff x="972321" y="885371"/>
          <a:chExt cx="5043750" cy="7454632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821DD437-A152-4FB2-832A-EB73F1CD9C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1531" y="88537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3AB78A5-B929-48F7-BD58-48B644C764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4088" y="88537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75AEEB3-41F1-4768-87FE-EF835345EF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2321" y="425268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FA296541-4365-46CD-B189-22F60AA95B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7819" y="425268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41C5717C-FA65-4A40-86A8-746A4DE9C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7759" y="425268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51214B3F-FBB2-42D6-AECD-67940B977F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9225" y="654000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78CF0AB9-6C96-4819-BC43-F81392ECB6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12678" y="654000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36B55F7F-B01B-4AFF-A191-B5066D0B1B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6131" y="654000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523876</xdr:colOff>
      <xdr:row>168</xdr:row>
      <xdr:rowOff>76201</xdr:rowOff>
    </xdr:from>
    <xdr:to>
      <xdr:col>7</xdr:col>
      <xdr:colOff>123826</xdr:colOff>
      <xdr:row>206</xdr:row>
      <xdr:rowOff>95251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86F5DE8A-8A90-45FD-86A6-7F8E6EF97382}"/>
            </a:ext>
          </a:extLst>
        </xdr:cNvPr>
        <xdr:cNvGrpSpPr/>
      </xdr:nvGrpSpPr>
      <xdr:grpSpPr>
        <a:xfrm>
          <a:off x="523876" y="27584401"/>
          <a:ext cx="5334000" cy="7620000"/>
          <a:chOff x="671187" y="376518"/>
          <a:chExt cx="5420123" cy="8784015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DE328D29-D9E1-4672-A833-0BBF79B640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326" y="376518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80B4B120-3E38-4FFA-81BB-C878447A34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0549" y="376518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D96903B2-1143-4E44-A36C-C128C73009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8805" y="346038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EC5B2B12-5A04-4865-80F0-64309C3624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57574" y="346038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ACAF22A6-5A61-48EF-B0A1-1FA7F52F8B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6343" y="346038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2351FC57-11C1-4B8D-AD8B-900921A4A9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2201" y="57704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24036203-29C6-4081-BB4E-C3B1B57F8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3215" y="5770457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65163A25-4BAC-4D7B-8ABB-439D761D20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1187" y="57704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896E46DF-8898-473F-A4AA-7E2AE407D0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2201" y="7720533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FFA83985-0DF1-42E1-85F2-DF9B3859D7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770400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soYPKLtBc5XQJu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51"/>
  <sheetViews>
    <sheetView tabSelected="1" view="pageBreakPreview" zoomScaleNormal="100" zoomScaleSheetLayoutView="100" workbookViewId="0">
      <selection activeCell="I5" sqref="I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85546875" style="40" customWidth="1"/>
    <col min="4" max="4" width="14.140625" style="40" customWidth="1"/>
    <col min="5" max="7" width="11.85546875" style="40" customWidth="1"/>
    <col min="8" max="8" width="10.855468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85546875" style="21" customWidth="1"/>
    <col min="17" max="247" width="9.140625" style="21"/>
    <col min="248" max="248" width="8.85546875" style="21" customWidth="1"/>
    <col min="249" max="249" width="9.85546875" style="21" customWidth="1"/>
    <col min="250" max="250" width="14.42578125" style="21" customWidth="1"/>
    <col min="251" max="251" width="7.140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85546875" style="21" customWidth="1"/>
    <col min="505" max="505" width="9.85546875" style="21" customWidth="1"/>
    <col min="506" max="506" width="14.42578125" style="21" customWidth="1"/>
    <col min="507" max="507" width="7.140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85546875" style="21" customWidth="1"/>
    <col min="761" max="761" width="9.85546875" style="21" customWidth="1"/>
    <col min="762" max="762" width="14.42578125" style="21" customWidth="1"/>
    <col min="763" max="763" width="7.140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85546875" style="21" customWidth="1"/>
    <col min="1017" max="1017" width="9.85546875" style="21" customWidth="1"/>
    <col min="1018" max="1018" width="14.42578125" style="21" customWidth="1"/>
    <col min="1019" max="1019" width="7.140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85546875" style="21" customWidth="1"/>
    <col min="1273" max="1273" width="9.85546875" style="21" customWidth="1"/>
    <col min="1274" max="1274" width="14.42578125" style="21" customWidth="1"/>
    <col min="1275" max="1275" width="7.140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85546875" style="21" customWidth="1"/>
    <col min="1529" max="1529" width="9.85546875" style="21" customWidth="1"/>
    <col min="1530" max="1530" width="14.42578125" style="21" customWidth="1"/>
    <col min="1531" max="1531" width="7.140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85546875" style="21" customWidth="1"/>
    <col min="1785" max="1785" width="9.85546875" style="21" customWidth="1"/>
    <col min="1786" max="1786" width="14.42578125" style="21" customWidth="1"/>
    <col min="1787" max="1787" width="7.140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85546875" style="21" customWidth="1"/>
    <col min="2041" max="2041" width="9.85546875" style="21" customWidth="1"/>
    <col min="2042" max="2042" width="14.42578125" style="21" customWidth="1"/>
    <col min="2043" max="2043" width="7.140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85546875" style="21" customWidth="1"/>
    <col min="2297" max="2297" width="9.85546875" style="21" customWidth="1"/>
    <col min="2298" max="2298" width="14.42578125" style="21" customWidth="1"/>
    <col min="2299" max="2299" width="7.140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85546875" style="21" customWidth="1"/>
    <col min="2553" max="2553" width="9.85546875" style="21" customWidth="1"/>
    <col min="2554" max="2554" width="14.42578125" style="21" customWidth="1"/>
    <col min="2555" max="2555" width="7.140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85546875" style="21" customWidth="1"/>
    <col min="2809" max="2809" width="9.85546875" style="21" customWidth="1"/>
    <col min="2810" max="2810" width="14.42578125" style="21" customWidth="1"/>
    <col min="2811" max="2811" width="7.140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85546875" style="21" customWidth="1"/>
    <col min="3065" max="3065" width="9.85546875" style="21" customWidth="1"/>
    <col min="3066" max="3066" width="14.42578125" style="21" customWidth="1"/>
    <col min="3067" max="3067" width="7.140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85546875" style="21" customWidth="1"/>
    <col min="3321" max="3321" width="9.85546875" style="21" customWidth="1"/>
    <col min="3322" max="3322" width="14.42578125" style="21" customWidth="1"/>
    <col min="3323" max="3323" width="7.140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85546875" style="21" customWidth="1"/>
    <col min="3577" max="3577" width="9.85546875" style="21" customWidth="1"/>
    <col min="3578" max="3578" width="14.42578125" style="21" customWidth="1"/>
    <col min="3579" max="3579" width="7.140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85546875" style="21" customWidth="1"/>
    <col min="3833" max="3833" width="9.85546875" style="21" customWidth="1"/>
    <col min="3834" max="3834" width="14.42578125" style="21" customWidth="1"/>
    <col min="3835" max="3835" width="7.140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85546875" style="21" customWidth="1"/>
    <col min="4089" max="4089" width="9.85546875" style="21" customWidth="1"/>
    <col min="4090" max="4090" width="14.42578125" style="21" customWidth="1"/>
    <col min="4091" max="4091" width="7.140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85546875" style="21" customWidth="1"/>
    <col min="4345" max="4345" width="9.85546875" style="21" customWidth="1"/>
    <col min="4346" max="4346" width="14.42578125" style="21" customWidth="1"/>
    <col min="4347" max="4347" width="7.140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85546875" style="21" customWidth="1"/>
    <col min="4601" max="4601" width="9.85546875" style="21" customWidth="1"/>
    <col min="4602" max="4602" width="14.42578125" style="21" customWidth="1"/>
    <col min="4603" max="4603" width="7.140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85546875" style="21" customWidth="1"/>
    <col min="4857" max="4857" width="9.85546875" style="21" customWidth="1"/>
    <col min="4858" max="4858" width="14.42578125" style="21" customWidth="1"/>
    <col min="4859" max="4859" width="7.140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85546875" style="21" customWidth="1"/>
    <col min="5113" max="5113" width="9.85546875" style="21" customWidth="1"/>
    <col min="5114" max="5114" width="14.42578125" style="21" customWidth="1"/>
    <col min="5115" max="5115" width="7.140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85546875" style="21" customWidth="1"/>
    <col min="5369" max="5369" width="9.85546875" style="21" customWidth="1"/>
    <col min="5370" max="5370" width="14.42578125" style="21" customWidth="1"/>
    <col min="5371" max="5371" width="7.140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85546875" style="21" customWidth="1"/>
    <col min="5625" max="5625" width="9.85546875" style="21" customWidth="1"/>
    <col min="5626" max="5626" width="14.42578125" style="21" customWidth="1"/>
    <col min="5627" max="5627" width="7.140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85546875" style="21" customWidth="1"/>
    <col min="5881" max="5881" width="9.85546875" style="21" customWidth="1"/>
    <col min="5882" max="5882" width="14.42578125" style="21" customWidth="1"/>
    <col min="5883" max="5883" width="7.140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85546875" style="21" customWidth="1"/>
    <col min="6137" max="6137" width="9.85546875" style="21" customWidth="1"/>
    <col min="6138" max="6138" width="14.42578125" style="21" customWidth="1"/>
    <col min="6139" max="6139" width="7.140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85546875" style="21" customWidth="1"/>
    <col min="6393" max="6393" width="9.85546875" style="21" customWidth="1"/>
    <col min="6394" max="6394" width="14.42578125" style="21" customWidth="1"/>
    <col min="6395" max="6395" width="7.140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85546875" style="21" customWidth="1"/>
    <col min="6649" max="6649" width="9.85546875" style="21" customWidth="1"/>
    <col min="6650" max="6650" width="14.42578125" style="21" customWidth="1"/>
    <col min="6651" max="6651" width="7.140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85546875" style="21" customWidth="1"/>
    <col min="6905" max="6905" width="9.85546875" style="21" customWidth="1"/>
    <col min="6906" max="6906" width="14.42578125" style="21" customWidth="1"/>
    <col min="6907" max="6907" width="7.140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85546875" style="21" customWidth="1"/>
    <col min="7161" max="7161" width="9.85546875" style="21" customWidth="1"/>
    <col min="7162" max="7162" width="14.42578125" style="21" customWidth="1"/>
    <col min="7163" max="7163" width="7.140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85546875" style="21" customWidth="1"/>
    <col min="7417" max="7417" width="9.85546875" style="21" customWidth="1"/>
    <col min="7418" max="7418" width="14.42578125" style="21" customWidth="1"/>
    <col min="7419" max="7419" width="7.140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85546875" style="21" customWidth="1"/>
    <col min="7673" max="7673" width="9.85546875" style="21" customWidth="1"/>
    <col min="7674" max="7674" width="14.42578125" style="21" customWidth="1"/>
    <col min="7675" max="7675" width="7.140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85546875" style="21" customWidth="1"/>
    <col min="7929" max="7929" width="9.85546875" style="21" customWidth="1"/>
    <col min="7930" max="7930" width="14.42578125" style="21" customWidth="1"/>
    <col min="7931" max="7931" width="7.140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85546875" style="21" customWidth="1"/>
    <col min="8185" max="8185" width="9.85546875" style="21" customWidth="1"/>
    <col min="8186" max="8186" width="14.42578125" style="21" customWidth="1"/>
    <col min="8187" max="8187" width="7.140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85546875" style="21" customWidth="1"/>
    <col min="8441" max="8441" width="9.85546875" style="21" customWidth="1"/>
    <col min="8442" max="8442" width="14.42578125" style="21" customWidth="1"/>
    <col min="8443" max="8443" width="7.140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85546875" style="21" customWidth="1"/>
    <col min="8697" max="8697" width="9.85546875" style="21" customWidth="1"/>
    <col min="8698" max="8698" width="14.42578125" style="21" customWidth="1"/>
    <col min="8699" max="8699" width="7.140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85546875" style="21" customWidth="1"/>
    <col min="8953" max="8953" width="9.85546875" style="21" customWidth="1"/>
    <col min="8954" max="8954" width="14.42578125" style="21" customWidth="1"/>
    <col min="8955" max="8955" width="7.140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85546875" style="21" customWidth="1"/>
    <col min="9209" max="9209" width="9.85546875" style="21" customWidth="1"/>
    <col min="9210" max="9210" width="14.42578125" style="21" customWidth="1"/>
    <col min="9211" max="9211" width="7.140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85546875" style="21" customWidth="1"/>
    <col min="9465" max="9465" width="9.85546875" style="21" customWidth="1"/>
    <col min="9466" max="9466" width="14.42578125" style="21" customWidth="1"/>
    <col min="9467" max="9467" width="7.140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85546875" style="21" customWidth="1"/>
    <col min="9721" max="9721" width="9.85546875" style="21" customWidth="1"/>
    <col min="9722" max="9722" width="14.42578125" style="21" customWidth="1"/>
    <col min="9723" max="9723" width="7.140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85546875" style="21" customWidth="1"/>
    <col min="9977" max="9977" width="9.85546875" style="21" customWidth="1"/>
    <col min="9978" max="9978" width="14.42578125" style="21" customWidth="1"/>
    <col min="9979" max="9979" width="7.140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85546875" style="21" customWidth="1"/>
    <col min="10233" max="10233" width="9.85546875" style="21" customWidth="1"/>
    <col min="10234" max="10234" width="14.42578125" style="21" customWidth="1"/>
    <col min="10235" max="10235" width="7.140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85546875" style="21" customWidth="1"/>
    <col min="10489" max="10489" width="9.85546875" style="21" customWidth="1"/>
    <col min="10490" max="10490" width="14.42578125" style="21" customWidth="1"/>
    <col min="10491" max="10491" width="7.140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85546875" style="21" customWidth="1"/>
    <col min="10745" max="10745" width="9.85546875" style="21" customWidth="1"/>
    <col min="10746" max="10746" width="14.42578125" style="21" customWidth="1"/>
    <col min="10747" max="10747" width="7.140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85546875" style="21" customWidth="1"/>
    <col min="11001" max="11001" width="9.85546875" style="21" customWidth="1"/>
    <col min="11002" max="11002" width="14.42578125" style="21" customWidth="1"/>
    <col min="11003" max="11003" width="7.140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85546875" style="21" customWidth="1"/>
    <col min="11257" max="11257" width="9.85546875" style="21" customWidth="1"/>
    <col min="11258" max="11258" width="14.42578125" style="21" customWidth="1"/>
    <col min="11259" max="11259" width="7.140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85546875" style="21" customWidth="1"/>
    <col min="11513" max="11513" width="9.85546875" style="21" customWidth="1"/>
    <col min="11514" max="11514" width="14.42578125" style="21" customWidth="1"/>
    <col min="11515" max="11515" width="7.140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85546875" style="21" customWidth="1"/>
    <col min="11769" max="11769" width="9.85546875" style="21" customWidth="1"/>
    <col min="11770" max="11770" width="14.42578125" style="21" customWidth="1"/>
    <col min="11771" max="11771" width="7.140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85546875" style="21" customWidth="1"/>
    <col min="12025" max="12025" width="9.85546875" style="21" customWidth="1"/>
    <col min="12026" max="12026" width="14.42578125" style="21" customWidth="1"/>
    <col min="12027" max="12027" width="7.140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85546875" style="21" customWidth="1"/>
    <col min="12281" max="12281" width="9.85546875" style="21" customWidth="1"/>
    <col min="12282" max="12282" width="14.42578125" style="21" customWidth="1"/>
    <col min="12283" max="12283" width="7.140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85546875" style="21" customWidth="1"/>
    <col min="12537" max="12537" width="9.85546875" style="21" customWidth="1"/>
    <col min="12538" max="12538" width="14.42578125" style="21" customWidth="1"/>
    <col min="12539" max="12539" width="7.140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85546875" style="21" customWidth="1"/>
    <col min="12793" max="12793" width="9.85546875" style="21" customWidth="1"/>
    <col min="12794" max="12794" width="14.42578125" style="21" customWidth="1"/>
    <col min="12795" max="12795" width="7.140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85546875" style="21" customWidth="1"/>
    <col min="13049" max="13049" width="9.85546875" style="21" customWidth="1"/>
    <col min="13050" max="13050" width="14.42578125" style="21" customWidth="1"/>
    <col min="13051" max="13051" width="7.140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85546875" style="21" customWidth="1"/>
    <col min="13305" max="13305" width="9.85546875" style="21" customWidth="1"/>
    <col min="13306" max="13306" width="14.42578125" style="21" customWidth="1"/>
    <col min="13307" max="13307" width="7.140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85546875" style="21" customWidth="1"/>
    <col min="13561" max="13561" width="9.85546875" style="21" customWidth="1"/>
    <col min="13562" max="13562" width="14.42578125" style="21" customWidth="1"/>
    <col min="13563" max="13563" width="7.140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85546875" style="21" customWidth="1"/>
    <col min="13817" max="13817" width="9.85546875" style="21" customWidth="1"/>
    <col min="13818" max="13818" width="14.42578125" style="21" customWidth="1"/>
    <col min="13819" max="13819" width="7.140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85546875" style="21" customWidth="1"/>
    <col min="14073" max="14073" width="9.85546875" style="21" customWidth="1"/>
    <col min="14074" max="14074" width="14.42578125" style="21" customWidth="1"/>
    <col min="14075" max="14075" width="7.140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85546875" style="21" customWidth="1"/>
    <col min="14329" max="14329" width="9.85546875" style="21" customWidth="1"/>
    <col min="14330" max="14330" width="14.42578125" style="21" customWidth="1"/>
    <col min="14331" max="14331" width="7.140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85546875" style="21" customWidth="1"/>
    <col min="14585" max="14585" width="9.85546875" style="21" customWidth="1"/>
    <col min="14586" max="14586" width="14.42578125" style="21" customWidth="1"/>
    <col min="14587" max="14587" width="7.140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85546875" style="21" customWidth="1"/>
    <col min="14841" max="14841" width="9.85546875" style="21" customWidth="1"/>
    <col min="14842" max="14842" width="14.42578125" style="21" customWidth="1"/>
    <col min="14843" max="14843" width="7.140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85546875" style="21" customWidth="1"/>
    <col min="15097" max="15097" width="9.85546875" style="21" customWidth="1"/>
    <col min="15098" max="15098" width="14.42578125" style="21" customWidth="1"/>
    <col min="15099" max="15099" width="7.140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85546875" style="21" customWidth="1"/>
    <col min="15353" max="15353" width="9.85546875" style="21" customWidth="1"/>
    <col min="15354" max="15354" width="14.42578125" style="21" customWidth="1"/>
    <col min="15355" max="15355" width="7.140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85546875" style="21" customWidth="1"/>
    <col min="15609" max="15609" width="9.85546875" style="21" customWidth="1"/>
    <col min="15610" max="15610" width="14.42578125" style="21" customWidth="1"/>
    <col min="15611" max="15611" width="7.140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85546875" style="21" customWidth="1"/>
    <col min="15865" max="15865" width="9.85546875" style="21" customWidth="1"/>
    <col min="15866" max="15866" width="14.42578125" style="21" customWidth="1"/>
    <col min="15867" max="15867" width="7.140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85546875" style="21" customWidth="1"/>
    <col min="16121" max="16121" width="9.85546875" style="21" customWidth="1"/>
    <col min="16122" max="16122" width="14.42578125" style="21" customWidth="1"/>
    <col min="16123" max="16123" width="7.140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23" t="s">
        <v>174</v>
      </c>
      <c r="B1" s="123"/>
      <c r="C1" s="123"/>
      <c r="D1" s="123"/>
      <c r="E1" s="123"/>
      <c r="F1" s="123"/>
      <c r="G1" s="123"/>
      <c r="H1" s="123"/>
    </row>
    <row r="2" spans="1:12" ht="16.5" customHeight="1" x14ac:dyDescent="0.2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12" x14ac:dyDescent="0.25">
      <c r="A3" s="81" t="s">
        <v>1</v>
      </c>
      <c r="B3" s="81"/>
      <c r="C3" s="81"/>
      <c r="D3" s="81"/>
      <c r="E3" s="81" t="str">
        <f ca="1">TEXT(TODAY(),"DD/MM/YYYY")</f>
        <v>14/07/2025</v>
      </c>
      <c r="F3" s="81"/>
      <c r="G3" s="81"/>
      <c r="H3" s="81"/>
    </row>
    <row r="4" spans="1:12" ht="15" customHeight="1" x14ac:dyDescent="0.25">
      <c r="A4" s="81" t="s">
        <v>2</v>
      </c>
      <c r="B4" s="81"/>
      <c r="C4" s="81"/>
      <c r="D4" s="81"/>
      <c r="E4" s="81" t="s">
        <v>179</v>
      </c>
      <c r="F4" s="81"/>
      <c r="G4" s="81"/>
      <c r="H4" s="81"/>
    </row>
    <row r="5" spans="1:12" x14ac:dyDescent="0.25">
      <c r="A5" s="81" t="s">
        <v>3</v>
      </c>
      <c r="B5" s="81"/>
      <c r="C5" s="81"/>
      <c r="D5" s="81"/>
      <c r="E5" s="125">
        <v>45847</v>
      </c>
      <c r="F5" s="81"/>
      <c r="G5" s="81"/>
      <c r="H5" s="81"/>
    </row>
    <row r="6" spans="1:12" ht="16.5" customHeight="1" x14ac:dyDescent="0.25">
      <c r="A6" s="81" t="s">
        <v>4</v>
      </c>
      <c r="B6" s="81"/>
      <c r="C6" s="81"/>
      <c r="D6" s="81"/>
      <c r="E6" s="81" t="s">
        <v>180</v>
      </c>
      <c r="F6" s="81"/>
      <c r="G6" s="81"/>
      <c r="H6" s="81"/>
    </row>
    <row r="7" spans="1:12" ht="15" customHeight="1" x14ac:dyDescent="0.25">
      <c r="A7" s="81" t="s">
        <v>5</v>
      </c>
      <c r="B7" s="81"/>
      <c r="C7" s="81"/>
      <c r="D7" s="81"/>
      <c r="E7" s="81" t="str">
        <f>E6</f>
        <v>Vedaant Builders</v>
      </c>
      <c r="F7" s="81"/>
      <c r="G7" s="81"/>
      <c r="H7" s="81"/>
    </row>
    <row r="8" spans="1:12" x14ac:dyDescent="0.25">
      <c r="A8" s="81" t="s">
        <v>6</v>
      </c>
      <c r="B8" s="81"/>
      <c r="C8" s="81"/>
      <c r="D8" s="81"/>
      <c r="E8" s="124" t="s">
        <v>181</v>
      </c>
      <c r="F8" s="124"/>
      <c r="G8" s="124"/>
      <c r="H8" s="124"/>
    </row>
    <row r="9" spans="1:12" x14ac:dyDescent="0.25">
      <c r="A9" s="81" t="s">
        <v>177</v>
      </c>
      <c r="B9" s="81"/>
      <c r="C9" s="81"/>
      <c r="D9" s="81"/>
      <c r="E9" s="81" t="s">
        <v>182</v>
      </c>
      <c r="F9" s="81"/>
      <c r="G9" s="81"/>
      <c r="H9" s="81"/>
      <c r="I9" s="55" t="s">
        <v>215</v>
      </c>
      <c r="J9" s="55"/>
      <c r="K9" s="55"/>
      <c r="L9" s="55"/>
    </row>
    <row r="10" spans="1:12" x14ac:dyDescent="0.25">
      <c r="A10" s="81" t="s">
        <v>178</v>
      </c>
      <c r="B10" s="81"/>
      <c r="C10" s="81"/>
      <c r="D10" s="81"/>
      <c r="E10" s="81" t="s">
        <v>222</v>
      </c>
      <c r="F10" s="81"/>
      <c r="G10" s="81"/>
      <c r="H10" s="81"/>
      <c r="I10" s="81" t="s">
        <v>221</v>
      </c>
      <c r="J10" s="81"/>
      <c r="K10" s="81"/>
      <c r="L10" s="81"/>
    </row>
    <row r="11" spans="1:12" x14ac:dyDescent="0.25">
      <c r="A11" s="81" t="s">
        <v>7</v>
      </c>
      <c r="B11" s="81"/>
      <c r="C11" s="81"/>
      <c r="D11" s="81"/>
      <c r="E11" s="81" t="s">
        <v>195</v>
      </c>
      <c r="F11" s="81"/>
      <c r="G11" s="81"/>
      <c r="H11" s="81"/>
    </row>
    <row r="12" spans="1:12" x14ac:dyDescent="0.25">
      <c r="A12" s="82" t="s">
        <v>8</v>
      </c>
      <c r="B12" s="82"/>
      <c r="C12" s="82"/>
      <c r="D12" s="82"/>
      <c r="E12" s="122" t="s">
        <v>207</v>
      </c>
      <c r="F12" s="122"/>
      <c r="G12" s="122"/>
      <c r="H12" s="122"/>
    </row>
    <row r="13" spans="1:12" x14ac:dyDescent="0.25">
      <c r="A13" s="82" t="s">
        <v>9</v>
      </c>
      <c r="B13" s="82"/>
      <c r="C13" s="82"/>
      <c r="D13" s="82"/>
      <c r="E13" s="122" t="s">
        <v>208</v>
      </c>
      <c r="F13" s="82"/>
      <c r="G13" s="82"/>
      <c r="H13" s="82"/>
    </row>
    <row r="14" spans="1:12" ht="48.75" customHeight="1" x14ac:dyDescent="0.25">
      <c r="A14" s="122" t="s">
        <v>10</v>
      </c>
      <c r="B14" s="122"/>
      <c r="C14" s="12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Vedaant Meadows, Survey No.1, Hissa No.1/b &amp; 1/C, Survey No.2, Hissa No. 6/2, near Shree Sai Srushti Complex, Internal Rd, Khemani Industry Area, Varap, Ulhasnagar, Kalyan, Thane - 421001.</v>
      </c>
      <c r="D14" s="122"/>
      <c r="E14" s="122"/>
      <c r="F14" s="122"/>
      <c r="G14" s="122"/>
      <c r="H14" s="122"/>
    </row>
    <row r="15" spans="1:12" x14ac:dyDescent="0.25">
      <c r="A15" s="122" t="s">
        <v>217</v>
      </c>
      <c r="B15" s="122"/>
      <c r="C15" s="122" t="s">
        <v>220</v>
      </c>
      <c r="D15" s="122"/>
      <c r="E15" s="122"/>
      <c r="F15" s="122"/>
      <c r="G15" s="122"/>
      <c r="H15" s="122"/>
    </row>
    <row r="16" spans="1:12" ht="15.75" customHeight="1" x14ac:dyDescent="0.25">
      <c r="A16" s="122" t="s">
        <v>172</v>
      </c>
      <c r="B16" s="122"/>
      <c r="C16" s="122" t="s">
        <v>210</v>
      </c>
      <c r="D16" s="122"/>
      <c r="E16" s="122"/>
      <c r="F16" s="122"/>
      <c r="G16" s="122"/>
      <c r="H16" s="122"/>
    </row>
    <row r="17" spans="1:8" ht="15.75" customHeight="1" x14ac:dyDescent="0.25">
      <c r="A17" s="122" t="s">
        <v>11</v>
      </c>
      <c r="B17" s="122"/>
      <c r="C17" s="82" t="s">
        <v>209</v>
      </c>
      <c r="D17" s="82"/>
      <c r="E17" s="122" t="s">
        <v>75</v>
      </c>
      <c r="F17" s="122"/>
      <c r="G17" s="122" t="s">
        <v>183</v>
      </c>
      <c r="H17" s="122"/>
    </row>
    <row r="18" spans="1:8" x14ac:dyDescent="0.25">
      <c r="A18" s="82" t="s">
        <v>13</v>
      </c>
      <c r="B18" s="82"/>
      <c r="C18" s="122" t="s">
        <v>211</v>
      </c>
      <c r="D18" s="122"/>
      <c r="E18" s="122" t="s">
        <v>12</v>
      </c>
      <c r="F18" s="122"/>
      <c r="G18" s="126" t="s">
        <v>184</v>
      </c>
      <c r="H18" s="126"/>
    </row>
    <row r="19" spans="1:8" x14ac:dyDescent="0.25">
      <c r="A19" s="82" t="s">
        <v>76</v>
      </c>
      <c r="B19" s="82"/>
      <c r="C19" s="122" t="s">
        <v>185</v>
      </c>
      <c r="D19" s="122"/>
      <c r="E19" s="122" t="s">
        <v>14</v>
      </c>
      <c r="F19" s="122"/>
      <c r="G19" s="122">
        <v>421001</v>
      </c>
      <c r="H19" s="122"/>
    </row>
    <row r="20" spans="1:8" ht="32.25" customHeight="1" x14ac:dyDescent="0.25">
      <c r="A20" s="82" t="s">
        <v>129</v>
      </c>
      <c r="B20" s="82"/>
      <c r="C20" s="122" t="s">
        <v>212</v>
      </c>
      <c r="D20" s="122"/>
      <c r="E20" s="122" t="s">
        <v>15</v>
      </c>
      <c r="F20" s="122"/>
      <c r="G20" s="122" t="s">
        <v>206</v>
      </c>
      <c r="H20" s="122"/>
    </row>
    <row r="21" spans="1:8" ht="15" customHeight="1" x14ac:dyDescent="0.25">
      <c r="A21" s="122" t="s">
        <v>79</v>
      </c>
      <c r="B21" s="122"/>
      <c r="C21" s="122"/>
      <c r="D21" s="122"/>
      <c r="E21" s="82" t="s">
        <v>16</v>
      </c>
      <c r="F21" s="82"/>
      <c r="G21" s="82"/>
      <c r="H21" s="82"/>
    </row>
    <row r="22" spans="1:8" ht="18.75" customHeight="1" x14ac:dyDescent="0.25">
      <c r="A22" s="122"/>
      <c r="B22" s="122"/>
      <c r="C22" s="122"/>
      <c r="D22" s="122"/>
      <c r="E22" s="82"/>
      <c r="F22" s="82"/>
      <c r="G22" s="82"/>
      <c r="H22" s="82"/>
    </row>
    <row r="23" spans="1:8" ht="15" customHeight="1" x14ac:dyDescent="0.25">
      <c r="A23" s="79" t="s">
        <v>17</v>
      </c>
      <c r="B23" s="79"/>
      <c r="C23" s="79"/>
      <c r="D23" s="79"/>
      <c r="E23" s="80" t="s">
        <v>18</v>
      </c>
      <c r="F23" s="80"/>
      <c r="G23" s="80"/>
      <c r="H23" s="80"/>
    </row>
    <row r="24" spans="1:8" ht="15" customHeight="1" x14ac:dyDescent="0.25">
      <c r="A24" s="59" t="s">
        <v>19</v>
      </c>
      <c r="B24" s="59"/>
      <c r="C24" s="59"/>
      <c r="D24" s="59"/>
      <c r="E24" s="80" t="str">
        <f>IF(AND(G18="Mumbai"),"Upper Class","Middle Class")</f>
        <v>Middle Class</v>
      </c>
      <c r="F24" s="80"/>
      <c r="G24" s="80"/>
      <c r="H24" s="80"/>
    </row>
    <row r="25" spans="1:8" x14ac:dyDescent="0.25">
      <c r="A25" s="59" t="s">
        <v>20</v>
      </c>
      <c r="B25" s="59"/>
      <c r="C25" s="59"/>
      <c r="D25" s="59"/>
      <c r="E25" s="80" t="s">
        <v>21</v>
      </c>
      <c r="F25" s="80"/>
      <c r="G25" s="80"/>
      <c r="H25" s="80"/>
    </row>
    <row r="26" spans="1:8" ht="15.75" customHeight="1" x14ac:dyDescent="0.25">
      <c r="A26" s="59" t="s">
        <v>22</v>
      </c>
      <c r="B26" s="59"/>
      <c r="C26" s="59"/>
      <c r="D26" s="59"/>
      <c r="E26" s="80" t="str">
        <f>IF(AND(G18="Mumbai"),"Developed","Developing")</f>
        <v>Developing</v>
      </c>
      <c r="F26" s="80"/>
      <c r="G26" s="80"/>
      <c r="H26" s="80"/>
    </row>
    <row r="27" spans="1:8" x14ac:dyDescent="0.25">
      <c r="A27" s="59" t="s">
        <v>23</v>
      </c>
      <c r="B27" s="59"/>
      <c r="C27" s="59"/>
      <c r="D27" s="59"/>
      <c r="E27" s="80" t="s">
        <v>24</v>
      </c>
      <c r="F27" s="80"/>
      <c r="G27" s="80"/>
      <c r="H27" s="80"/>
    </row>
    <row r="28" spans="1:8" ht="15.75" customHeight="1" x14ac:dyDescent="0.25">
      <c r="A28" s="59" t="s">
        <v>84</v>
      </c>
      <c r="B28" s="59"/>
      <c r="C28" s="59"/>
      <c r="D28" s="59"/>
      <c r="E28" s="80" t="s">
        <v>85</v>
      </c>
      <c r="F28" s="80"/>
      <c r="G28" s="80"/>
      <c r="H28" s="80"/>
    </row>
    <row r="29" spans="1:8" ht="15" customHeight="1" x14ac:dyDescent="0.25">
      <c r="A29" s="59" t="s">
        <v>33</v>
      </c>
      <c r="B29" s="59"/>
      <c r="C29" s="59"/>
      <c r="D29" s="59"/>
      <c r="E29" s="8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80"/>
      <c r="G29" s="80"/>
      <c r="H29" s="80"/>
    </row>
    <row r="30" spans="1:8" ht="15.75" customHeight="1" x14ac:dyDescent="0.25">
      <c r="A30" s="59" t="s">
        <v>96</v>
      </c>
      <c r="B30" s="59"/>
      <c r="C30" s="59"/>
      <c r="D30" s="59"/>
      <c r="E30" s="80" t="s">
        <v>34</v>
      </c>
      <c r="F30" s="80"/>
      <c r="G30" s="80"/>
      <c r="H30" s="80"/>
    </row>
    <row r="31" spans="1:8" s="22" customFormat="1" x14ac:dyDescent="0.25">
      <c r="A31" s="130" t="s">
        <v>97</v>
      </c>
      <c r="B31" s="130"/>
      <c r="C31" s="129" t="s">
        <v>29</v>
      </c>
      <c r="D31" s="129"/>
      <c r="E31" s="129"/>
      <c r="F31" s="129" t="s">
        <v>31</v>
      </c>
      <c r="G31" s="129"/>
      <c r="H31" s="129"/>
    </row>
    <row r="32" spans="1:8" s="22" customFormat="1" x14ac:dyDescent="0.25">
      <c r="A32" s="127" t="s">
        <v>25</v>
      </c>
      <c r="B32" s="127" t="s">
        <v>30</v>
      </c>
      <c r="C32" s="128" t="s">
        <v>30</v>
      </c>
      <c r="D32" s="128"/>
      <c r="E32" s="128"/>
      <c r="F32" s="128" t="s">
        <v>187</v>
      </c>
      <c r="G32" s="128"/>
      <c r="H32" s="128"/>
    </row>
    <row r="33" spans="1:8" x14ac:dyDescent="0.25">
      <c r="A33" s="127" t="s">
        <v>26</v>
      </c>
      <c r="B33" s="127" t="s">
        <v>30</v>
      </c>
      <c r="C33" s="128" t="s">
        <v>30</v>
      </c>
      <c r="D33" s="128"/>
      <c r="E33" s="128"/>
      <c r="F33" s="128" t="s">
        <v>188</v>
      </c>
      <c r="G33" s="128"/>
      <c r="H33" s="128"/>
    </row>
    <row r="34" spans="1:8" s="22" customFormat="1" x14ac:dyDescent="0.25">
      <c r="A34" s="127" t="s">
        <v>28</v>
      </c>
      <c r="B34" s="127" t="s">
        <v>30</v>
      </c>
      <c r="C34" s="128" t="s">
        <v>30</v>
      </c>
      <c r="D34" s="128"/>
      <c r="E34" s="128"/>
      <c r="F34" s="128" t="s">
        <v>186</v>
      </c>
      <c r="G34" s="128"/>
      <c r="H34" s="128"/>
    </row>
    <row r="35" spans="1:8" x14ac:dyDescent="0.25">
      <c r="A35" s="127" t="s">
        <v>27</v>
      </c>
      <c r="B35" s="127" t="s">
        <v>30</v>
      </c>
      <c r="C35" s="128" t="s">
        <v>30</v>
      </c>
      <c r="D35" s="128"/>
      <c r="E35" s="128"/>
      <c r="F35" s="128" t="s">
        <v>213</v>
      </c>
      <c r="G35" s="128"/>
      <c r="H35" s="128"/>
    </row>
    <row r="36" spans="1:8" x14ac:dyDescent="0.25">
      <c r="A36" s="59" t="s">
        <v>32</v>
      </c>
      <c r="B36" s="59"/>
      <c r="C36" s="59"/>
      <c r="D36" s="59"/>
      <c r="E36" s="59"/>
      <c r="F36" s="59"/>
      <c r="G36" s="59"/>
      <c r="H36" s="59"/>
    </row>
    <row r="37" spans="1:8" ht="15.75" customHeight="1" x14ac:dyDescent="0.25">
      <c r="A37" s="59" t="s">
        <v>175</v>
      </c>
      <c r="B37" s="59"/>
      <c r="C37" s="117" t="s">
        <v>189</v>
      </c>
      <c r="D37" s="117"/>
      <c r="E37" s="117"/>
      <c r="F37" s="117"/>
      <c r="G37" s="117"/>
      <c r="H37" s="117"/>
    </row>
    <row r="38" spans="1:8" x14ac:dyDescent="0.25">
      <c r="A38" s="59" t="s">
        <v>171</v>
      </c>
      <c r="B38" s="59"/>
      <c r="C38" s="174" t="s">
        <v>190</v>
      </c>
      <c r="D38" s="80"/>
      <c r="E38" s="80"/>
      <c r="F38" s="80"/>
      <c r="G38" s="80"/>
      <c r="H38" s="80"/>
    </row>
    <row r="39" spans="1:8" x14ac:dyDescent="0.25">
      <c r="A39" s="117" t="s">
        <v>35</v>
      </c>
      <c r="B39" s="117"/>
      <c r="C39" s="117"/>
      <c r="D39" s="117"/>
      <c r="E39" s="117"/>
      <c r="F39" s="117"/>
      <c r="G39" s="117"/>
      <c r="H39" s="117"/>
    </row>
    <row r="40" spans="1:8" x14ac:dyDescent="0.25">
      <c r="A40" s="59" t="s">
        <v>36</v>
      </c>
      <c r="B40" s="59"/>
      <c r="C40" s="59"/>
      <c r="D40" s="59"/>
      <c r="E40" s="131">
        <v>3520</v>
      </c>
      <c r="F40" s="131"/>
      <c r="G40" s="131"/>
      <c r="H40" s="131"/>
    </row>
    <row r="41" spans="1:8" x14ac:dyDescent="0.25">
      <c r="A41" s="59" t="s">
        <v>37</v>
      </c>
      <c r="B41" s="59"/>
      <c r="C41" s="59"/>
      <c r="D41" s="59"/>
      <c r="E41" s="58">
        <v>1.1000000000000001</v>
      </c>
      <c r="F41" s="58"/>
      <c r="G41" s="58"/>
      <c r="H41" s="58"/>
    </row>
    <row r="42" spans="1:8" x14ac:dyDescent="0.25">
      <c r="A42" s="59" t="s">
        <v>38</v>
      </c>
      <c r="B42" s="59"/>
      <c r="C42" s="59"/>
      <c r="D42" s="59"/>
      <c r="E42" s="58">
        <f>E44/E40-E41</f>
        <v>1.1392556818181818</v>
      </c>
      <c r="F42" s="58"/>
      <c r="G42" s="58"/>
      <c r="H42" s="58"/>
    </row>
    <row r="43" spans="1:8" x14ac:dyDescent="0.25">
      <c r="A43" s="59" t="s">
        <v>39</v>
      </c>
      <c r="B43" s="59"/>
      <c r="C43" s="59"/>
      <c r="D43" s="59"/>
      <c r="E43" s="58">
        <f>E41+E42</f>
        <v>2.2392556818181819</v>
      </c>
      <c r="F43" s="58"/>
      <c r="G43" s="58"/>
      <c r="H43" s="58"/>
    </row>
    <row r="44" spans="1:8" x14ac:dyDescent="0.25">
      <c r="A44" s="59" t="s">
        <v>95</v>
      </c>
      <c r="B44" s="59"/>
      <c r="C44" s="59"/>
      <c r="D44" s="59"/>
      <c r="E44" s="158">
        <v>7882.18</v>
      </c>
      <c r="F44" s="158"/>
      <c r="G44" s="158"/>
      <c r="H44" s="158"/>
    </row>
    <row r="45" spans="1:8" x14ac:dyDescent="0.25">
      <c r="A45" s="82" t="s">
        <v>40</v>
      </c>
      <c r="B45" s="82"/>
      <c r="C45" s="82"/>
      <c r="D45" s="82"/>
      <c r="E45" s="82" t="s">
        <v>128</v>
      </c>
      <c r="F45" s="82"/>
      <c r="G45" s="82"/>
      <c r="H45" s="82"/>
    </row>
    <row r="46" spans="1:8" x14ac:dyDescent="0.25">
      <c r="A46" s="132" t="s">
        <v>41</v>
      </c>
      <c r="B46" s="132"/>
      <c r="C46" s="132"/>
      <c r="D46" s="132"/>
      <c r="E46" s="132"/>
      <c r="F46" s="132"/>
      <c r="G46" s="132"/>
      <c r="H46" s="132"/>
    </row>
    <row r="47" spans="1:8" ht="33.75" customHeight="1" x14ac:dyDescent="0.25">
      <c r="A47" s="175" t="s">
        <v>158</v>
      </c>
      <c r="B47" s="176"/>
      <c r="C47" s="177" t="s">
        <v>191</v>
      </c>
      <c r="D47" s="178"/>
      <c r="E47" s="178"/>
      <c r="F47" s="178"/>
      <c r="G47" s="178"/>
      <c r="H47" s="179"/>
    </row>
    <row r="48" spans="1:8" ht="29.25" customHeight="1" x14ac:dyDescent="0.25">
      <c r="A48" s="74" t="s">
        <v>42</v>
      </c>
      <c r="B48" s="75"/>
      <c r="C48" s="74" t="s">
        <v>192</v>
      </c>
      <c r="D48" s="76"/>
      <c r="E48" s="75"/>
      <c r="F48" s="18" t="s">
        <v>43</v>
      </c>
      <c r="G48" s="77">
        <v>44686</v>
      </c>
      <c r="H48" s="75"/>
    </row>
    <row r="49" spans="1:14" ht="36" customHeight="1" x14ac:dyDescent="0.25">
      <c r="A49" s="74" t="s">
        <v>44</v>
      </c>
      <c r="B49" s="75"/>
      <c r="C49" s="74" t="str">
        <f>C48</f>
        <v>BS/Rekhankan/BP/Mauje.varap/T. Kalyan/SSThane/1307</v>
      </c>
      <c r="D49" s="76"/>
      <c r="E49" s="75"/>
      <c r="F49" s="18" t="s">
        <v>43</v>
      </c>
      <c r="G49" s="77">
        <f>G48</f>
        <v>44686</v>
      </c>
      <c r="H49" s="138"/>
    </row>
    <row r="50" spans="1:14" s="23" customFormat="1" ht="33" customHeight="1" x14ac:dyDescent="0.25">
      <c r="A50" s="139" t="s">
        <v>162</v>
      </c>
      <c r="B50" s="140"/>
      <c r="C50" s="74" t="s">
        <v>193</v>
      </c>
      <c r="D50" s="76"/>
      <c r="E50" s="75"/>
      <c r="F50" s="18" t="s">
        <v>43</v>
      </c>
      <c r="G50" s="77">
        <v>44753</v>
      </c>
      <c r="H50" s="75"/>
    </row>
    <row r="51" spans="1:14" s="23" customFormat="1" x14ac:dyDescent="0.25">
      <c r="A51" s="141"/>
      <c r="B51" s="142"/>
      <c r="C51" s="74" t="s">
        <v>194</v>
      </c>
      <c r="D51" s="76"/>
      <c r="E51" s="76"/>
      <c r="F51" s="76"/>
      <c r="G51" s="76"/>
      <c r="H51" s="75"/>
    </row>
    <row r="52" spans="1:14" x14ac:dyDescent="0.25">
      <c r="A52" s="143" t="s">
        <v>45</v>
      </c>
      <c r="B52" s="144"/>
      <c r="C52" s="143" t="s">
        <v>109</v>
      </c>
      <c r="D52" s="145"/>
      <c r="E52" s="144"/>
      <c r="F52" s="46" t="s">
        <v>43</v>
      </c>
      <c r="G52" s="83" t="s">
        <v>30</v>
      </c>
      <c r="H52" s="84"/>
    </row>
    <row r="53" spans="1:14" x14ac:dyDescent="0.25">
      <c r="A53" s="78" t="s">
        <v>47</v>
      </c>
      <c r="B53" s="78"/>
      <c r="C53" s="78"/>
      <c r="D53" s="78"/>
      <c r="E53" s="78"/>
      <c r="F53" s="78"/>
      <c r="G53" s="78"/>
      <c r="H53" s="78"/>
    </row>
    <row r="54" spans="1:14" x14ac:dyDescent="0.25">
      <c r="A54" s="79" t="s">
        <v>94</v>
      </c>
      <c r="B54" s="79"/>
      <c r="C54" s="79"/>
      <c r="D54" s="59">
        <f>E44</f>
        <v>7882.18</v>
      </c>
      <c r="E54" s="59"/>
      <c r="F54" s="59"/>
      <c r="G54" s="59"/>
      <c r="H54" s="59"/>
    </row>
    <row r="55" spans="1:14" x14ac:dyDescent="0.25">
      <c r="A55" s="80" t="s">
        <v>48</v>
      </c>
      <c r="B55" s="81"/>
      <c r="C55" s="81"/>
      <c r="D55" s="82" t="s">
        <v>204</v>
      </c>
      <c r="E55" s="82"/>
      <c r="F55" s="82"/>
      <c r="G55" s="82"/>
      <c r="H55" s="82"/>
      <c r="I55" s="24"/>
    </row>
    <row r="56" spans="1:14" x14ac:dyDescent="0.25">
      <c r="A56" s="135" t="s">
        <v>49</v>
      </c>
      <c r="B56" s="136"/>
      <c r="C56" s="137"/>
      <c r="D56" s="133" t="s">
        <v>194</v>
      </c>
      <c r="E56" s="134"/>
      <c r="F56" s="134"/>
      <c r="G56" s="134"/>
      <c r="H56" s="134"/>
    </row>
    <row r="57" spans="1:14" ht="15.75" customHeight="1" x14ac:dyDescent="0.25">
      <c r="A57" s="135" t="s">
        <v>92</v>
      </c>
      <c r="B57" s="136"/>
      <c r="C57" s="136"/>
      <c r="D57" s="82" t="s">
        <v>194</v>
      </c>
      <c r="E57" s="82"/>
      <c r="F57" s="82"/>
      <c r="G57" s="82"/>
      <c r="H57" s="82"/>
    </row>
    <row r="58" spans="1:14" ht="15.75" customHeight="1" x14ac:dyDescent="0.25">
      <c r="A58" s="59" t="s">
        <v>46</v>
      </c>
      <c r="B58" s="59"/>
      <c r="C58" s="59"/>
      <c r="D58" s="79" t="s">
        <v>196</v>
      </c>
      <c r="E58" s="79"/>
      <c r="F58" s="79"/>
      <c r="G58" s="79"/>
      <c r="H58" s="79"/>
      <c r="J58" s="25"/>
      <c r="K58" s="24"/>
      <c r="N58" s="24"/>
    </row>
    <row r="59" spans="1:14" ht="15.75" customHeight="1" x14ac:dyDescent="0.25">
      <c r="A59" s="59" t="s">
        <v>90</v>
      </c>
      <c r="B59" s="59"/>
      <c r="C59" s="59"/>
      <c r="D59" s="157" t="str">
        <f>(IF(G52="NA","60 Years After Completion",IF(G52&lt;&gt;"NA",""&amp;60-ROUNDDOWN((E3-G52)/360,0)&amp;" Years"," ")))</f>
        <v>60 Years After Completion</v>
      </c>
      <c r="E59" s="157"/>
      <c r="F59" s="157"/>
      <c r="G59" s="157"/>
      <c r="H59" s="157"/>
      <c r="N59" s="24"/>
    </row>
    <row r="60" spans="1:14" ht="15.75" customHeight="1" x14ac:dyDescent="0.25">
      <c r="A60" s="59" t="s">
        <v>91</v>
      </c>
      <c r="B60" s="59"/>
      <c r="C60" s="59"/>
      <c r="D60" s="79" t="s">
        <v>24</v>
      </c>
      <c r="E60" s="79"/>
      <c r="F60" s="79"/>
      <c r="G60" s="79"/>
      <c r="H60" s="79"/>
      <c r="J60" s="26"/>
      <c r="K60" s="26"/>
    </row>
    <row r="61" spans="1:14" ht="46.5" customHeight="1" x14ac:dyDescent="0.25">
      <c r="A61" s="59" t="s">
        <v>77</v>
      </c>
      <c r="B61" s="59"/>
      <c r="C61" s="59"/>
      <c r="D61" s="80" t="s">
        <v>214</v>
      </c>
      <c r="E61" s="79"/>
      <c r="F61" s="79"/>
      <c r="G61" s="79"/>
      <c r="H61" s="79"/>
    </row>
    <row r="62" spans="1:14" x14ac:dyDescent="0.25">
      <c r="A62" s="79" t="s">
        <v>155</v>
      </c>
      <c r="B62" s="79"/>
      <c r="C62" s="79"/>
      <c r="D62" s="79" t="s">
        <v>30</v>
      </c>
      <c r="E62" s="79"/>
      <c r="F62" s="79"/>
      <c r="G62" s="79"/>
      <c r="H62" s="79"/>
      <c r="I62" s="27"/>
      <c r="J62" s="27"/>
      <c r="K62" s="27"/>
      <c r="L62" s="27"/>
      <c r="M62" s="27"/>
      <c r="N62" s="27"/>
    </row>
    <row r="63" spans="1:14" ht="15.75" customHeight="1" x14ac:dyDescent="0.25">
      <c r="A63" s="120" t="s">
        <v>89</v>
      </c>
      <c r="B63" s="120"/>
      <c r="C63" s="120"/>
      <c r="D63" s="119" t="str">
        <f ca="1">(IF(G69&gt;95%,"Nothing",IF(G69&gt;0%,"Cement, Aggregate, Steel, etc",IF(G69=0%,"Work not yet Started"))))</f>
        <v>Cement, Aggregate, Steel, etc</v>
      </c>
      <c r="E63" s="119"/>
      <c r="F63" s="119"/>
      <c r="G63" s="119"/>
      <c r="H63" s="119"/>
      <c r="J63" s="26"/>
    </row>
    <row r="64" spans="1:14" ht="33.75" customHeight="1" thickBot="1" x14ac:dyDescent="0.3">
      <c r="A64" s="118" t="s">
        <v>122</v>
      </c>
      <c r="B64" s="118"/>
      <c r="C64" s="118"/>
      <c r="D64" s="119" t="str">
        <f ca="1">(IF(D63="Nothing","Yes",IF(D63="Cement, Aggregate, Steel, etc","Under Construction",IF(D63="Work not yet Started","Work not yet Started"))))</f>
        <v>Under Construction</v>
      </c>
      <c r="E64" s="119"/>
      <c r="F64" s="119" t="str">
        <f ca="1">(IF(D63="Nothing","Yes",IF(D63="Cement, Aggregate, Steel, etc","Under Construction",IF(D63="Work not yet Started","Work not yet Started"))))</f>
        <v>Under Construction</v>
      </c>
      <c r="G64" s="119"/>
      <c r="H64" s="119"/>
    </row>
    <row r="65" spans="1:10" ht="15.75" customHeight="1" x14ac:dyDescent="0.25">
      <c r="A65" s="160" t="s">
        <v>147</v>
      </c>
      <c r="B65" s="161"/>
      <c r="C65" s="162" t="str">
        <f>D57</f>
        <v>Building 2 (B Wing)= Gr. + 1st to 7th floor</v>
      </c>
      <c r="D65" s="163"/>
      <c r="E65" s="163"/>
      <c r="F65" s="163"/>
      <c r="G65" s="163"/>
      <c r="H65" s="164"/>
      <c r="I65" s="5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 Floor, Painting upto 1 Floor Completed</v>
      </c>
      <c r="J65" s="5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 Floor, Painting upto 1 Floor</v>
      </c>
    </row>
    <row r="66" spans="1:10" x14ac:dyDescent="0.25">
      <c r="A66" s="16" t="s">
        <v>149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57">
        <v>0</v>
      </c>
      <c r="G66" s="49" t="s">
        <v>83</v>
      </c>
      <c r="H66" s="17">
        <f ca="1">--TRIM(RIGHT(SUBSTITUTE(LEFT(C65,_xlfn.AGGREGATE(16,6,FIND({0,1,2,3,4,5,6,7,8,9},C65,ROW(INDIRECT("1:"&amp;LEN(C65)))),1))," ",REPT(" ",LEN(C65))),LEN(C65)))</f>
        <v>7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.1" customHeight="1" x14ac:dyDescent="0.25">
      <c r="A67" s="159" t="s">
        <v>93</v>
      </c>
      <c r="B67" s="124"/>
      <c r="C67" s="165" t="str">
        <f ca="1">I65</f>
        <v>Excavation, Plinth, RCC Slab, Brickwork, Internal Plaster, External Plaster Completed, Flooring upto 1 Floor, Painting upto 1 Floor Completed</v>
      </c>
      <c r="D67" s="165"/>
      <c r="E67" s="165"/>
      <c r="F67" s="165"/>
      <c r="G67" s="165"/>
      <c r="H67" s="166"/>
      <c r="I67" s="52" t="str">
        <f ca="1">IF(I66&lt;&gt;""," Completed","")</f>
        <v xml:space="preserve"> Completed</v>
      </c>
      <c r="J67" s="53" t="str">
        <f ca="1">IF(J65&lt;&gt;"","Completed","")</f>
        <v>Completed</v>
      </c>
    </row>
    <row r="68" spans="1:10" ht="15.75" customHeight="1" x14ac:dyDescent="0.25">
      <c r="A68" s="70" t="s">
        <v>50</v>
      </c>
      <c r="B68" s="71"/>
      <c r="C68" s="44" t="s">
        <v>146</v>
      </c>
      <c r="D68" s="44" t="s">
        <v>86</v>
      </c>
      <c r="E68" s="71" t="s">
        <v>88</v>
      </c>
      <c r="F68" s="71"/>
      <c r="G68" s="71" t="s">
        <v>87</v>
      </c>
      <c r="H68" s="121"/>
      <c r="I68" s="14" t="s">
        <v>148</v>
      </c>
      <c r="J68" s="28">
        <f ca="1">H66*25%</f>
        <v>1.75</v>
      </c>
    </row>
    <row r="69" spans="1:10" x14ac:dyDescent="0.25">
      <c r="A69" s="70" t="s">
        <v>135</v>
      </c>
      <c r="B69" s="71"/>
      <c r="C69" s="44">
        <f ca="1">J70</f>
        <v>7</v>
      </c>
      <c r="D69" s="19">
        <f ca="1">((100/H66)*C69)/100</f>
        <v>1</v>
      </c>
      <c r="E69" s="146">
        <f ca="1">(((C70/H66*10)+(40/(D66+F66+H66)*C71)+(7.5/(H66)*C72)+(7.5/(H66)*C73)+(10/H66*C74)+(10/H66*C75)+(5/H66*C76)+(5/H66*C77)+(5/H66*C78))/100)</f>
        <v>0.77142857142857135</v>
      </c>
      <c r="F69" s="147"/>
      <c r="G69" s="146">
        <f ca="1">((((C69/H66)*20)+((C70/H66)*25)+(30/(H66+F66+D66)*C71)+(5/H66*C72)+(5/H66*C73)+(5/H66*C74)+(5/H66*C75)+(0/H66*C76)+(0/H66*C77)+(5/H66*C78))/100)</f>
        <v>0.90714285714285703</v>
      </c>
      <c r="H69" s="152"/>
      <c r="I69" s="14" t="s">
        <v>104</v>
      </c>
      <c r="J69" s="29">
        <f ca="1">H66*50%</f>
        <v>3.5</v>
      </c>
    </row>
    <row r="70" spans="1:10" x14ac:dyDescent="0.25">
      <c r="A70" s="70" t="s">
        <v>51</v>
      </c>
      <c r="B70" s="71"/>
      <c r="C70" s="56">
        <f ca="1">J78</f>
        <v>7</v>
      </c>
      <c r="D70" s="19">
        <f ca="1">((100/H66)*C70)/100</f>
        <v>1</v>
      </c>
      <c r="E70" s="148"/>
      <c r="F70" s="149"/>
      <c r="G70" s="148"/>
      <c r="H70" s="153"/>
      <c r="I70" s="14" t="s">
        <v>105</v>
      </c>
      <c r="J70" s="29">
        <f ca="1">H66</f>
        <v>7</v>
      </c>
    </row>
    <row r="71" spans="1:10" ht="15.75" customHeight="1" x14ac:dyDescent="0.25">
      <c r="A71" s="70" t="s">
        <v>136</v>
      </c>
      <c r="B71" s="71"/>
      <c r="C71" s="44">
        <v>8</v>
      </c>
      <c r="D71" s="19">
        <f ca="1">((100/(D66+F66+H66))*C71)/100</f>
        <v>1</v>
      </c>
      <c r="E71" s="148"/>
      <c r="F71" s="149"/>
      <c r="G71" s="148"/>
      <c r="H71" s="153"/>
      <c r="I71" s="14" t="s">
        <v>106</v>
      </c>
      <c r="J71" s="30">
        <f ca="1">(IF(B66&gt;1,(H66/(B66+2)),H66/4))</f>
        <v>1.75</v>
      </c>
    </row>
    <row r="72" spans="1:10" ht="15.75" customHeight="1" x14ac:dyDescent="0.25">
      <c r="A72" s="70" t="s">
        <v>143</v>
      </c>
      <c r="B72" s="71" t="s">
        <v>137</v>
      </c>
      <c r="C72" s="44">
        <v>7</v>
      </c>
      <c r="D72" s="19">
        <f ca="1">((100/H66)*C72)/100</f>
        <v>1</v>
      </c>
      <c r="E72" s="148"/>
      <c r="F72" s="149"/>
      <c r="G72" s="148"/>
      <c r="H72" s="153"/>
      <c r="I72" s="14" t="s">
        <v>107</v>
      </c>
      <c r="J72" s="30">
        <f ca="1">(IF(B66&gt;1,(H66/(B66+2)+J71),H66/4+J71))</f>
        <v>3.5</v>
      </c>
    </row>
    <row r="73" spans="1:10" ht="15.75" customHeight="1" x14ac:dyDescent="0.25">
      <c r="A73" s="70" t="s">
        <v>144</v>
      </c>
      <c r="B73" s="71" t="s">
        <v>137</v>
      </c>
      <c r="C73" s="44">
        <v>7</v>
      </c>
      <c r="D73" s="19">
        <f ca="1">((100/H66)*C73)/100</f>
        <v>1</v>
      </c>
      <c r="E73" s="148"/>
      <c r="F73" s="149"/>
      <c r="G73" s="148"/>
      <c r="H73" s="153"/>
      <c r="I73" s="14" t="s">
        <v>153</v>
      </c>
      <c r="J73" s="30">
        <f>(IF(B66&gt;1,(H66/(B66+2)+J72),0))</f>
        <v>0</v>
      </c>
    </row>
    <row r="74" spans="1:10" ht="15" customHeight="1" x14ac:dyDescent="0.25">
      <c r="A74" s="70" t="s">
        <v>142</v>
      </c>
      <c r="B74" s="71" t="s">
        <v>139</v>
      </c>
      <c r="C74" s="44">
        <v>7</v>
      </c>
      <c r="D74" s="19">
        <f ca="1">((100/(H66))*C74)/100</f>
        <v>1</v>
      </c>
      <c r="E74" s="148"/>
      <c r="F74" s="149"/>
      <c r="G74" s="148"/>
      <c r="H74" s="153"/>
      <c r="I74" s="14" t="s">
        <v>150</v>
      </c>
      <c r="J74" s="30">
        <f>(IF(B66&gt;2,(H66/(B66+2)+J73),0))</f>
        <v>0</v>
      </c>
    </row>
    <row r="75" spans="1:10" ht="15.75" customHeight="1" x14ac:dyDescent="0.25">
      <c r="A75" s="70" t="s">
        <v>138</v>
      </c>
      <c r="B75" s="71" t="s">
        <v>138</v>
      </c>
      <c r="C75" s="44">
        <v>1</v>
      </c>
      <c r="D75" s="19">
        <f ca="1">((100/H66)*C75)/100</f>
        <v>0.14285714285714288</v>
      </c>
      <c r="E75" s="148"/>
      <c r="F75" s="149"/>
      <c r="G75" s="148"/>
      <c r="H75" s="153"/>
      <c r="I75" s="14" t="s">
        <v>151</v>
      </c>
      <c r="J75" s="31">
        <f>(IF(B66&gt;3,(H66/(B66+2)+J74),0))</f>
        <v>0</v>
      </c>
    </row>
    <row r="76" spans="1:10" ht="15.75" customHeight="1" x14ac:dyDescent="0.25">
      <c r="A76" s="70" t="s">
        <v>145</v>
      </c>
      <c r="B76" s="71"/>
      <c r="C76" s="44">
        <v>1</v>
      </c>
      <c r="D76" s="19">
        <f ca="1">((100/H66)*C76)/100</f>
        <v>0.14285714285714288</v>
      </c>
      <c r="E76" s="148"/>
      <c r="F76" s="149"/>
      <c r="G76" s="148"/>
      <c r="H76" s="153"/>
      <c r="I76" s="14" t="s">
        <v>152</v>
      </c>
      <c r="J76" s="30">
        <f>(IF(B66&gt;4,(H66/(B66+2)+J75),0))</f>
        <v>0</v>
      </c>
    </row>
    <row r="77" spans="1:10" ht="15.75" customHeight="1" x14ac:dyDescent="0.25">
      <c r="A77" s="70" t="s">
        <v>140</v>
      </c>
      <c r="B77" s="71" t="s">
        <v>140</v>
      </c>
      <c r="C77" s="44">
        <v>0</v>
      </c>
      <c r="D77" s="19">
        <f ca="1">((100/(H66))*C77)/100</f>
        <v>0</v>
      </c>
      <c r="E77" s="148"/>
      <c r="F77" s="149"/>
      <c r="G77" s="148"/>
      <c r="H77" s="153"/>
      <c r="I77" s="14" t="s">
        <v>154</v>
      </c>
      <c r="J77" s="30">
        <f ca="1">(IF(B66=1,(H66/(B66+3)+J72),IF(B66=0,(H66/4+J72),IF(B66&gt;1,0))))</f>
        <v>5.25</v>
      </c>
    </row>
    <row r="78" spans="1:10" ht="16.5" thickBot="1" x14ac:dyDescent="0.3">
      <c r="A78" s="155" t="s">
        <v>141</v>
      </c>
      <c r="B78" s="156"/>
      <c r="C78" s="45">
        <v>0</v>
      </c>
      <c r="D78" s="20">
        <f ca="1">((100/(H66))*C78)/100</f>
        <v>0</v>
      </c>
      <c r="E78" s="150"/>
      <c r="F78" s="151"/>
      <c r="G78" s="150"/>
      <c r="H78" s="154"/>
      <c r="I78" s="15" t="s">
        <v>108</v>
      </c>
      <c r="J78" s="32">
        <f ca="1">(IF(B66&gt;1.5,(H66/(B66+2)+J72+MAX(0,J73-J72)+MAX(0,J74-J73)+MAX(0,J75-J74)+MAX(0,J76-J75)+MAX(0,J77-J76)),IF(B66=1,(H66/(B66+3)+J77),IF(B66=0,H66/4+J77))))</f>
        <v>7</v>
      </c>
    </row>
    <row r="79" spans="1:10" x14ac:dyDescent="0.25">
      <c r="A79" s="169" t="s">
        <v>164</v>
      </c>
      <c r="B79" s="169"/>
      <c r="C79" s="169"/>
      <c r="D79" s="169"/>
      <c r="E79" s="169"/>
      <c r="F79" s="91" t="s">
        <v>169</v>
      </c>
      <c r="G79" s="91"/>
      <c r="H79" s="91"/>
    </row>
    <row r="80" spans="1:10" x14ac:dyDescent="0.25">
      <c r="A80" s="59" t="s">
        <v>167</v>
      </c>
      <c r="B80" s="59"/>
      <c r="C80" s="59"/>
      <c r="D80" s="59"/>
      <c r="E80" s="59"/>
      <c r="F80" s="72">
        <v>4000</v>
      </c>
      <c r="G80" s="72"/>
      <c r="H80" s="72"/>
    </row>
    <row r="81" spans="1:8" hidden="1" x14ac:dyDescent="0.25">
      <c r="A81" s="59" t="s">
        <v>166</v>
      </c>
      <c r="B81" s="59"/>
      <c r="C81" s="59"/>
      <c r="D81" s="59"/>
      <c r="E81" s="59"/>
      <c r="F81" s="72"/>
      <c r="G81" s="72"/>
      <c r="H81" s="72"/>
    </row>
    <row r="82" spans="1:8" hidden="1" x14ac:dyDescent="0.25">
      <c r="A82" s="59" t="s">
        <v>168</v>
      </c>
      <c r="B82" s="59"/>
      <c r="C82" s="59"/>
      <c r="D82" s="59"/>
      <c r="E82" s="59"/>
      <c r="F82" s="72"/>
      <c r="G82" s="72"/>
      <c r="H82" s="72"/>
    </row>
    <row r="83" spans="1:8" s="33" customFormat="1" hidden="1" x14ac:dyDescent="0.25">
      <c r="A83" s="59" t="s">
        <v>165</v>
      </c>
      <c r="B83" s="59"/>
      <c r="C83" s="59"/>
      <c r="D83" s="59"/>
      <c r="E83" s="59"/>
      <c r="F83" s="72"/>
      <c r="G83" s="72"/>
      <c r="H83" s="72"/>
    </row>
    <row r="84" spans="1:8" s="33" customFormat="1" x14ac:dyDescent="0.25">
      <c r="A84" s="59" t="s">
        <v>98</v>
      </c>
      <c r="B84" s="59"/>
      <c r="C84" s="59"/>
      <c r="D84" s="59"/>
      <c r="E84" s="59"/>
      <c r="F84" s="72">
        <v>150000</v>
      </c>
      <c r="G84" s="72"/>
      <c r="H84" s="72"/>
    </row>
    <row r="85" spans="1:8" s="33" customFormat="1" hidden="1" x14ac:dyDescent="0.25">
      <c r="A85" s="59" t="s">
        <v>99</v>
      </c>
      <c r="B85" s="59"/>
      <c r="C85" s="59"/>
      <c r="D85" s="59"/>
      <c r="E85" s="59"/>
      <c r="F85" s="72"/>
      <c r="G85" s="72"/>
      <c r="H85" s="72"/>
    </row>
    <row r="86" spans="1:8" s="33" customFormat="1" hidden="1" x14ac:dyDescent="0.25">
      <c r="A86" s="59" t="s">
        <v>170</v>
      </c>
      <c r="B86" s="59"/>
      <c r="C86" s="59"/>
      <c r="D86" s="59"/>
      <c r="E86" s="59"/>
      <c r="F86" s="72"/>
      <c r="G86" s="72"/>
      <c r="H86" s="72"/>
    </row>
    <row r="87" spans="1:8" s="33" customFormat="1" hidden="1" x14ac:dyDescent="0.25">
      <c r="A87" s="59" t="s">
        <v>100</v>
      </c>
      <c r="B87" s="59"/>
      <c r="C87" s="59"/>
      <c r="D87" s="59"/>
      <c r="E87" s="59"/>
      <c r="F87" s="72"/>
      <c r="G87" s="72"/>
      <c r="H87" s="72"/>
    </row>
    <row r="88" spans="1:8" s="33" customFormat="1" hidden="1" x14ac:dyDescent="0.25">
      <c r="A88" s="59" t="s">
        <v>101</v>
      </c>
      <c r="B88" s="59"/>
      <c r="C88" s="59"/>
      <c r="D88" s="59"/>
      <c r="E88" s="59"/>
      <c r="F88" s="72"/>
      <c r="G88" s="72"/>
      <c r="H88" s="72"/>
    </row>
    <row r="89" spans="1:8" s="33" customFormat="1" hidden="1" x14ac:dyDescent="0.25">
      <c r="A89" s="59" t="s">
        <v>102</v>
      </c>
      <c r="B89" s="59"/>
      <c r="C89" s="59"/>
      <c r="D89" s="59"/>
      <c r="E89" s="59"/>
      <c r="F89" s="72"/>
      <c r="G89" s="72"/>
      <c r="H89" s="72"/>
    </row>
    <row r="90" spans="1:8" s="33" customFormat="1" hidden="1" x14ac:dyDescent="0.25">
      <c r="A90" s="59" t="s">
        <v>103</v>
      </c>
      <c r="B90" s="59"/>
      <c r="C90" s="59"/>
      <c r="D90" s="59"/>
      <c r="E90" s="59"/>
      <c r="F90" s="72"/>
      <c r="G90" s="72"/>
      <c r="H90" s="72"/>
    </row>
    <row r="91" spans="1:8" x14ac:dyDescent="0.25">
      <c r="A91" s="59" t="s">
        <v>52</v>
      </c>
      <c r="B91" s="59"/>
      <c r="C91" s="59"/>
      <c r="D91" s="59"/>
      <c r="E91" s="59"/>
      <c r="F91" s="72">
        <v>200000</v>
      </c>
      <c r="G91" s="72"/>
      <c r="H91" s="72"/>
    </row>
    <row r="92" spans="1:8" s="34" customFormat="1" x14ac:dyDescent="0.25">
      <c r="A92" s="117" t="s">
        <v>53</v>
      </c>
      <c r="B92" s="117"/>
      <c r="C92" s="117"/>
      <c r="D92" s="117"/>
      <c r="E92" s="117"/>
      <c r="F92" s="72">
        <f>F80*0.8</f>
        <v>3200</v>
      </c>
      <c r="G92" s="72"/>
      <c r="H92" s="72"/>
    </row>
    <row r="93" spans="1:8" s="35" customFormat="1" ht="15.75" hidden="1" customHeight="1" x14ac:dyDescent="0.25">
      <c r="A93" s="107" t="s">
        <v>78</v>
      </c>
      <c r="B93" s="107"/>
      <c r="C93" s="107"/>
      <c r="D93" s="107"/>
      <c r="E93" s="107"/>
      <c r="F93" s="107"/>
      <c r="G93" s="107"/>
      <c r="H93" s="107"/>
    </row>
    <row r="94" spans="1:8" s="35" customFormat="1" ht="15.75" hidden="1" customHeight="1" x14ac:dyDescent="0.25">
      <c r="A94" s="61" t="s">
        <v>54</v>
      </c>
      <c r="B94" s="61"/>
      <c r="C94" s="108" t="s">
        <v>81</v>
      </c>
      <c r="D94" s="108"/>
      <c r="E94" s="104" t="s">
        <v>55</v>
      </c>
      <c r="F94" s="104"/>
      <c r="G94" s="61" t="s">
        <v>56</v>
      </c>
      <c r="H94" s="61"/>
    </row>
    <row r="95" spans="1:8" s="35" customFormat="1" hidden="1" x14ac:dyDescent="0.25">
      <c r="A95" s="105"/>
      <c r="B95" s="105"/>
      <c r="C95" s="101"/>
      <c r="D95" s="101"/>
      <c r="E95" s="102"/>
      <c r="F95" s="102"/>
      <c r="G95" s="73"/>
      <c r="H95" s="73"/>
    </row>
    <row r="96" spans="1:8" s="35" customFormat="1" hidden="1" x14ac:dyDescent="0.25">
      <c r="A96" s="105"/>
      <c r="B96" s="105"/>
      <c r="C96" s="101"/>
      <c r="D96" s="101"/>
      <c r="E96" s="102"/>
      <c r="F96" s="102"/>
      <c r="G96" s="73"/>
      <c r="H96" s="73"/>
    </row>
    <row r="97" spans="1:14" s="35" customFormat="1" hidden="1" x14ac:dyDescent="0.25">
      <c r="A97" s="107" t="s">
        <v>157</v>
      </c>
      <c r="B97" s="107"/>
      <c r="C97" s="108"/>
      <c r="D97" s="108"/>
      <c r="E97" s="104"/>
      <c r="F97" s="104"/>
      <c r="G97" s="61"/>
      <c r="H97" s="61"/>
    </row>
    <row r="98" spans="1:14" s="35" customFormat="1" x14ac:dyDescent="0.25">
      <c r="A98" s="107" t="s">
        <v>72</v>
      </c>
      <c r="B98" s="107"/>
      <c r="C98" s="107"/>
      <c r="D98" s="107"/>
      <c r="E98" s="107"/>
      <c r="F98" s="107"/>
      <c r="G98" s="107"/>
      <c r="H98" s="107"/>
    </row>
    <row r="99" spans="1:14" s="35" customFormat="1" ht="15.75" customHeight="1" x14ac:dyDescent="0.25">
      <c r="A99" s="61" t="s">
        <v>54</v>
      </c>
      <c r="B99" s="61"/>
      <c r="C99" s="108" t="s">
        <v>81</v>
      </c>
      <c r="D99" s="108"/>
      <c r="E99" s="104" t="s">
        <v>55</v>
      </c>
      <c r="F99" s="104"/>
      <c r="G99" s="61" t="s">
        <v>56</v>
      </c>
      <c r="H99" s="61"/>
    </row>
    <row r="100" spans="1:14" s="35" customFormat="1" x14ac:dyDescent="0.25">
      <c r="A100" s="107" t="s">
        <v>200</v>
      </c>
      <c r="B100" s="105"/>
      <c r="C100" s="167">
        <f>COUNT(D130:D135)*7</f>
        <v>42</v>
      </c>
      <c r="D100" s="101"/>
      <c r="E100" s="168">
        <f>SUM(D130:D135)*7</f>
        <v>21272.247360000001</v>
      </c>
      <c r="F100" s="102"/>
      <c r="G100" s="168">
        <f>SUM(F130:F135)*7</f>
        <v>30844.758672</v>
      </c>
      <c r="H100" s="102"/>
    </row>
    <row r="101" spans="1:14" s="35" customFormat="1" hidden="1" x14ac:dyDescent="0.25">
      <c r="A101" s="105"/>
      <c r="B101" s="105"/>
      <c r="C101" s="101"/>
      <c r="D101" s="101"/>
      <c r="E101" s="102"/>
      <c r="F101" s="102"/>
      <c r="G101" s="73"/>
      <c r="H101" s="73"/>
    </row>
    <row r="102" spans="1:14" s="35" customFormat="1" ht="16.5" hidden="1" thickBot="1" x14ac:dyDescent="0.3">
      <c r="A102" s="172" t="s">
        <v>157</v>
      </c>
      <c r="B102" s="172"/>
      <c r="C102" s="103"/>
      <c r="D102" s="103"/>
      <c r="E102" s="173"/>
      <c r="F102" s="173"/>
      <c r="G102" s="106"/>
      <c r="H102" s="106"/>
    </row>
    <row r="103" spans="1:14" s="35" customFormat="1" ht="16.5" hidden="1" thickBot="1" x14ac:dyDescent="0.3">
      <c r="A103" s="112" t="s">
        <v>176</v>
      </c>
      <c r="B103" s="113"/>
      <c r="C103" s="114">
        <f>C97+C102</f>
        <v>0</v>
      </c>
      <c r="D103" s="114"/>
      <c r="E103" s="109">
        <f>E97+E102</f>
        <v>0</v>
      </c>
      <c r="F103" s="109"/>
      <c r="G103" s="110">
        <f>G97+G102</f>
        <v>0</v>
      </c>
      <c r="H103" s="111"/>
    </row>
    <row r="104" spans="1:14" s="34" customFormat="1" x14ac:dyDescent="0.25">
      <c r="A104" s="91" t="s">
        <v>57</v>
      </c>
      <c r="B104" s="91"/>
      <c r="C104" s="91"/>
      <c r="D104" s="91"/>
      <c r="E104" s="91"/>
      <c r="F104" s="91"/>
      <c r="G104" s="91"/>
      <c r="H104" s="91"/>
    </row>
    <row r="105" spans="1:14" x14ac:dyDescent="0.25">
      <c r="A105" s="100" t="s">
        <v>58</v>
      </c>
      <c r="B105" s="100"/>
      <c r="C105" s="100"/>
      <c r="D105" s="100"/>
      <c r="E105" s="100"/>
      <c r="F105" s="100"/>
      <c r="G105" s="100"/>
      <c r="H105" s="100"/>
    </row>
    <row r="106" spans="1:14" ht="47.25" hidden="1" customHeight="1" x14ac:dyDescent="0.25">
      <c r="A106" s="62" t="s">
        <v>125</v>
      </c>
      <c r="B106" s="62" t="s">
        <v>124</v>
      </c>
      <c r="C106" s="62" t="s">
        <v>59</v>
      </c>
      <c r="D106" s="62" t="s">
        <v>60</v>
      </c>
      <c r="E106" s="64" t="s">
        <v>163</v>
      </c>
      <c r="F106" s="43" t="s">
        <v>156</v>
      </c>
      <c r="G106" s="66" t="s">
        <v>62</v>
      </c>
      <c r="H106" s="67"/>
    </row>
    <row r="107" spans="1:14" s="37" customFormat="1" hidden="1" x14ac:dyDescent="0.25">
      <c r="A107" s="63"/>
      <c r="B107" s="63"/>
      <c r="C107" s="63"/>
      <c r="D107" s="63"/>
      <c r="E107" s="65"/>
      <c r="F107" s="13">
        <v>0.6</v>
      </c>
      <c r="G107" s="68"/>
      <c r="H107" s="69"/>
    </row>
    <row r="108" spans="1:14" s="37" customFormat="1" hidden="1" x14ac:dyDescent="0.25">
      <c r="A108" s="95" t="s">
        <v>123</v>
      </c>
      <c r="B108" s="96"/>
      <c r="C108" s="96"/>
      <c r="D108" s="96"/>
      <c r="E108" s="96"/>
      <c r="F108" s="96"/>
      <c r="G108" s="96"/>
      <c r="H108" s="97"/>
      <c r="J108" s="36"/>
    </row>
    <row r="109" spans="1:14" s="37" customFormat="1" hidden="1" x14ac:dyDescent="0.25">
      <c r="A109" s="98">
        <v>1</v>
      </c>
      <c r="B109" s="99"/>
      <c r="C109" s="42"/>
      <c r="D109" s="42"/>
      <c r="E109" s="42">
        <v>0</v>
      </c>
      <c r="F109" s="42">
        <f>(D109+E109)*(($F$107)+1)</f>
        <v>0</v>
      </c>
      <c r="G109" s="98" t="str">
        <f>A108</f>
        <v>Ground Floor</v>
      </c>
      <c r="H109" s="99"/>
      <c r="I109" s="36"/>
      <c r="L109" s="170"/>
      <c r="M109" s="170"/>
      <c r="N109" s="36"/>
    </row>
    <row r="110" spans="1:14" s="37" customFormat="1" hidden="1" x14ac:dyDescent="0.25">
      <c r="A110" s="98">
        <f t="shared" ref="A110:A112" si="0">A109+1</f>
        <v>2</v>
      </c>
      <c r="B110" s="99"/>
      <c r="C110" s="42"/>
      <c r="D110" s="42"/>
      <c r="E110" s="42">
        <v>0</v>
      </c>
      <c r="F110" s="42">
        <f t="shared" ref="F110:F112" si="1">(D110+E110)*(($F$107)+1)</f>
        <v>0</v>
      </c>
      <c r="G110" s="98" t="str">
        <f t="shared" ref="G110:G112" si="2">G109</f>
        <v>Ground Floor</v>
      </c>
      <c r="H110" s="99"/>
      <c r="I110" s="36"/>
      <c r="L110" s="170"/>
      <c r="M110" s="170"/>
      <c r="N110" s="36"/>
    </row>
    <row r="111" spans="1:14" s="37" customFormat="1" hidden="1" x14ac:dyDescent="0.25">
      <c r="A111" s="98">
        <f t="shared" si="0"/>
        <v>3</v>
      </c>
      <c r="B111" s="99"/>
      <c r="C111" s="42"/>
      <c r="D111" s="42"/>
      <c r="E111" s="42">
        <v>0</v>
      </c>
      <c r="F111" s="42">
        <f t="shared" si="1"/>
        <v>0</v>
      </c>
      <c r="G111" s="98" t="str">
        <f t="shared" si="2"/>
        <v>Ground Floor</v>
      </c>
      <c r="H111" s="99"/>
      <c r="I111" s="36"/>
      <c r="L111" s="170"/>
      <c r="M111" s="170"/>
      <c r="N111" s="36"/>
    </row>
    <row r="112" spans="1:14" s="37" customFormat="1" hidden="1" x14ac:dyDescent="0.25">
      <c r="A112" s="98">
        <f t="shared" si="0"/>
        <v>4</v>
      </c>
      <c r="B112" s="99"/>
      <c r="C112" s="42"/>
      <c r="D112" s="42"/>
      <c r="E112" s="42">
        <v>0</v>
      </c>
      <c r="F112" s="42">
        <f t="shared" si="1"/>
        <v>0</v>
      </c>
      <c r="G112" s="98" t="str">
        <f t="shared" si="2"/>
        <v>Ground Floor</v>
      </c>
      <c r="H112" s="99"/>
      <c r="I112" s="36"/>
      <c r="L112" s="170"/>
      <c r="M112" s="170"/>
      <c r="N112" s="36"/>
    </row>
    <row r="113" spans="1:14" s="37" customFormat="1" hidden="1" x14ac:dyDescent="0.25">
      <c r="A113" s="98"/>
      <c r="B113" s="171"/>
      <c r="C113" s="171"/>
      <c r="D113" s="171"/>
      <c r="E113" s="171"/>
      <c r="F113" s="171"/>
      <c r="G113" s="171"/>
      <c r="H113" s="99"/>
      <c r="I113" s="36"/>
      <c r="N113" s="36"/>
    </row>
    <row r="114" spans="1:14" ht="47.25" customHeight="1" x14ac:dyDescent="0.25">
      <c r="A114" s="66" t="s">
        <v>126</v>
      </c>
      <c r="B114" s="66" t="s">
        <v>127</v>
      </c>
      <c r="C114" s="62" t="s">
        <v>59</v>
      </c>
      <c r="D114" s="62" t="s">
        <v>60</v>
      </c>
      <c r="E114" s="64" t="s">
        <v>61</v>
      </c>
      <c r="F114" s="43" t="s">
        <v>156</v>
      </c>
      <c r="G114" s="66" t="s">
        <v>62</v>
      </c>
      <c r="H114" s="67"/>
      <c r="I114" s="36"/>
    </row>
    <row r="115" spans="1:14" s="37" customFormat="1" x14ac:dyDescent="0.25">
      <c r="A115" s="68"/>
      <c r="B115" s="68"/>
      <c r="C115" s="63"/>
      <c r="D115" s="63"/>
      <c r="E115" s="65"/>
      <c r="F115" s="13">
        <v>0.45</v>
      </c>
      <c r="G115" s="68"/>
      <c r="H115" s="69"/>
      <c r="I115" s="36"/>
    </row>
    <row r="116" spans="1:14" s="37" customFormat="1" hidden="1" x14ac:dyDescent="0.25">
      <c r="A116" s="95" t="s">
        <v>201</v>
      </c>
      <c r="B116" s="96"/>
      <c r="C116" s="96"/>
      <c r="D116" s="96"/>
      <c r="E116" s="96"/>
      <c r="F116" s="96"/>
      <c r="G116" s="96"/>
      <c r="H116" s="97"/>
      <c r="J116" s="54"/>
    </row>
    <row r="117" spans="1:14" s="37" customFormat="1" hidden="1" x14ac:dyDescent="0.25">
      <c r="A117" s="95" t="s">
        <v>202</v>
      </c>
      <c r="B117" s="96"/>
      <c r="C117" s="96"/>
      <c r="D117" s="96"/>
      <c r="E117" s="96"/>
      <c r="F117" s="96"/>
      <c r="G117" s="96"/>
      <c r="H117" s="97"/>
      <c r="J117" s="54"/>
    </row>
    <row r="118" spans="1:14" s="37" customFormat="1" hidden="1" x14ac:dyDescent="0.25">
      <c r="A118" s="95" t="s">
        <v>197</v>
      </c>
      <c r="B118" s="96"/>
      <c r="C118" s="96"/>
      <c r="D118" s="96"/>
      <c r="E118" s="96"/>
      <c r="F118" s="96"/>
      <c r="G118" s="96"/>
      <c r="H118" s="97"/>
      <c r="J118" s="36"/>
    </row>
    <row r="119" spans="1:14" s="37" customFormat="1" ht="15.75" hidden="1" customHeight="1" x14ac:dyDescent="0.25">
      <c r="A119" s="98">
        <v>1</v>
      </c>
      <c r="B119" s="99"/>
      <c r="C119" s="42" t="s">
        <v>198</v>
      </c>
      <c r="D119" s="54">
        <f>(38.37*3.3)*(10.764)</f>
        <v>1362.9484439999997</v>
      </c>
      <c r="E119" s="42">
        <v>0</v>
      </c>
      <c r="F119" s="42">
        <f>D119*(($F$115)+1)+(IF(E119&lt;101,E119,IF(E119&lt;201,E119/2,IF(E119&lt;=301,E119/3,E119/4))))</f>
        <v>1976.2752437999995</v>
      </c>
      <c r="G119" s="98" t="str">
        <f>A118</f>
        <v>1st to 7th Floor For Residential</v>
      </c>
      <c r="H119" s="99"/>
      <c r="I119" s="36">
        <f>(2.85*4.5)+(1.25*2.4)+(2.75*3.4)+(1.2*2.15)+(2.8*2.15)+(1.25*1.7)</f>
        <v>35.9</v>
      </c>
      <c r="J119" s="37">
        <f>2.75*1.2</f>
        <v>3.3</v>
      </c>
      <c r="K119" s="36"/>
      <c r="L119" s="170"/>
      <c r="M119" s="170"/>
      <c r="N119" s="36"/>
    </row>
    <row r="120" spans="1:14" s="37" customFormat="1" ht="15.75" hidden="1" customHeight="1" x14ac:dyDescent="0.25">
      <c r="A120" s="98">
        <v>2</v>
      </c>
      <c r="B120" s="99"/>
      <c r="C120" s="42" t="s">
        <v>198</v>
      </c>
      <c r="D120" s="54">
        <f>(39.02*3.24)*(10.764)</f>
        <v>1360.8365472</v>
      </c>
      <c r="E120" s="42">
        <v>0</v>
      </c>
      <c r="F120" s="42">
        <f t="shared" ref="F120:F124" si="3">D120*(($F$115)+1)+(IF(E120&lt;101,E120,IF(E120&lt;201,E120/2,IF(E120&lt;=301,E120/3,E120/4))))</f>
        <v>1973.21299344</v>
      </c>
      <c r="G120" s="98" t="str">
        <f>G119</f>
        <v>1st to 7th Floor For Residential</v>
      </c>
      <c r="H120" s="99"/>
      <c r="I120" s="36">
        <f>(2.85*4.5)+(1.4*2.25)+(2.1*1.2)+(2.75*3.35)+(2.3*2.65)+(2.6*0.9)</f>
        <v>36.142500000000005</v>
      </c>
      <c r="J120" s="37">
        <f>J119</f>
        <v>3.3</v>
      </c>
      <c r="K120" s="36"/>
      <c r="N120" s="36"/>
    </row>
    <row r="121" spans="1:14" s="37" customFormat="1" hidden="1" x14ac:dyDescent="0.25">
      <c r="A121" s="98">
        <v>3</v>
      </c>
      <c r="B121" s="99"/>
      <c r="C121" s="42" t="s">
        <v>198</v>
      </c>
      <c r="D121" s="54">
        <f>(38.37*3.3)*(10.764)</f>
        <v>1362.9484439999997</v>
      </c>
      <c r="E121" s="42">
        <v>0</v>
      </c>
      <c r="F121" s="42">
        <f t="shared" si="3"/>
        <v>1976.2752437999995</v>
      </c>
      <c r="G121" s="98" t="str">
        <f t="shared" ref="G121:G124" si="4">G120</f>
        <v>1st to 7th Floor For Residential</v>
      </c>
      <c r="H121" s="99"/>
      <c r="I121" s="36">
        <f>10.764</f>
        <v>10.763999999999999</v>
      </c>
      <c r="N121" s="36"/>
    </row>
    <row r="122" spans="1:14" s="37" customFormat="1" hidden="1" x14ac:dyDescent="0.25">
      <c r="A122" s="98">
        <v>4</v>
      </c>
      <c r="B122" s="99"/>
      <c r="C122" s="42" t="s">
        <v>198</v>
      </c>
      <c r="D122" s="54">
        <f>(38.35*3.3)*(10.764)</f>
        <v>1362.2380199999998</v>
      </c>
      <c r="E122" s="42">
        <v>0</v>
      </c>
      <c r="F122" s="42">
        <f t="shared" si="3"/>
        <v>1975.2451289999997</v>
      </c>
      <c r="G122" s="98" t="str">
        <f t="shared" si="4"/>
        <v>1st to 7th Floor For Residential</v>
      </c>
      <c r="H122" s="99"/>
      <c r="I122" s="36"/>
      <c r="N122" s="36"/>
    </row>
    <row r="123" spans="1:14" s="37" customFormat="1" hidden="1" x14ac:dyDescent="0.25">
      <c r="A123" s="98">
        <v>5</v>
      </c>
      <c r="B123" s="99"/>
      <c r="C123" s="42" t="s">
        <v>198</v>
      </c>
      <c r="D123" s="54">
        <f>(37.54*5.41)*(10.764)</f>
        <v>2186.0758295999999</v>
      </c>
      <c r="E123" s="42">
        <v>0</v>
      </c>
      <c r="F123" s="42">
        <f t="shared" si="3"/>
        <v>3169.8099529199999</v>
      </c>
      <c r="G123" s="98" t="str">
        <f t="shared" si="4"/>
        <v>1st to 7th Floor For Residential</v>
      </c>
      <c r="H123" s="99"/>
      <c r="I123" s="36"/>
      <c r="K123" s="36"/>
      <c r="N123" s="36"/>
    </row>
    <row r="124" spans="1:14" s="37" customFormat="1" hidden="1" x14ac:dyDescent="0.25">
      <c r="A124" s="98">
        <v>6</v>
      </c>
      <c r="B124" s="99"/>
      <c r="C124" s="42" t="s">
        <v>199</v>
      </c>
      <c r="D124" s="54">
        <f>(60.65*3.12)*(10.764)</f>
        <v>2036.8501919999999</v>
      </c>
      <c r="E124" s="42">
        <v>0</v>
      </c>
      <c r="F124" s="42">
        <f t="shared" si="3"/>
        <v>2953.4327783999997</v>
      </c>
      <c r="G124" s="98" t="str">
        <f t="shared" si="4"/>
        <v>1st to 7th Floor For Residential</v>
      </c>
      <c r="H124" s="99"/>
      <c r="I124" s="36">
        <f>(4.85*2.9)+(2.95*2.45)+(2.45*1.25)+(2.8*3.5)+(1.25*2.45)+(2.75*3.4)+(3.5*1)+(0.45*1.25)+(4.1*1.3)</f>
        <v>55.959999999999994</v>
      </c>
      <c r="J124" s="37">
        <f>2.8*1.2</f>
        <v>3.36</v>
      </c>
      <c r="N124" s="36"/>
    </row>
    <row r="125" spans="1:14" s="37" customFormat="1" hidden="1" x14ac:dyDescent="0.25">
      <c r="A125" s="98">
        <v>7</v>
      </c>
      <c r="B125" s="99"/>
      <c r="C125" s="42" t="s">
        <v>198</v>
      </c>
      <c r="D125" s="54">
        <f>(39.46*3.3)*(10.764)</f>
        <v>1401.6665519999999</v>
      </c>
      <c r="E125" s="42">
        <v>0</v>
      </c>
      <c r="F125" s="42">
        <f t="shared" ref="F125:F126" si="5">D125*(($F$115)+1)+(IF(E125&lt;101,E125,IF(E125&lt;201,E125/2,IF(E125&lt;=301,E125/3,E125/4))))</f>
        <v>2032.4165003999999</v>
      </c>
      <c r="G125" s="98" t="str">
        <f t="shared" ref="G125:G126" si="6">G124</f>
        <v>1st to 7th Floor For Residential</v>
      </c>
      <c r="H125" s="99"/>
      <c r="I125" s="36"/>
      <c r="K125" s="36"/>
      <c r="N125" s="36"/>
    </row>
    <row r="126" spans="1:14" s="37" customFormat="1" hidden="1" x14ac:dyDescent="0.25">
      <c r="A126" s="98">
        <v>8</v>
      </c>
      <c r="B126" s="99"/>
      <c r="C126" s="42"/>
      <c r="D126" s="54"/>
      <c r="E126" s="42"/>
      <c r="F126" s="42">
        <f t="shared" si="5"/>
        <v>0</v>
      </c>
      <c r="G126" s="98" t="str">
        <f t="shared" si="6"/>
        <v>1st to 7th Floor For Residential</v>
      </c>
      <c r="H126" s="99"/>
      <c r="I126" s="36"/>
      <c r="N126" s="36"/>
    </row>
    <row r="127" spans="1:14" s="37" customFormat="1" x14ac:dyDescent="0.25">
      <c r="A127" s="95" t="s">
        <v>200</v>
      </c>
      <c r="B127" s="96"/>
      <c r="C127" s="96"/>
      <c r="D127" s="96"/>
      <c r="E127" s="96"/>
      <c r="F127" s="96"/>
      <c r="G127" s="96"/>
      <c r="H127" s="97"/>
      <c r="J127" s="54"/>
    </row>
    <row r="128" spans="1:14" s="37" customFormat="1" ht="15.75" customHeight="1" x14ac:dyDescent="0.25">
      <c r="A128" s="95" t="s">
        <v>202</v>
      </c>
      <c r="B128" s="96"/>
      <c r="C128" s="96"/>
      <c r="D128" s="96"/>
      <c r="E128" s="96"/>
      <c r="F128" s="96"/>
      <c r="G128" s="96"/>
      <c r="H128" s="97"/>
      <c r="J128" s="54" t="s">
        <v>218</v>
      </c>
      <c r="K128" s="37" t="s">
        <v>219</v>
      </c>
    </row>
    <row r="129" spans="1:14" s="37" customFormat="1" x14ac:dyDescent="0.25">
      <c r="A129" s="95" t="s">
        <v>197</v>
      </c>
      <c r="B129" s="96"/>
      <c r="C129" s="96"/>
      <c r="D129" s="96"/>
      <c r="E129" s="96"/>
      <c r="F129" s="96"/>
      <c r="G129" s="96"/>
      <c r="H129" s="97"/>
      <c r="J129" s="36"/>
    </row>
    <row r="130" spans="1:14" s="37" customFormat="1" ht="15.75" customHeight="1" x14ac:dyDescent="0.25">
      <c r="A130" s="98">
        <v>1</v>
      </c>
      <c r="B130" s="99"/>
      <c r="C130" s="42" t="s">
        <v>198</v>
      </c>
      <c r="D130" s="54">
        <f>(38.99+3.6)*10.764</f>
        <v>458.43876</v>
      </c>
      <c r="E130" s="42">
        <v>0</v>
      </c>
      <c r="F130" s="42">
        <f>D130*(($F$115)+1)+(IF(E130&lt;101,E130,IF(E130&lt;201,E130/2,IF(E130&lt;=301,E130/3,E130/4))))</f>
        <v>664.73620199999993</v>
      </c>
      <c r="G130" s="98" t="str">
        <f>A129</f>
        <v>1st to 7th Floor For Residential</v>
      </c>
      <c r="H130" s="99"/>
      <c r="I130" s="36">
        <f>(2.85*4.5)+(2.3+2.65)+(2.75*3.35)+(2.75*1.2)+(2.3*1.2)+(2.6*0.9)</f>
        <v>35.387500000000003</v>
      </c>
      <c r="J130" s="37">
        <f>2453000/F130</f>
        <v>3690.1856595437844</v>
      </c>
      <c r="K130" s="36">
        <v>3500</v>
      </c>
      <c r="L130" s="170"/>
      <c r="M130" s="170"/>
      <c r="N130" s="36"/>
    </row>
    <row r="131" spans="1:14" s="37" customFormat="1" ht="15.75" customHeight="1" x14ac:dyDescent="0.25">
      <c r="A131" s="98">
        <v>2</v>
      </c>
      <c r="B131" s="99"/>
      <c r="C131" s="42" t="s">
        <v>198</v>
      </c>
      <c r="D131" s="54">
        <f>(39.69+3.3)*10.764</f>
        <v>462.74435999999992</v>
      </c>
      <c r="E131" s="42">
        <v>0</v>
      </c>
      <c r="F131" s="42">
        <f t="shared" ref="F131:F133" si="7">D131*(($F$115)+1)+(IF(E131&lt;101,E131,IF(E131&lt;201,E131/2,IF(E131&lt;=301,E131/3,E131/4))))</f>
        <v>670.97932199999991</v>
      </c>
      <c r="G131" s="98" t="str">
        <f>G130</f>
        <v>1st to 7th Floor For Residential</v>
      </c>
      <c r="H131" s="99"/>
      <c r="I131" s="36">
        <f>(2.85*4.5)+(2.8*2.15)+(2.75*3.4)+(1.2*2.15)+(1.25*2.4)+(1.25*1.9)+(1.4*1)</f>
        <v>37.549999999999997</v>
      </c>
      <c r="J131" s="37">
        <f t="shared" ref="J131:J133" si="8">2453000/F131</f>
        <v>3655.8503661309555</v>
      </c>
      <c r="K131" s="36">
        <v>4500</v>
      </c>
      <c r="N131" s="36"/>
    </row>
    <row r="132" spans="1:14" s="37" customFormat="1" x14ac:dyDescent="0.25">
      <c r="A132" s="98">
        <v>3</v>
      </c>
      <c r="B132" s="99"/>
      <c r="C132" s="42" t="s">
        <v>198</v>
      </c>
      <c r="D132" s="54">
        <f>(38.24+3.42)*10.764</f>
        <v>448.42824000000002</v>
      </c>
      <c r="E132" s="42">
        <v>0</v>
      </c>
      <c r="F132" s="42">
        <f t="shared" si="7"/>
        <v>650.22094800000002</v>
      </c>
      <c r="G132" s="98" t="str">
        <f t="shared" ref="G132:G133" si="9">G131</f>
        <v>1st to 7th Floor For Residential</v>
      </c>
      <c r="H132" s="99"/>
      <c r="I132" s="36"/>
      <c r="J132" s="37">
        <f t="shared" si="8"/>
        <v>3772.5637839647084</v>
      </c>
      <c r="K132" s="37">
        <v>5000</v>
      </c>
      <c r="N132" s="36"/>
    </row>
    <row r="133" spans="1:14" s="37" customFormat="1" x14ac:dyDescent="0.25">
      <c r="A133" s="98">
        <v>4</v>
      </c>
      <c r="B133" s="99"/>
      <c r="C133" s="42" t="s">
        <v>198</v>
      </c>
      <c r="D133" s="54">
        <f>(39.86+3.42)*10.764</f>
        <v>465.86591999999996</v>
      </c>
      <c r="E133" s="42">
        <v>0</v>
      </c>
      <c r="F133" s="42">
        <f t="shared" si="7"/>
        <v>675.50558399999989</v>
      </c>
      <c r="G133" s="98" t="str">
        <f t="shared" si="9"/>
        <v>1st to 7th Floor For Residential</v>
      </c>
      <c r="H133" s="99"/>
      <c r="I133" s="36"/>
      <c r="J133" s="37">
        <f t="shared" si="8"/>
        <v>3631.3541414041078</v>
      </c>
      <c r="N133" s="36"/>
    </row>
    <row r="134" spans="1:14" s="37" customFormat="1" x14ac:dyDescent="0.25">
      <c r="A134" s="98">
        <v>5</v>
      </c>
      <c r="B134" s="99"/>
      <c r="C134" s="42" t="s">
        <v>199</v>
      </c>
      <c r="D134" s="54">
        <f>(60.11+5.31)*10.764</f>
        <v>704.18088</v>
      </c>
      <c r="E134" s="42">
        <v>0</v>
      </c>
      <c r="F134" s="42">
        <f t="shared" ref="F134:F135" si="10">D134*(($F$115)+1)+(IF(E134&lt;101,E134,IF(E134&lt;201,E134/2,IF(E134&lt;=301,E134/3,E134/4))))</f>
        <v>1021.062276</v>
      </c>
      <c r="G134" s="98" t="str">
        <f t="shared" ref="G134:G135" si="11">G133</f>
        <v>1st to 7th Floor For Residential</v>
      </c>
      <c r="H134" s="99"/>
      <c r="I134" s="36">
        <f>(4.95*2.9)+(2.7*2.45)+(2.4*1.25)+(1.95*1.5)+(3*3.5)+(3.35*2.75)+(0.9*1.5)+(1.2*1.25)+(2*2.45)+(2*1.2)</f>
        <v>56.7575</v>
      </c>
      <c r="J134" s="37">
        <f>3856000/F134</f>
        <v>3776.4591745626299</v>
      </c>
      <c r="K134" s="36"/>
      <c r="N134" s="36"/>
    </row>
    <row r="135" spans="1:14" s="37" customFormat="1" x14ac:dyDescent="0.25">
      <c r="A135" s="98">
        <v>6</v>
      </c>
      <c r="B135" s="99"/>
      <c r="C135" s="42" t="s">
        <v>198</v>
      </c>
      <c r="D135" s="54">
        <f>(42.26+4.12)*10.764</f>
        <v>499.23431999999991</v>
      </c>
      <c r="E135" s="42">
        <v>0</v>
      </c>
      <c r="F135" s="42">
        <f t="shared" si="10"/>
        <v>723.8897639999999</v>
      </c>
      <c r="G135" s="98" t="str">
        <f t="shared" si="11"/>
        <v>1st to 7th Floor For Residential</v>
      </c>
      <c r="H135" s="99"/>
      <c r="I135" s="36"/>
      <c r="N135" s="36"/>
    </row>
    <row r="136" spans="1:14" s="37" customFormat="1" ht="15.75" hidden="1" customHeight="1" x14ac:dyDescent="0.25">
      <c r="A136" s="95" t="s">
        <v>203</v>
      </c>
      <c r="B136" s="96"/>
      <c r="C136" s="96"/>
      <c r="D136" s="96"/>
      <c r="E136" s="96"/>
      <c r="F136" s="96"/>
      <c r="G136" s="96"/>
      <c r="H136" s="97"/>
      <c r="I136" s="36"/>
    </row>
    <row r="137" spans="1:14" s="37" customFormat="1" hidden="1" x14ac:dyDescent="0.25">
      <c r="A137" s="95" t="s">
        <v>202</v>
      </c>
      <c r="B137" s="96"/>
      <c r="C137" s="96"/>
      <c r="D137" s="96"/>
      <c r="E137" s="96"/>
      <c r="F137" s="96"/>
      <c r="G137" s="96"/>
      <c r="H137" s="97"/>
      <c r="I137" s="36"/>
    </row>
    <row r="138" spans="1:14" s="37" customFormat="1" hidden="1" x14ac:dyDescent="0.25">
      <c r="A138" s="95" t="s">
        <v>197</v>
      </c>
      <c r="B138" s="96"/>
      <c r="C138" s="96"/>
      <c r="D138" s="96"/>
      <c r="E138" s="96"/>
      <c r="F138" s="96"/>
      <c r="G138" s="96"/>
      <c r="H138" s="97"/>
      <c r="I138" s="36"/>
    </row>
    <row r="139" spans="1:14" s="37" customFormat="1" ht="15.75" hidden="1" customHeight="1" x14ac:dyDescent="0.25">
      <c r="A139" s="98">
        <v>1</v>
      </c>
      <c r="B139" s="99"/>
      <c r="C139" s="42" t="s">
        <v>198</v>
      </c>
      <c r="D139" s="54">
        <f>(41.8*3.48)*11</f>
        <v>1600.104</v>
      </c>
      <c r="E139" s="42">
        <v>0</v>
      </c>
      <c r="F139" s="42">
        <f>D139*(($F$115)+1)+(IF(E139&lt;101,E139,IF(E139&lt;201,E139/2,IF(E139&lt;=301,E139/3,E139/4))))</f>
        <v>2320.1507999999999</v>
      </c>
      <c r="G139" s="98" t="str">
        <f>A138</f>
        <v>1st to 7th Floor For Residential</v>
      </c>
      <c r="H139" s="99"/>
      <c r="I139" s="36">
        <f>(4.5*2.9)+(2.65*2.45)+(3.4*2.75)+(1.3*2)+(2.45*1.25)+(1.5*1.2)+(0.9*2.7)+(0.4*1.25)</f>
        <v>39.284999999999997</v>
      </c>
      <c r="J139" s="37">
        <f>2.75*1.2</f>
        <v>3.3</v>
      </c>
    </row>
    <row r="140" spans="1:14" s="37" customFormat="1" ht="15.75" hidden="1" customHeight="1" x14ac:dyDescent="0.25">
      <c r="A140" s="98">
        <v>2</v>
      </c>
      <c r="B140" s="99"/>
      <c r="C140" s="42" t="s">
        <v>198</v>
      </c>
      <c r="D140" s="54">
        <f>(41.68*3.48)*11</f>
        <v>1595.5104000000001</v>
      </c>
      <c r="E140" s="42">
        <v>0</v>
      </c>
      <c r="F140" s="42">
        <f t="shared" ref="F140:F144" si="12">D140*(($F$115)+1)+(IF(E140&lt;101,E140,IF(E140&lt;201,E140/2,IF(E140&lt;=301,E140/3,E140/4))))</f>
        <v>2313.49008</v>
      </c>
      <c r="G140" s="98" t="str">
        <f>G139</f>
        <v>1st to 7th Floor For Residential</v>
      </c>
      <c r="H140" s="99"/>
      <c r="I140" s="36"/>
    </row>
    <row r="141" spans="1:14" s="37" customFormat="1" ht="15.75" hidden="1" customHeight="1" x14ac:dyDescent="0.25">
      <c r="A141" s="98">
        <v>3</v>
      </c>
      <c r="B141" s="99"/>
      <c r="C141" s="42" t="s">
        <v>199</v>
      </c>
      <c r="D141" s="54">
        <f>(54.45*3.48)*11</f>
        <v>2084.346</v>
      </c>
      <c r="E141" s="42">
        <v>0</v>
      </c>
      <c r="F141" s="42">
        <f t="shared" si="12"/>
        <v>3022.3017</v>
      </c>
      <c r="G141" s="98" t="str">
        <f t="shared" ref="G141:G144" si="13">G140</f>
        <v>1st to 7th Floor For Residential</v>
      </c>
      <c r="H141" s="99"/>
      <c r="I141" s="36">
        <f>(3*4.85)+(2.45*2.75)+(2.75*3.35)+(3.35*2.9)+(2.3*1.25)+(1.6*1.25)+(2.6*0.9)+(2.65*1.25)</f>
        <v>50.742500000000007</v>
      </c>
      <c r="J141" s="37">
        <f>2.9*1.2</f>
        <v>3.48</v>
      </c>
    </row>
    <row r="142" spans="1:14" s="37" customFormat="1" hidden="1" x14ac:dyDescent="0.25">
      <c r="A142" s="98">
        <v>4</v>
      </c>
      <c r="B142" s="99"/>
      <c r="C142" s="42" t="s">
        <v>198</v>
      </c>
      <c r="D142" s="54">
        <f>(39.88*3.48)*11</f>
        <v>1526.6063999999999</v>
      </c>
      <c r="E142" s="42">
        <v>0</v>
      </c>
      <c r="F142" s="42">
        <f t="shared" si="12"/>
        <v>2213.5792799999999</v>
      </c>
      <c r="G142" s="98" t="str">
        <f t="shared" si="13"/>
        <v>1st to 7th Floor For Residential</v>
      </c>
      <c r="H142" s="99"/>
      <c r="I142" s="36"/>
    </row>
    <row r="143" spans="1:14" s="37" customFormat="1" hidden="1" x14ac:dyDescent="0.25">
      <c r="A143" s="98">
        <v>5</v>
      </c>
      <c r="B143" s="99"/>
      <c r="C143" s="42" t="s">
        <v>199</v>
      </c>
      <c r="D143" s="54">
        <f>(57.69*3.84)*11</f>
        <v>2436.8255999999997</v>
      </c>
      <c r="E143" s="42">
        <v>0</v>
      </c>
      <c r="F143" s="42">
        <f t="shared" si="12"/>
        <v>3533.3971199999996</v>
      </c>
      <c r="G143" s="98" t="str">
        <f t="shared" si="13"/>
        <v>1st to 7th Floor For Residential</v>
      </c>
      <c r="H143" s="99"/>
      <c r="I143" s="36">
        <f>(2.9*4.85)+(1.5*2.65)+(2.75*2.5)+(3.5*2.9)+(2.25*1.25)+(1.25*2.65)+(2.75*3.35)+(3*0.9)+(0.5*1.25)</f>
        <v>53.727499999999999</v>
      </c>
      <c r="J143" s="37">
        <f>2.9*1.2</f>
        <v>3.48</v>
      </c>
    </row>
    <row r="144" spans="1:14" s="37" customFormat="1" hidden="1" x14ac:dyDescent="0.25">
      <c r="A144" s="98">
        <v>6</v>
      </c>
      <c r="B144" s="99"/>
      <c r="C144" s="42" t="s">
        <v>198</v>
      </c>
      <c r="D144" s="54">
        <f>(38.49*3.66)*11</f>
        <v>1549.6074000000001</v>
      </c>
      <c r="E144" s="42">
        <v>0</v>
      </c>
      <c r="F144" s="42">
        <f t="shared" si="12"/>
        <v>2246.93073</v>
      </c>
      <c r="G144" s="98" t="str">
        <f t="shared" si="13"/>
        <v>1st to 7th Floor For Residential</v>
      </c>
      <c r="H144" s="99"/>
      <c r="I144" s="36"/>
    </row>
    <row r="145" spans="1:8" s="35" customFormat="1" x14ac:dyDescent="0.25">
      <c r="A145" s="180" t="s">
        <v>70</v>
      </c>
      <c r="B145" s="180"/>
      <c r="C145" s="180"/>
      <c r="D145" s="180"/>
      <c r="E145" s="180"/>
      <c r="F145" s="180"/>
      <c r="G145" s="180"/>
      <c r="H145" s="180"/>
    </row>
    <row r="146" spans="1:8" x14ac:dyDescent="0.25">
      <c r="A146" s="47" t="s">
        <v>160</v>
      </c>
      <c r="B146" s="92" t="s">
        <v>225</v>
      </c>
      <c r="C146" s="93"/>
      <c r="D146" s="93"/>
      <c r="E146" s="93"/>
      <c r="F146" s="93"/>
      <c r="G146" s="93"/>
      <c r="H146" s="94"/>
    </row>
    <row r="147" spans="1:8" x14ac:dyDescent="0.25">
      <c r="A147" s="47" t="s">
        <v>160</v>
      </c>
      <c r="B147" s="88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47" s="89"/>
      <c r="D147" s="89"/>
      <c r="E147" s="89"/>
      <c r="F147" s="89"/>
      <c r="G147" s="89"/>
      <c r="H147" s="90"/>
    </row>
    <row r="148" spans="1:8" ht="15.75" customHeight="1" x14ac:dyDescent="0.25">
      <c r="A148" s="47" t="s">
        <v>160</v>
      </c>
      <c r="B148" s="88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8" s="89"/>
      <c r="D148" s="89"/>
      <c r="E148" s="89"/>
      <c r="F148" s="89"/>
      <c r="G148" s="89"/>
      <c r="H148" s="90"/>
    </row>
    <row r="149" spans="1:8" x14ac:dyDescent="0.25">
      <c r="A149" s="47" t="s">
        <v>160</v>
      </c>
      <c r="B149" s="85" t="s">
        <v>130</v>
      </c>
      <c r="C149" s="86"/>
      <c r="D149" s="86"/>
      <c r="E149" s="86"/>
      <c r="F149" s="86"/>
      <c r="G149" s="86"/>
      <c r="H149" s="87"/>
    </row>
    <row r="150" spans="1:8" x14ac:dyDescent="0.25">
      <c r="A150" s="47" t="s">
        <v>160</v>
      </c>
      <c r="B150" s="85" t="s">
        <v>205</v>
      </c>
      <c r="C150" s="86"/>
      <c r="D150" s="86"/>
      <c r="E150" s="86"/>
      <c r="F150" s="86"/>
      <c r="G150" s="86"/>
      <c r="H150" s="87"/>
    </row>
    <row r="151" spans="1:8" x14ac:dyDescent="0.25">
      <c r="A151" s="47" t="s">
        <v>160</v>
      </c>
      <c r="B151" s="85" t="s">
        <v>159</v>
      </c>
      <c r="C151" s="86"/>
      <c r="D151" s="86"/>
      <c r="E151" s="86"/>
      <c r="F151" s="86"/>
      <c r="G151" s="86"/>
      <c r="H151" s="87"/>
    </row>
    <row r="152" spans="1:8" x14ac:dyDescent="0.25">
      <c r="A152" s="47" t="s">
        <v>160</v>
      </c>
      <c r="B152" s="85" t="s">
        <v>131</v>
      </c>
      <c r="C152" s="86"/>
      <c r="D152" s="86"/>
      <c r="E152" s="86"/>
      <c r="F152" s="86"/>
      <c r="G152" s="86"/>
      <c r="H152" s="87"/>
    </row>
    <row r="153" spans="1:8" x14ac:dyDescent="0.25">
      <c r="A153" s="47" t="s">
        <v>160</v>
      </c>
      <c r="B153" s="85" t="s">
        <v>161</v>
      </c>
      <c r="C153" s="86"/>
      <c r="D153" s="86"/>
      <c r="E153" s="86"/>
      <c r="F153" s="86"/>
      <c r="G153" s="86"/>
      <c r="H153" s="87"/>
    </row>
    <row r="154" spans="1:8" x14ac:dyDescent="0.25">
      <c r="A154" s="47" t="s">
        <v>160</v>
      </c>
      <c r="B154" s="85" t="s">
        <v>132</v>
      </c>
      <c r="C154" s="86"/>
      <c r="D154" s="86"/>
      <c r="E154" s="86"/>
      <c r="F154" s="86"/>
      <c r="G154" s="86"/>
      <c r="H154" s="87"/>
    </row>
    <row r="155" spans="1:8" hidden="1" x14ac:dyDescent="0.25">
      <c r="A155" s="47" t="s">
        <v>160</v>
      </c>
      <c r="B155" s="85" t="s">
        <v>216</v>
      </c>
      <c r="C155" s="86"/>
      <c r="D155" s="86"/>
      <c r="E155" s="86"/>
      <c r="F155" s="86"/>
      <c r="G155" s="86"/>
      <c r="H155" s="87"/>
    </row>
    <row r="156" spans="1:8" x14ac:dyDescent="0.25">
      <c r="A156" s="78" t="s">
        <v>63</v>
      </c>
      <c r="B156" s="78"/>
      <c r="C156" s="78"/>
      <c r="D156" s="78"/>
      <c r="E156" s="78"/>
      <c r="F156" s="78"/>
      <c r="G156" s="78"/>
      <c r="H156" s="78"/>
    </row>
    <row r="157" spans="1:8" x14ac:dyDescent="0.25">
      <c r="A157" s="59" t="s">
        <v>64</v>
      </c>
      <c r="B157" s="59"/>
      <c r="C157" s="59"/>
      <c r="D157" s="59"/>
      <c r="E157" s="59"/>
      <c r="F157" s="59"/>
      <c r="G157" s="59"/>
      <c r="H157" s="59"/>
    </row>
    <row r="158" spans="1:8" x14ac:dyDescent="0.25">
      <c r="A158" s="60" t="s">
        <v>65</v>
      </c>
      <c r="B158" s="60"/>
      <c r="C158" s="60"/>
      <c r="D158" s="60"/>
      <c r="E158" s="60"/>
      <c r="F158" s="60"/>
      <c r="G158" s="60"/>
      <c r="H158" s="60"/>
    </row>
    <row r="159" spans="1:8" x14ac:dyDescent="0.25">
      <c r="A159" s="59" t="s">
        <v>66</v>
      </c>
      <c r="B159" s="59"/>
      <c r="C159" s="59"/>
      <c r="D159" s="59"/>
      <c r="E159" s="59"/>
      <c r="F159" s="59"/>
      <c r="G159" s="59"/>
      <c r="H159" s="59"/>
    </row>
    <row r="160" spans="1:8" x14ac:dyDescent="0.25">
      <c r="A160" s="59" t="s">
        <v>67</v>
      </c>
      <c r="B160" s="59"/>
      <c r="C160" s="59"/>
      <c r="D160" s="59"/>
      <c r="E160" s="59"/>
      <c r="F160" s="59"/>
      <c r="G160" s="59"/>
      <c r="H160" s="59"/>
    </row>
    <row r="161" spans="1:8" x14ac:dyDescent="0.25">
      <c r="A161" s="59" t="s">
        <v>133</v>
      </c>
      <c r="B161" s="59"/>
      <c r="C161" s="59"/>
      <c r="D161" s="59"/>
      <c r="E161" s="59"/>
      <c r="F161" s="59"/>
      <c r="G161" s="59"/>
      <c r="H161" s="59"/>
    </row>
    <row r="162" spans="1:8" ht="15" customHeight="1" x14ac:dyDescent="0.25">
      <c r="A162" s="79" t="s">
        <v>134</v>
      </c>
      <c r="B162" s="79"/>
      <c r="C162" s="79"/>
      <c r="D162" s="79"/>
      <c r="E162" s="79"/>
      <c r="F162" s="79"/>
      <c r="G162" s="79"/>
      <c r="H162" s="79"/>
    </row>
    <row r="163" spans="1:8" x14ac:dyDescent="0.25">
      <c r="A163" s="116" t="s">
        <v>80</v>
      </c>
      <c r="B163" s="116"/>
      <c r="C163" s="116" t="s">
        <v>224</v>
      </c>
      <c r="D163" s="116"/>
      <c r="E163" s="116" t="s">
        <v>110</v>
      </c>
      <c r="F163" s="116"/>
      <c r="G163" s="116" t="s">
        <v>223</v>
      </c>
      <c r="H163" s="116"/>
    </row>
    <row r="164" spans="1:8" x14ac:dyDescent="0.25">
      <c r="A164" s="115" t="s">
        <v>82</v>
      </c>
      <c r="B164" s="115"/>
      <c r="C164" s="115"/>
      <c r="D164" s="115"/>
      <c r="E164" s="115"/>
      <c r="F164" s="115"/>
      <c r="G164" s="115"/>
      <c r="H164" s="115"/>
    </row>
    <row r="165" spans="1:8" x14ac:dyDescent="0.25">
      <c r="A165" s="115"/>
      <c r="B165" s="115"/>
      <c r="C165" s="115"/>
      <c r="D165" s="115"/>
      <c r="E165" s="115"/>
      <c r="F165" s="115"/>
      <c r="G165" s="115"/>
      <c r="H165" s="115"/>
    </row>
    <row r="166" spans="1:8" x14ac:dyDescent="0.25">
      <c r="A166" s="115"/>
      <c r="B166" s="115"/>
      <c r="C166" s="115"/>
      <c r="D166" s="115"/>
      <c r="E166" s="115"/>
      <c r="F166" s="115"/>
      <c r="G166" s="115"/>
      <c r="H166" s="115"/>
    </row>
    <row r="167" spans="1:8" x14ac:dyDescent="0.25">
      <c r="A167" s="115"/>
      <c r="B167" s="115"/>
      <c r="C167" s="115"/>
      <c r="D167" s="115"/>
      <c r="E167" s="115"/>
      <c r="F167" s="115"/>
      <c r="G167" s="115"/>
      <c r="H167" s="115"/>
    </row>
    <row r="168" spans="1:8" x14ac:dyDescent="0.25">
      <c r="A168" s="38" t="s">
        <v>68</v>
      </c>
      <c r="B168" s="39"/>
      <c r="C168" s="39"/>
      <c r="D168" s="38" t="str">
        <f>E8</f>
        <v>Vedaant Meadows</v>
      </c>
      <c r="F168" s="39"/>
      <c r="G168" s="39"/>
      <c r="H168" s="39"/>
    </row>
    <row r="169" spans="1:8" x14ac:dyDescent="0.25">
      <c r="A169" s="39"/>
      <c r="B169" s="39"/>
      <c r="C169" s="39"/>
      <c r="D169" s="39"/>
      <c r="E169" s="39"/>
      <c r="F169" s="39"/>
      <c r="G169" s="39"/>
      <c r="H169" s="39"/>
    </row>
    <row r="170" spans="1:8" x14ac:dyDescent="0.25">
      <c r="A170" s="39"/>
      <c r="B170" s="39"/>
      <c r="C170" s="39"/>
      <c r="D170" s="39"/>
      <c r="E170" s="39"/>
      <c r="F170" s="39"/>
      <c r="G170" s="39"/>
      <c r="H170" s="39"/>
    </row>
    <row r="208" spans="1:1" x14ac:dyDescent="0.25">
      <c r="A208" s="41" t="s">
        <v>173</v>
      </c>
    </row>
    <row r="242" spans="1:2" x14ac:dyDescent="0.25">
      <c r="A242" s="41" t="s">
        <v>69</v>
      </c>
      <c r="B242" s="41"/>
    </row>
    <row r="251" spans="1:2" x14ac:dyDescent="0.25">
      <c r="A251" s="41"/>
    </row>
  </sheetData>
  <mergeCells count="324">
    <mergeCell ref="I10:L10"/>
    <mergeCell ref="B154:H154"/>
    <mergeCell ref="L119:M119"/>
    <mergeCell ref="A120:B120"/>
    <mergeCell ref="G120:H120"/>
    <mergeCell ref="A121:B121"/>
    <mergeCell ref="G121:H121"/>
    <mergeCell ref="A122:B122"/>
    <mergeCell ref="G122:H122"/>
    <mergeCell ref="A123:B123"/>
    <mergeCell ref="G123:H123"/>
    <mergeCell ref="L130:M130"/>
    <mergeCell ref="B149:H149"/>
    <mergeCell ref="B150:H150"/>
    <mergeCell ref="A145:H145"/>
    <mergeCell ref="A130:B130"/>
    <mergeCell ref="G133:H133"/>
    <mergeCell ref="A137:H137"/>
    <mergeCell ref="A138:H138"/>
    <mergeCell ref="A139:B139"/>
    <mergeCell ref="G139:H139"/>
    <mergeCell ref="A140:B140"/>
    <mergeCell ref="A136:H136"/>
    <mergeCell ref="G140:H140"/>
    <mergeCell ref="A84:E84"/>
    <mergeCell ref="A102:B102"/>
    <mergeCell ref="E102:F102"/>
    <mergeCell ref="A38:B38"/>
    <mergeCell ref="C38:H38"/>
    <mergeCell ref="B153:H153"/>
    <mergeCell ref="A47:B47"/>
    <mergeCell ref="C47:H47"/>
    <mergeCell ref="B151:H151"/>
    <mergeCell ref="F81:H81"/>
    <mergeCell ref="A81:E81"/>
    <mergeCell ref="D106:D107"/>
    <mergeCell ref="A83:E83"/>
    <mergeCell ref="A109:B109"/>
    <mergeCell ref="A110:B110"/>
    <mergeCell ref="A132:B132"/>
    <mergeCell ref="G132:H132"/>
    <mergeCell ref="G131:H131"/>
    <mergeCell ref="A134:B134"/>
    <mergeCell ref="G134:H134"/>
    <mergeCell ref="A135:B135"/>
    <mergeCell ref="G135:H135"/>
    <mergeCell ref="A127:H127"/>
    <mergeCell ref="A101:B101"/>
    <mergeCell ref="C101:D101"/>
    <mergeCell ref="E101:F101"/>
    <mergeCell ref="G101:H101"/>
    <mergeCell ref="G130:H130"/>
    <mergeCell ref="C106:C107"/>
    <mergeCell ref="B114:B115"/>
    <mergeCell ref="A112:B112"/>
    <mergeCell ref="A111:B111"/>
    <mergeCell ref="A116:H116"/>
    <mergeCell ref="A117:H117"/>
    <mergeCell ref="A118:H118"/>
    <mergeCell ref="G112:H112"/>
    <mergeCell ref="A119:B119"/>
    <mergeCell ref="G119:H119"/>
    <mergeCell ref="A124:B124"/>
    <mergeCell ref="L112:M112"/>
    <mergeCell ref="L111:M111"/>
    <mergeCell ref="L110:M110"/>
    <mergeCell ref="L109:M109"/>
    <mergeCell ref="G141:H141"/>
    <mergeCell ref="A142:B142"/>
    <mergeCell ref="G142:H142"/>
    <mergeCell ref="A143:B143"/>
    <mergeCell ref="G143:H143"/>
    <mergeCell ref="A131:B131"/>
    <mergeCell ref="A113:H113"/>
    <mergeCell ref="A141:B141"/>
    <mergeCell ref="A76:B76"/>
    <mergeCell ref="C100:D100"/>
    <mergeCell ref="E100:F100"/>
    <mergeCell ref="G100:H100"/>
    <mergeCell ref="F86:H86"/>
    <mergeCell ref="A80:E80"/>
    <mergeCell ref="A108:H108"/>
    <mergeCell ref="E106:E107"/>
    <mergeCell ref="G106:H107"/>
    <mergeCell ref="F79:H79"/>
    <mergeCell ref="F84:H84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G99:H99"/>
    <mergeCell ref="F87:H87"/>
    <mergeCell ref="C94:D94"/>
    <mergeCell ref="F90:H90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4:D44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A57:C57"/>
    <mergeCell ref="D57:H57"/>
    <mergeCell ref="C49:E49"/>
    <mergeCell ref="A52:B52"/>
    <mergeCell ref="C52:E52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64:H167"/>
    <mergeCell ref="A163:B163"/>
    <mergeCell ref="E163:F163"/>
    <mergeCell ref="C163:D163"/>
    <mergeCell ref="G163:H163"/>
    <mergeCell ref="A93:H93"/>
    <mergeCell ref="A91:E91"/>
    <mergeCell ref="F91:H91"/>
    <mergeCell ref="A92:E92"/>
    <mergeCell ref="F92:H92"/>
    <mergeCell ref="A100:B100"/>
    <mergeCell ref="A95:B95"/>
    <mergeCell ref="A159:H159"/>
    <mergeCell ref="A98:H98"/>
    <mergeCell ref="A162:H162"/>
    <mergeCell ref="A160:H160"/>
    <mergeCell ref="A156:H156"/>
    <mergeCell ref="C99:D99"/>
    <mergeCell ref="A157:H157"/>
    <mergeCell ref="E99:F99"/>
    <mergeCell ref="B155:H155"/>
    <mergeCell ref="G111:H111"/>
    <mergeCell ref="G109:H109"/>
    <mergeCell ref="G110:H110"/>
    <mergeCell ref="F88:H88"/>
    <mergeCell ref="A105:H105"/>
    <mergeCell ref="G94:H94"/>
    <mergeCell ref="A89:E89"/>
    <mergeCell ref="C95:D95"/>
    <mergeCell ref="E95:F95"/>
    <mergeCell ref="C102:D102"/>
    <mergeCell ref="F89:H89"/>
    <mergeCell ref="E94:F94"/>
    <mergeCell ref="A94:B94"/>
    <mergeCell ref="A96:B96"/>
    <mergeCell ref="A90:E90"/>
    <mergeCell ref="G102:H102"/>
    <mergeCell ref="C96:D96"/>
    <mergeCell ref="E96:F96"/>
    <mergeCell ref="G96:H96"/>
    <mergeCell ref="A97:B97"/>
    <mergeCell ref="C97:D97"/>
    <mergeCell ref="E97:F97"/>
    <mergeCell ref="G97:H97"/>
    <mergeCell ref="E103:F103"/>
    <mergeCell ref="G103:H103"/>
    <mergeCell ref="A103:B103"/>
    <mergeCell ref="C103:D103"/>
    <mergeCell ref="B152:H152"/>
    <mergeCell ref="B148:H148"/>
    <mergeCell ref="A104:H104"/>
    <mergeCell ref="B146:H146"/>
    <mergeCell ref="B147:H147"/>
    <mergeCell ref="B106:B107"/>
    <mergeCell ref="A106:A107"/>
    <mergeCell ref="C114:C115"/>
    <mergeCell ref="A129:H129"/>
    <mergeCell ref="A114:A115"/>
    <mergeCell ref="A133:B133"/>
    <mergeCell ref="G124:H124"/>
    <mergeCell ref="A125:B125"/>
    <mergeCell ref="G125:H125"/>
    <mergeCell ref="A126:B126"/>
    <mergeCell ref="G126:H126"/>
    <mergeCell ref="A128:H128"/>
    <mergeCell ref="A144:B144"/>
    <mergeCell ref="G144:H144"/>
    <mergeCell ref="E41:H41"/>
    <mergeCell ref="A41:D41"/>
    <mergeCell ref="A161:H161"/>
    <mergeCell ref="A158:H158"/>
    <mergeCell ref="A99:B99"/>
    <mergeCell ref="D114:D115"/>
    <mergeCell ref="E114:E115"/>
    <mergeCell ref="G114:H115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49:B49"/>
    <mergeCell ref="A53:H53"/>
    <mergeCell ref="A54:C54"/>
    <mergeCell ref="A55:C55"/>
    <mergeCell ref="D55:H55"/>
    <mergeCell ref="G52:H52"/>
    <mergeCell ref="C51:H51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67" max="7" man="1"/>
    <brk id="207" max="7" man="1"/>
    <brk id="24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85546875" defaultRowHeight="15" x14ac:dyDescent="0.2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1" t="s">
        <v>111</v>
      </c>
      <c r="C3" s="181"/>
      <c r="D3" s="181"/>
      <c r="E3" s="181"/>
      <c r="F3" s="181"/>
      <c r="G3" s="181"/>
      <c r="H3" s="181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2025-07-14T12:18:55Z</cp:lastPrinted>
  <dcterms:created xsi:type="dcterms:W3CDTF">2019-07-16T09:29:46Z</dcterms:created>
  <dcterms:modified xsi:type="dcterms:W3CDTF">2025-07-14T12:22:44Z</dcterms:modified>
</cp:coreProperties>
</file>