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2DBC809F-A91C-449C-BC0F-02059E86DC76}" xr6:coauthVersionLast="36" xr6:coauthVersionMax="36" xr10:uidLastSave="{00000000-0000-0000-0000-000000000000}"/>
  <bookViews>
    <workbookView xWindow="0" yWindow="0" windowWidth="20490" windowHeight="71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7" i="1" l="1"/>
  <c r="C90" i="1"/>
  <c r="C92" i="1" s="1"/>
  <c r="C76" i="1"/>
  <c r="C78" i="1" s="1"/>
  <c r="D245" i="1"/>
  <c r="I154" i="1"/>
  <c r="C77" i="1" l="1"/>
  <c r="C91" i="1"/>
  <c r="C83" i="1" l="1"/>
  <c r="C69" i="1"/>
  <c r="F245" i="1" l="1"/>
  <c r="I242" i="1"/>
  <c r="I238" i="1"/>
  <c r="I234" i="1"/>
  <c r="I229" i="1"/>
  <c r="I225" i="1"/>
  <c r="I221" i="1"/>
  <c r="I217" i="1"/>
  <c r="I213" i="1"/>
  <c r="I208" i="1"/>
  <c r="I203" i="1"/>
  <c r="I198" i="1"/>
  <c r="I193" i="1"/>
  <c r="D246" i="1"/>
  <c r="F246" i="1" s="1"/>
  <c r="A245" i="1"/>
  <c r="A246" i="1" s="1"/>
  <c r="G244" i="1"/>
  <c r="D242" i="1"/>
  <c r="F242" i="1" s="1"/>
  <c r="D241" i="1"/>
  <c r="F241" i="1" s="1"/>
  <c r="A241" i="1"/>
  <c r="A242" i="1" s="1"/>
  <c r="G240" i="1"/>
  <c r="D240" i="1"/>
  <c r="F240" i="1" s="1"/>
  <c r="D238" i="1"/>
  <c r="F238" i="1" s="1"/>
  <c r="D237" i="1"/>
  <c r="F237" i="1" s="1"/>
  <c r="A237" i="1"/>
  <c r="A238" i="1" s="1"/>
  <c r="G236" i="1"/>
  <c r="D236" i="1"/>
  <c r="F236" i="1" s="1"/>
  <c r="J232" i="1"/>
  <c r="I232" i="1"/>
  <c r="J233" i="1"/>
  <c r="I233" i="1"/>
  <c r="D232" i="1"/>
  <c r="F232" i="1" s="1"/>
  <c r="A232" i="1"/>
  <c r="A234" i="1" s="1"/>
  <c r="G231" i="1"/>
  <c r="D231" i="1"/>
  <c r="F231" i="1" s="1"/>
  <c r="D229" i="1"/>
  <c r="F229" i="1" s="1"/>
  <c r="J228" i="1"/>
  <c r="I228" i="1"/>
  <c r="D228" i="1"/>
  <c r="F228" i="1" s="1"/>
  <c r="A228" i="1"/>
  <c r="A229" i="1" s="1"/>
  <c r="G227" i="1"/>
  <c r="D227" i="1"/>
  <c r="F227" i="1" s="1"/>
  <c r="D225" i="1"/>
  <c r="F225" i="1" s="1"/>
  <c r="D224" i="1"/>
  <c r="F224" i="1" s="1"/>
  <c r="A224" i="1"/>
  <c r="A225" i="1" s="1"/>
  <c r="G223" i="1"/>
  <c r="D223" i="1"/>
  <c r="F223" i="1" s="1"/>
  <c r="D221" i="1"/>
  <c r="F221" i="1" s="1"/>
  <c r="D220" i="1"/>
  <c r="F220" i="1" s="1"/>
  <c r="A220" i="1"/>
  <c r="A221" i="1" s="1"/>
  <c r="G219" i="1"/>
  <c r="D219" i="1"/>
  <c r="F219" i="1" s="1"/>
  <c r="D217" i="1"/>
  <c r="F217" i="1" s="1"/>
  <c r="D216" i="1"/>
  <c r="F216" i="1" s="1"/>
  <c r="A216" i="1"/>
  <c r="A217" i="1" s="1"/>
  <c r="G215" i="1"/>
  <c r="D215" i="1"/>
  <c r="F215" i="1" s="1"/>
  <c r="D212" i="1"/>
  <c r="F212" i="1" s="1"/>
  <c r="D211" i="1"/>
  <c r="F211" i="1" s="1"/>
  <c r="A211" i="1"/>
  <c r="A212" i="1" s="1"/>
  <c r="A213" i="1" s="1"/>
  <c r="G210" i="1"/>
  <c r="D210" i="1"/>
  <c r="F210" i="1" s="1"/>
  <c r="D207" i="1"/>
  <c r="F207" i="1" s="1"/>
  <c r="D206" i="1"/>
  <c r="F206" i="1" s="1"/>
  <c r="A206" i="1"/>
  <c r="A207" i="1" s="1"/>
  <c r="A208" i="1" s="1"/>
  <c r="G205" i="1"/>
  <c r="D205" i="1"/>
  <c r="F205" i="1" s="1"/>
  <c r="D203" i="1"/>
  <c r="I187" i="1"/>
  <c r="I184" i="1"/>
  <c r="I180" i="1"/>
  <c r="I177" i="1"/>
  <c r="I174" i="1"/>
  <c r="I171" i="1"/>
  <c r="I168" i="1"/>
  <c r="I164" i="1"/>
  <c r="I160" i="1"/>
  <c r="I156" i="1"/>
  <c r="I152" i="1"/>
  <c r="D190" i="1"/>
  <c r="F190" i="1" s="1"/>
  <c r="A190" i="1"/>
  <c r="G189" i="1"/>
  <c r="D189" i="1"/>
  <c r="F189" i="1" s="1"/>
  <c r="A187" i="1"/>
  <c r="G186" i="1"/>
  <c r="D186" i="1"/>
  <c r="F186" i="1" s="1"/>
  <c r="D184" i="1"/>
  <c r="F184" i="1" s="1"/>
  <c r="K183" i="1"/>
  <c r="J183" i="1"/>
  <c r="A184" i="1"/>
  <c r="G182" i="1"/>
  <c r="D182" i="1"/>
  <c r="F182" i="1" s="1"/>
  <c r="D180" i="1"/>
  <c r="F180" i="1" s="1"/>
  <c r="A180" i="1"/>
  <c r="G179" i="1"/>
  <c r="D179" i="1"/>
  <c r="F179" i="1" s="1"/>
  <c r="F177" i="1"/>
  <c r="D177" i="1"/>
  <c r="A177" i="1"/>
  <c r="G176" i="1"/>
  <c r="D176" i="1"/>
  <c r="F176" i="1" s="1"/>
  <c r="D174" i="1"/>
  <c r="F174" i="1" s="1"/>
  <c r="A174" i="1"/>
  <c r="G173" i="1"/>
  <c r="D173" i="1"/>
  <c r="F173" i="1" s="1"/>
  <c r="D171" i="1"/>
  <c r="F171" i="1" s="1"/>
  <c r="A171" i="1"/>
  <c r="G170" i="1"/>
  <c r="D170" i="1"/>
  <c r="F170" i="1" s="1"/>
  <c r="D168" i="1"/>
  <c r="F168" i="1" s="1"/>
  <c r="M167" i="1" s="1"/>
  <c r="A167" i="1"/>
  <c r="A168" i="1" s="1"/>
  <c r="G166" i="1"/>
  <c r="D166" i="1"/>
  <c r="F166" i="1" s="1"/>
  <c r="D164" i="1"/>
  <c r="F164" i="1" s="1"/>
  <c r="M163" i="1" s="1"/>
  <c r="A163" i="1"/>
  <c r="A164" i="1" s="1"/>
  <c r="G162" i="1"/>
  <c r="D162" i="1"/>
  <c r="F162" i="1" s="1"/>
  <c r="D202" i="1"/>
  <c r="D197" i="1"/>
  <c r="D201" i="1"/>
  <c r="D196" i="1"/>
  <c r="D200" i="1"/>
  <c r="D195" i="1"/>
  <c r="D160" i="1"/>
  <c r="D159" i="1"/>
  <c r="D158" i="1"/>
  <c r="D156" i="1"/>
  <c r="D154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E42" i="1"/>
  <c r="C118" i="1" l="1"/>
  <c r="C119" i="1"/>
  <c r="E119" i="1"/>
  <c r="E118" i="1"/>
  <c r="I112" i="1"/>
  <c r="F203" i="1"/>
  <c r="J208" i="1" s="1"/>
  <c r="F202" i="1"/>
  <c r="J202" i="1" s="1"/>
  <c r="F201" i="1"/>
  <c r="J201" i="1" s="1"/>
  <c r="F200" i="1"/>
  <c r="J200" i="1" s="1"/>
  <c r="F197" i="1"/>
  <c r="I197" i="1" s="1"/>
  <c r="F196" i="1"/>
  <c r="F195" i="1"/>
  <c r="F160" i="1"/>
  <c r="M159" i="1" s="1"/>
  <c r="F146" i="1"/>
  <c r="F145" i="1"/>
  <c r="F144" i="1"/>
  <c r="F143" i="1"/>
  <c r="F140" i="1"/>
  <c r="F139" i="1"/>
  <c r="F138" i="1"/>
  <c r="F137" i="1"/>
  <c r="F136" i="1"/>
  <c r="F135" i="1"/>
  <c r="J134" i="1" s="1"/>
  <c r="M99" i="1" s="1"/>
  <c r="E114" i="1"/>
  <c r="F159" i="1"/>
  <c r="F158" i="1"/>
  <c r="A201" i="1"/>
  <c r="A202" i="1" s="1"/>
  <c r="A203" i="1" s="1"/>
  <c r="G200" i="1"/>
  <c r="G158" i="1"/>
  <c r="A159" i="1"/>
  <c r="A160" i="1" s="1"/>
  <c r="A196" i="1"/>
  <c r="A197" i="1" s="1"/>
  <c r="A198" i="1" s="1"/>
  <c r="G195" i="1"/>
  <c r="F142" i="1"/>
  <c r="F134" i="1"/>
  <c r="F141" i="1"/>
  <c r="I41" i="1"/>
  <c r="G119" i="1" l="1"/>
  <c r="E115" i="1"/>
  <c r="E120" i="1"/>
  <c r="C114" i="1"/>
  <c r="C115" i="1" s="1"/>
  <c r="C120" i="1"/>
  <c r="F154" i="1"/>
  <c r="F130" i="1"/>
  <c r="J98" i="1" l="1"/>
  <c r="E121" i="1"/>
  <c r="C121" i="1"/>
  <c r="E43" i="1" l="1"/>
  <c r="E44" i="1" s="1"/>
  <c r="C15" i="1" l="1"/>
  <c r="E30" i="1" l="1"/>
  <c r="F156" i="1" l="1"/>
  <c r="G118" i="1" s="1"/>
  <c r="A155" i="1"/>
  <c r="A156" i="1" s="1"/>
  <c r="G154" i="1"/>
  <c r="M155" i="1" l="1"/>
  <c r="M98" i="1" s="1"/>
  <c r="I98" i="1" s="1"/>
  <c r="G120" i="1"/>
  <c r="F111" i="1"/>
  <c r="F131" i="1" l="1"/>
  <c r="F132" i="1"/>
  <c r="F133" i="1"/>
  <c r="G114" i="1" l="1"/>
  <c r="G115" i="1"/>
  <c r="G121" i="1" s="1"/>
  <c r="B249" i="1"/>
  <c r="B25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2" i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G130" i="1"/>
  <c r="B70" i="1"/>
  <c r="D57" i="1"/>
  <c r="G50" i="1"/>
  <c r="C50" i="1"/>
  <c r="E27" i="1"/>
  <c r="E25" i="1"/>
  <c r="E7" i="1"/>
  <c r="E3" i="1"/>
  <c r="D63" i="1" l="1"/>
  <c r="H70" i="1"/>
  <c r="D82" i="1" l="1"/>
  <c r="D80" i="1"/>
  <c r="D79" i="1"/>
  <c r="D76" i="1"/>
  <c r="D78" i="1"/>
  <c r="J75" i="1"/>
  <c r="J76" i="1" s="1"/>
  <c r="J81" i="1" s="1"/>
  <c r="D81" i="1"/>
  <c r="J69" i="1"/>
  <c r="J71" i="1" s="1"/>
  <c r="D77" i="1"/>
  <c r="J73" i="1"/>
  <c r="J74" i="1"/>
  <c r="J72" i="1"/>
  <c r="J77" i="1"/>
  <c r="J78" i="1" s="1"/>
  <c r="J79" i="1" s="1"/>
  <c r="J80" i="1" s="1"/>
  <c r="D75" i="1"/>
  <c r="B84" i="1" l="1"/>
  <c r="J82" i="1"/>
  <c r="C74" i="1" s="1"/>
  <c r="H84" i="1"/>
  <c r="C73" i="1" l="1"/>
  <c r="D73" i="1" s="1"/>
  <c r="J88" i="1"/>
  <c r="J87" i="1"/>
  <c r="D96" i="1"/>
  <c r="D95" i="1"/>
  <c r="D94" i="1"/>
  <c r="D93" i="1"/>
  <c r="D92" i="1"/>
  <c r="D91" i="1"/>
  <c r="D90" i="1"/>
  <c r="D89" i="1"/>
  <c r="J86" i="1"/>
  <c r="J83" i="1"/>
  <c r="J85" i="1" s="1"/>
  <c r="J94" i="1"/>
  <c r="J93" i="1"/>
  <c r="J92" i="1"/>
  <c r="J91" i="1"/>
  <c r="J89" i="1"/>
  <c r="J90" i="1" s="1"/>
  <c r="J95" i="1" s="1"/>
  <c r="J96" i="1" s="1"/>
  <c r="D74" i="1"/>
  <c r="E73" i="1"/>
  <c r="J70" i="1" l="1"/>
  <c r="C88" i="1"/>
  <c r="C87" i="1"/>
  <c r="I70" i="1"/>
  <c r="I71" i="1" s="1"/>
  <c r="G73" i="1"/>
  <c r="D67" i="1" s="1"/>
  <c r="I69" i="1" l="1"/>
  <c r="C71" i="1" s="1"/>
  <c r="G87" i="1"/>
  <c r="D87" i="1"/>
  <c r="J84" i="1" s="1"/>
  <c r="D88" i="1"/>
  <c r="E87" i="1"/>
  <c r="D68" i="1"/>
  <c r="F68" i="1"/>
  <c r="I84" i="1" l="1"/>
  <c r="I85" i="1" s="1"/>
  <c r="I83" i="1" l="1"/>
  <c r="C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<sst xmlns="http://schemas.openxmlformats.org/spreadsheetml/2006/main" count="439" uniqueCount="272">
  <si>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</si>
  <si>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</si>
  <si>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</si>
  <si>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</si>
  <si>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</si>
  <si>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</si>
  <si>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</si>
  <si>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</si>
  <si>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</si>
  <si>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</si>
  <si>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</si>
  <si>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</si>
  <si>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</si>
  <si>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</si>
  <si>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</si>
  <si>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</si>
  <si>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</si>
  <si>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</si>
  <si>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</si>
  <si>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</si>
  <si>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</si>
  <si>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</si>
  <si>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</si>
  <si>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</si>
  <si>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</si>
  <si>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</si>
  <si>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</si>
  <si>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</si>
  <si>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</si>
  <si>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</si>
  <si>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</si>
  <si>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</si>
  <si>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</si>
  <si>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</si>
  <si>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</si>
  <si>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</si>
  <si>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</si>
  <si>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</si>
  <si>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</si>
  <si>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</si>
  <si>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</si>
  <si>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</si>
  <si>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</si>
  <si>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</si>
  <si>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</si>
  <si>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</si>
  <si>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</si>
  <si>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</si>
  <si>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</si>
  <si>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</si>
  <si>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</si>
  <si>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</si>
  <si>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</si>
  <si>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</si>
  <si>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</si>
  <si>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</si>
  <si>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</si>
  <si>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</si>
  <si>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</si>
  <si>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</si>
  <si>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</si>
  <si>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</si>
  <si>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</si>
  <si>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</si>
  <si>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</si>
  <si>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</si>
  <si>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</si>
  <si>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</si>
  <si>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</si>
  <si>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</si>
  <si>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</si>
  <si>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</si>
  <si>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</si>
  <si>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</si>
  <si>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</si>
  <si>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</si>
  <si>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</si>
  <si>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</si>
  <si>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</si>
  <si>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</si>
  <si>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</si>
  <si>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</si>
  <si>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</si>
  <si>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</si>
  <si>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</si>
  <si>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</si>
  <si>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</si>
  <si>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</si>
  <si>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</si>
  <si>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</si>
  <si>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</si>
  <si>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</si>
  <si>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</si>
  <si>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</si>
  <si>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</si>
  <si>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</si>
  <si>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</si>
  <si>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</si>
  <si>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</si>
  <si>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</si>
  <si>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</si>
  <si>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</si>
  <si>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</si>
  <si>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</si>
  <si>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</si>
  <si>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</si>
  <si>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</si>
  <si>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</si>
  <si>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</si>
  <si>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</si>
  <si>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</si>
  <si>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</si>
  <si>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</si>
  <si>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</si>
  <si>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</si>
  <si>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</si>
  <si>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</si>
  <si>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</si>
  <si>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</si>
  <si>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</si>
  <si>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</si>
  <si>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</si>
  <si>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</si>
  <si>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</si>
  <si>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</si>
  <si>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</si>
  <si>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</si>
  <si>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</si>
  <si>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</si>
  <si>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</si>
  <si>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</si>
  <si>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</si>
  <si>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</si>
  <si>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</si>
  <si>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</si>
  <si>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</si>
  <si>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</si>
  <si>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</si>
  <si>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</si>
  <si>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</si>
  <si>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</si>
  <si>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</si>
  <si>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</si>
  <si>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</si>
  <si>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</si>
  <si>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</si>
  <si>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</si>
  <si>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</si>
  <si>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</si>
  <si>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</si>
  <si>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</si>
  <si>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</si>
  <si>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</si>
  <si>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</si>
  <si>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</si>
  <si>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</si>
  <si>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</si>
  <si>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</si>
  <si>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</si>
  <si>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</si>
  <si>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</si>
  <si>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</si>
  <si>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</si>
  <si>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</si>
  <si>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</si>
  <si>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</si>
  <si>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</si>
  <si>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</si>
  <si>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</si>
  <si>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</si>
  <si>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</si>
  <si>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</si>
  <si>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</si>
  <si>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</si>
  <si>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</si>
  <si>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</si>
  <si>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</si>
  <si>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Axis Sanpada</t>
  </si>
  <si>
    <t>Vikas Lifespace LLP</t>
  </si>
  <si>
    <t>Vikas 11</t>
  </si>
  <si>
    <t>P51800048458</t>
  </si>
  <si>
    <t>https://goo.gl/maps/mXkxomEEP28y6aY8A</t>
  </si>
  <si>
    <t>CTS No</t>
  </si>
  <si>
    <t>551/17</t>
  </si>
  <si>
    <t>Nahur</t>
  </si>
  <si>
    <t>Kurla</t>
  </si>
  <si>
    <t>Madan Mohan Malviya Road</t>
  </si>
  <si>
    <t>Purushottam Kheraj Road</t>
  </si>
  <si>
    <t>Open Plot</t>
  </si>
  <si>
    <t>Existing Bldg Plot</t>
  </si>
  <si>
    <t>Municipal Corporation of Greater Mumbai</t>
  </si>
  <si>
    <t>As per RERA - 30/06/2027</t>
  </si>
  <si>
    <t>Wing A &amp; B</t>
  </si>
  <si>
    <t>02 Wings</t>
  </si>
  <si>
    <t>Retail</t>
  </si>
  <si>
    <t>1st to 4th Podium Floor for Parking</t>
  </si>
  <si>
    <t>5th Floor for Amenities</t>
  </si>
  <si>
    <t>Wing A</t>
  </si>
  <si>
    <t>Wing A + B</t>
  </si>
  <si>
    <t>6th Floor for Residential (Part Refuge Area)</t>
  </si>
  <si>
    <t>Wing B</t>
  </si>
  <si>
    <t>Refuge Area</t>
  </si>
  <si>
    <t>4BHK</t>
  </si>
  <si>
    <t>2.5BHK</t>
  </si>
  <si>
    <t>3.5BHK</t>
  </si>
  <si>
    <t>3BHK</t>
  </si>
  <si>
    <t>Cost Sheet</t>
  </si>
  <si>
    <t>Society Charges</t>
  </si>
  <si>
    <t>Inspection</t>
  </si>
  <si>
    <t>Online</t>
  </si>
  <si>
    <t>MIS</t>
  </si>
  <si>
    <t>Approved Plans, CC, Cost Sheet, Airport Noc</t>
  </si>
  <si>
    <t>St Pius Colony</t>
  </si>
  <si>
    <t xml:space="preserve">Airport Authority of India
NOC No.
Valid Up to: </t>
  </si>
  <si>
    <t>SNCR/WEST/B/051322/671932</t>
  </si>
  <si>
    <t>162.62 M (AMSL)</t>
  </si>
  <si>
    <t>Mr. Rajil Hansoti 9867184952</t>
  </si>
  <si>
    <t>Mr. Kiran 7021427822</t>
  </si>
  <si>
    <t>Mulund West</t>
  </si>
  <si>
    <t>Michael Enclave</t>
  </si>
  <si>
    <t>1.7 KM from Mulund Railway Station</t>
  </si>
  <si>
    <t>Infinity Swimming Pool, Children's Play Area, Gymnasium, Yogalaya, Jogging Track, Indoor Games Room, Comforting Cafeteria, Grand Banquet Hall / AV Room, Cricket Pitch, CCTV Surveillance, Fire Safety Systems, Power back up</t>
  </si>
  <si>
    <t>Security Deposit</t>
  </si>
  <si>
    <t>shop</t>
  </si>
  <si>
    <t>runwal greens</t>
  </si>
  <si>
    <t>Commercial Area Details : Retail</t>
  </si>
  <si>
    <t xml:space="preserve">Residential Area Details : Flats </t>
  </si>
  <si>
    <t>P-11145/2022/(551/17)/T WARD/NAHUR -T/337/6/AMEND</t>
  </si>
  <si>
    <t>P-11145/2022/(551/17)/T Ward/NAHUR -T/FCC/1/Amend</t>
  </si>
  <si>
    <t>Further C.C. is granted upto 27th floor for wing ‘A’ and wing B as per approved amended plans dated 28.03.2025 by restricting 28th to 29th floor of wing A &amp; 28th to 30th floor of wing B for availed instalment facility, subject to timely renewal of B.G., SWM NOC, Workmen’s compensation policy and taking all sorts of precautions during construction along with precautionary measures for air pollution.</t>
  </si>
  <si>
    <t>18.3M Wide Madanmohan Malviya Road</t>
  </si>
  <si>
    <t>18.3M Wide Purushottam Kheraj Road</t>
  </si>
  <si>
    <t xml:space="preserve">7th to 12th, 14th to 19th &amp; 21st Floor </t>
  </si>
  <si>
    <t>13th Floor for Residential (Part Refuge Area)</t>
  </si>
  <si>
    <t>20th Floor for Residential (Part Refuge Area)</t>
  </si>
  <si>
    <t>22nd Floor</t>
  </si>
  <si>
    <t>5.5BHK</t>
  </si>
  <si>
    <t>23rd Floor</t>
  </si>
  <si>
    <t>26th Floor</t>
  </si>
  <si>
    <t>27th Floor for Residential (Part Refuge Area)</t>
  </si>
  <si>
    <t xml:space="preserve"> - </t>
  </si>
  <si>
    <t>4.5BHK</t>
  </si>
  <si>
    <t>2 Study Room considered as 1 Bedroom</t>
  </si>
  <si>
    <t>28th Floor</t>
  </si>
  <si>
    <t>29th Floor</t>
  </si>
  <si>
    <t>OK</t>
  </si>
  <si>
    <t xml:space="preserve">Printing Mistake from there side. </t>
  </si>
  <si>
    <t>30th Floor For Residential (Part Terrace Area)</t>
  </si>
  <si>
    <t>-</t>
  </si>
  <si>
    <t>Terrace Area</t>
  </si>
  <si>
    <t>Mr. Pranav 9372092447</t>
  </si>
  <si>
    <t>Ground Floor For Commercial &amp; Parking</t>
  </si>
  <si>
    <t>Wing A = 1B + Gr + P1 to P5 + 6th to 29th Floor
Wing B = Gr + P1 to P5 + 6th to 30th Floor</t>
  </si>
  <si>
    <t>Basement Floor For Pump Room, Filtration, Treated water tank &amp; Raw Sewer collection Tank</t>
  </si>
  <si>
    <t>5th Podium Floor for Amenities</t>
  </si>
  <si>
    <t>24th &amp; 25th Floor</t>
  </si>
  <si>
    <t>6.5BHK
Duplex with 27th Floor</t>
  </si>
  <si>
    <t>6.5BHK Duplex with 26th Floor</t>
  </si>
  <si>
    <t>10BHK
Duplex with 28th Floor</t>
  </si>
  <si>
    <t>10BHK Duplex with 27th Floor</t>
  </si>
  <si>
    <t>Flats - 146, Retail - 17</t>
  </si>
  <si>
    <t>Wing A = 1B + Gr + P1 to P5 + 6th to 31st Floor</t>
  </si>
  <si>
    <t>Wing B = Gr + P1 to P5 + 6th to 31st Floor</t>
  </si>
  <si>
    <t>We have updated approved plans &amp; CC from MCGM site on 29/04/2025</t>
  </si>
  <si>
    <t>We have referred Aviation NOC from MCGM site on 27/07/2023</t>
  </si>
  <si>
    <t xml:space="preserve">We considered Gross carpet area = Net carpet + Deck + Balcony Area </t>
  </si>
  <si>
    <t>19.168756601,72.94558836</t>
  </si>
  <si>
    <t xml:space="preserve">Recommended Rates of the Property have been revised as per market inquiry on
29/04/2025
</t>
  </si>
  <si>
    <t>Mr. Sachin Kharade (Site Engineer) 9834709619</t>
  </si>
  <si>
    <t>Construction work is in process at the time of Visit.</t>
  </si>
  <si>
    <t>Gaurav Panchal</t>
  </si>
  <si>
    <t>Nainesh Tambe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</si>
</sst>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46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3" fillId="0" borderId="1" xfId="1" applyFont="1" applyBorder="1" applyAlignment="1" applyProtection="1">
      <alignment horizontal="center" vertical="top"/>
      <protection locked="0"/>
    </xf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/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9" fontId="13" fillId="0" borderId="6" xfId="8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7" fillId="0" borderId="0" xfId="2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" fontId="30" fillId="0" borderId="0" xfId="1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left" vertical="center" wrapText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1" fontId="16" fillId="0" borderId="0" xfId="1" applyNumberFormat="1" applyFont="1" applyAlignment="1">
      <alignment horizontal="left" vertical="center"/>
    </xf>
    <xf numFmtId="168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4" fillId="0" borderId="21" xfId="1" applyFont="1" applyBorder="1" applyAlignment="1" applyProtection="1">
      <alignment horizontal="left" vertical="top" wrapText="1"/>
      <protection locked="0"/>
    </xf>
    <xf numFmtId="0" fontId="14" fillId="0" borderId="14" xfId="1" applyFont="1" applyBorder="1" applyAlignment="1" applyProtection="1">
      <alignment horizontal="left" vertical="top" wrapText="1"/>
      <protection locked="0"/>
    </xf>
    <xf numFmtId="0" fontId="14" fillId="0" borderId="12" xfId="1" applyFont="1" applyBorder="1" applyAlignment="1" applyProtection="1">
      <alignment horizontal="left" vertical="top" wrapText="1"/>
      <protection locked="0"/>
    </xf>
    <xf numFmtId="0" fontId="14" fillId="0" borderId="13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9" fontId="13" fillId="0" borderId="16" xfId="8" applyFont="1" applyFill="1" applyBorder="1" applyAlignment="1" applyProtection="1">
      <alignment horizontal="center" vertical="center" wrapText="1"/>
      <protection locked="0"/>
    </xf>
    <xf numFmtId="9" fontId="13" fillId="0" borderId="17" xfId="8" applyFont="1" applyFill="1" applyBorder="1" applyAlignment="1" applyProtection="1">
      <alignment horizontal="center" vertical="center" wrapText="1"/>
      <protection locked="0"/>
    </xf>
    <xf numFmtId="9" fontId="13" fillId="0" borderId="24" xfId="8" applyFont="1" applyFill="1" applyBorder="1" applyAlignment="1" applyProtection="1">
      <alignment horizontal="center" vertical="center" wrapText="1"/>
      <protection locked="0"/>
    </xf>
    <xf numFmtId="9" fontId="13" fillId="0" borderId="25" xfId="8" applyFont="1" applyFill="1" applyBorder="1" applyAlignment="1" applyProtection="1">
      <alignment horizontal="center" vertical="center" wrapText="1"/>
      <protection locked="0"/>
    </xf>
    <xf numFmtId="9" fontId="13" fillId="0" borderId="27" xfId="8" applyFont="1" applyFill="1" applyBorder="1" applyAlignment="1" applyProtection="1">
      <alignment horizontal="center" vertical="center" wrapText="1"/>
      <protection locked="0"/>
    </xf>
    <xf numFmtId="9" fontId="13" fillId="0" borderId="28" xfId="8" applyFont="1" applyFill="1" applyBorder="1" applyAlignment="1" applyProtection="1">
      <alignment horizontal="center" vertical="center" wrapText="1"/>
      <protection locked="0"/>
    </xf>
    <xf numFmtId="9" fontId="13" fillId="0" borderId="26" xfId="8" applyFont="1" applyFill="1" applyBorder="1" applyAlignment="1" applyProtection="1">
      <alignment horizontal="center" vertical="center" wrapText="1"/>
      <protection locked="0"/>
    </xf>
    <xf numFmtId="9" fontId="13" fillId="0" borderId="9" xfId="8" applyFont="1" applyFill="1" applyBorder="1" applyAlignment="1" applyProtection="1">
      <alignment horizontal="center" vertical="center" wrapText="1"/>
      <protection locked="0"/>
    </xf>
    <xf numFmtId="9" fontId="13" fillId="0" borderId="11" xfId="8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>
      <alignment horizontal="center" vertical="center"/>
    </xf>
    <xf numFmtId="1" fontId="8" fillId="0" borderId="20" xfId="1" applyNumberFormat="1" applyFont="1" applyBorder="1" applyAlignment="1">
      <alignment horizontal="center" vertical="center"/>
    </xf>
    <xf numFmtId="1" fontId="8" fillId="0" borderId="8" xfId="1" applyNumberFormat="1" applyFont="1" applyBorder="1" applyAlignment="1">
      <alignment horizontal="center" vertical="center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9" fillId="0" borderId="7" xfId="0" applyNumberFormat="1" applyFont="1" applyBorder="1" applyAlignment="1" applyProtection="1">
      <alignment vertical="top" wrapText="1"/>
      <protection locked="0"/>
    </xf>
    <xf numFmtId="1" fontId="9" fillId="0" borderId="20" xfId="0" applyNumberFormat="1" applyFont="1" applyBorder="1" applyAlignment="1" applyProtection="1">
      <alignment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68" fontId="7" fillId="0" borderId="7" xfId="1" applyNumberFormat="1" applyFont="1" applyBorder="1" applyAlignment="1" applyProtection="1">
      <alignment horizontal="center" vertical="center" wrapText="1"/>
      <protection locked="0"/>
    </xf>
    <xf numFmtId="168" fontId="7" fillId="0" borderId="20" xfId="1" applyNumberFormat="1" applyFont="1" applyBorder="1" applyAlignment="1" applyProtection="1">
      <alignment horizontal="center" vertical="center" wrapText="1"/>
      <protection locked="0"/>
    </xf>
    <xf numFmtId="168" fontId="7" fillId="0" borderId="8" xfId="1" applyNumberFormat="1" applyFont="1" applyBorder="1" applyAlignment="1" applyProtection="1">
      <alignment horizontal="center" vertical="center" wrapText="1"/>
      <protection locked="0"/>
    </xf>
    <xf numFmtId="1" fontId="14" fillId="0" borderId="7" xfId="1" applyNumberFormat="1" applyFont="1" applyBorder="1" applyAlignment="1" applyProtection="1">
      <alignment horizontal="center" vertical="center" wrapText="1"/>
      <protection locked="0"/>
    </xf>
    <xf numFmtId="1" fontId="14" fillId="0" borderId="20" xfId="1" applyNumberFormat="1" applyFont="1" applyBorder="1" applyAlignment="1" applyProtection="1">
      <alignment horizontal="center" vertical="center" wrapText="1"/>
      <protection locked="0"/>
    </xf>
    <xf numFmtId="1" fontId="14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6" xfId="1" applyNumberFormat="1" applyFont="1" applyBorder="1" applyAlignment="1" applyProtection="1">
      <alignment horizontal="center" vertical="center" wrapText="1"/>
      <protection locked="0"/>
    </xf>
    <xf numFmtId="1" fontId="13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24" xfId="1" applyNumberFormat="1" applyFont="1" applyBorder="1" applyAlignment="1" applyProtection="1">
      <alignment horizontal="center" vertical="center" wrapText="1"/>
      <protection locked="0"/>
    </xf>
    <xf numFmtId="1" fontId="13" fillId="0" borderId="25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9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9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9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27" fillId="0" borderId="1" xfId="10" applyFont="1" applyFill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20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2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20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top"/>
      <protection locked="0"/>
    </xf>
    <xf numFmtId="0" fontId="14" fillId="0" borderId="20" xfId="1" applyFont="1" applyBorder="1" applyAlignment="1" applyProtection="1">
      <alignment horizontal="center" vertical="top"/>
      <protection locked="0"/>
    </xf>
    <xf numFmtId="0" fontId="14" fillId="0" borderId="8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20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vertical="top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1" fontId="11" fillId="0" borderId="32" xfId="0" applyNumberFormat="1" applyFont="1" applyBorder="1" applyAlignment="1" applyProtection="1">
      <alignment horizontal="center" vertical="top" wrapText="1"/>
      <protection locked="0"/>
    </xf>
    <xf numFmtId="1" fontId="9" fillId="0" borderId="32" xfId="0" applyNumberFormat="1" applyFont="1" applyBorder="1" applyAlignment="1" applyProtection="1">
      <alignment horizontal="center" vertical="top" wrapText="1"/>
      <protection locked="0"/>
    </xf>
    <xf numFmtId="1" fontId="9" fillId="0" borderId="33" xfId="0" applyNumberFormat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16" fillId="2" borderId="1" xfId="1" applyFont="1" applyFill="1" applyBorder="1" applyAlignment="1" applyProtection="1">
      <alignment horizontal="left" vertical="top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0" fontId="9" fillId="0" borderId="15" xfId="1" applyFont="1" applyBorder="1" applyAlignment="1" applyProtection="1">
      <alignment horizontal="left" vertical="top"/>
      <protection locked="0"/>
    </xf>
    <xf numFmtId="0" fontId="9" fillId="0" borderId="1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147198</xdr:colOff>
      <xdr:row>311</xdr:row>
      <xdr:rowOff>129885</xdr:rowOff>
    </xdr:from>
    <xdr:to>
      <xdr:col>6</xdr:col>
      <xdr:colOff>639226</xdr:colOff>
      <xdr:row>333</xdr:row>
      <xdr:rowOff>49453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9198" y="64842735"/>
          <a:ext cx="4644928" cy="43201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667064</xdr:colOff>
      <xdr:row>334</xdr:row>
      <xdr:rowOff>87360</xdr:rowOff>
    </xdr:from>
    <xdr:to>
      <xdr:col>6</xdr:col>
      <xdr:colOff>119359</xdr:colOff>
      <xdr:row>349</xdr:row>
      <xdr:rowOff>58878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9064" y="69400785"/>
          <a:ext cx="3605195" cy="29718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2</xdr:col>
      <xdr:colOff>389659</xdr:colOff>
      <xdr:row>315</xdr:row>
      <xdr:rowOff>164522</xdr:rowOff>
    </xdr:from>
    <xdr:ext cx="596574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48295" y="54708136"/>
          <a:ext cx="596574" cy="26456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oneCellAnchor>
  <xdr:twoCellAnchor>
    <xdr:from>
      <xdr:col>2</xdr:col>
      <xdr:colOff>623455</xdr:colOff>
      <xdr:row>317</xdr:row>
      <xdr:rowOff>43295</xdr:rowOff>
    </xdr:from>
    <xdr:to>
      <xdr:col>2</xdr:col>
      <xdr:colOff>779319</xdr:colOff>
      <xdr:row>321</xdr:row>
      <xdr:rowOff>77932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182091" y="54985227"/>
          <a:ext cx="155864" cy="83127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568037</xdr:colOff>
      <xdr:row>315</xdr:row>
      <xdr:rowOff>187035</xdr:rowOff>
    </xdr:from>
    <xdr:ext cx="59657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698423" y="54730649"/>
          <a:ext cx="596574" cy="26456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oneCellAnchor>
  <xdr:twoCellAnchor>
    <xdr:from>
      <xdr:col>5</xdr:col>
      <xdr:colOff>415637</xdr:colOff>
      <xdr:row>317</xdr:row>
      <xdr:rowOff>65808</xdr:rowOff>
    </xdr:from>
    <xdr:to>
      <xdr:col>6</xdr:col>
      <xdr:colOff>22514</xdr:colOff>
      <xdr:row>321</xdr:row>
      <xdr:rowOff>112568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4546023" y="55007740"/>
          <a:ext cx="386196" cy="84339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613928</xdr:colOff>
      <xdr:row>274</xdr:row>
      <xdr:rowOff>20780</xdr:rowOff>
    </xdr:from>
    <xdr:to>
      <xdr:col>15</xdr:col>
      <xdr:colOff>530790</xdr:colOff>
      <xdr:row>303</xdr:row>
      <xdr:rowOff>110257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995678" y="60380705"/>
          <a:ext cx="6393862" cy="5890202"/>
          <a:chOff x="6995678" y="57732755"/>
          <a:chExt cx="5536612" cy="5890202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15499" y="61453432"/>
            <a:ext cx="1620044" cy="21695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32505" y="57732755"/>
            <a:ext cx="2699785" cy="361472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05160" y="61453432"/>
            <a:ext cx="1621777" cy="21695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5678" y="57732755"/>
            <a:ext cx="2699786" cy="361472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49073" y="61453432"/>
            <a:ext cx="1616581" cy="216952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527602</xdr:colOff>
      <xdr:row>110</xdr:row>
      <xdr:rowOff>136104</xdr:rowOff>
    </xdr:from>
    <xdr:to>
      <xdr:col>11</xdr:col>
      <xdr:colOff>34795</xdr:colOff>
      <xdr:row>128</xdr:row>
      <xdr:rowOff>126078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64776" y="25613408"/>
          <a:ext cx="1826914" cy="3982192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355</xdr:row>
      <xdr:rowOff>104775</xdr:rowOff>
    </xdr:from>
    <xdr:to>
      <xdr:col>6</xdr:col>
      <xdr:colOff>641400</xdr:colOff>
      <xdr:row>394</xdr:row>
      <xdr:rowOff>172278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876300" y="76666725"/>
          <a:ext cx="4680000" cy="7868478"/>
          <a:chOff x="1044265" y="927180"/>
          <a:chExt cx="4680000" cy="7868478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44265" y="927180"/>
            <a:ext cx="4680000" cy="37817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pSpPr/>
        </xdr:nvGrpSpPr>
        <xdr:grpSpPr>
          <a:xfrm>
            <a:off x="1044265" y="4835658"/>
            <a:ext cx="4680000" cy="3960000"/>
            <a:chOff x="-1845701" y="3434685"/>
            <a:chExt cx="10052563" cy="5442155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-1845701" y="3434685"/>
              <a:ext cx="10052563" cy="544215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5" name="Rectangle 6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>
            <a:xfrm rot="17623555">
              <a:off x="1713089" y="5566156"/>
              <a:ext cx="1660065" cy="645123"/>
            </a:xfrm>
            <a:custGeom>
              <a:avLst/>
              <a:gdLst>
                <a:gd name="connsiteX0" fmla="*/ 0 w 1660065"/>
                <a:gd name="connsiteY0" fmla="*/ 0 h 645122"/>
                <a:gd name="connsiteX1" fmla="*/ 1660065 w 1660065"/>
                <a:gd name="connsiteY1" fmla="*/ 0 h 645122"/>
                <a:gd name="connsiteX2" fmla="*/ 1660065 w 1660065"/>
                <a:gd name="connsiteY2" fmla="*/ 645122 h 645122"/>
                <a:gd name="connsiteX3" fmla="*/ 0 w 1660065"/>
                <a:gd name="connsiteY3" fmla="*/ 645122 h 645122"/>
                <a:gd name="connsiteX4" fmla="*/ 0 w 1660065"/>
                <a:gd name="connsiteY4" fmla="*/ 0 h 645122"/>
                <a:gd name="connsiteX0" fmla="*/ 0 w 1660065"/>
                <a:gd name="connsiteY0" fmla="*/ 0 h 645122"/>
                <a:gd name="connsiteX1" fmla="*/ 1660065 w 1660065"/>
                <a:gd name="connsiteY1" fmla="*/ 0 h 645122"/>
                <a:gd name="connsiteX2" fmla="*/ 1441664 w 1660065"/>
                <a:gd name="connsiteY2" fmla="*/ 588369 h 645122"/>
                <a:gd name="connsiteX3" fmla="*/ 0 w 1660065"/>
                <a:gd name="connsiteY3" fmla="*/ 645122 h 645122"/>
                <a:gd name="connsiteX4" fmla="*/ 0 w 1660065"/>
                <a:gd name="connsiteY4" fmla="*/ 0 h 64512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660065" h="645122">
                  <a:moveTo>
                    <a:pt x="0" y="0"/>
                  </a:moveTo>
                  <a:lnTo>
                    <a:pt x="1660065" y="0"/>
                  </a:lnTo>
                  <a:lnTo>
                    <a:pt x="1441664" y="588369"/>
                  </a:lnTo>
                  <a:lnTo>
                    <a:pt x="0" y="645122"/>
                  </a:lnTo>
                  <a:lnTo>
                    <a:pt x="0" y="0"/>
                  </a:lnTo>
                  <a:close/>
                </a:path>
              </a:pathLst>
            </a:cu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26" name="TextBox 7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6014048" y="3434685"/>
              <a:ext cx="2104049" cy="51417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FF00"/>
                  </a:solidFill>
                </a:rPr>
                <a:t>Vikas 11</a:t>
              </a:r>
              <a:endParaRPr lang="en-IN" b="1">
                <a:solidFill>
                  <a:srgbClr val="FFFF00"/>
                </a:solidFill>
              </a:endParaRPr>
            </a:p>
          </xdr:txBody>
        </xdr:sp>
      </xdr:grpSp>
    </xdr:grpSp>
    <xdr:clientData/>
  </xdr:twoCellAnchor>
  <xdr:twoCellAnchor>
    <xdr:from>
      <xdr:col>10</xdr:col>
      <xdr:colOff>9525</xdr:colOff>
      <xdr:row>272</xdr:row>
      <xdr:rowOff>152400</xdr:rowOff>
    </xdr:from>
    <xdr:to>
      <xdr:col>16</xdr:col>
      <xdr:colOff>38100</xdr:colOff>
      <xdr:row>308</xdr:row>
      <xdr:rowOff>38100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8315325" y="60121800"/>
          <a:ext cx="5362575" cy="7077075"/>
          <a:chOff x="746037" y="0"/>
          <a:chExt cx="5365926" cy="9030934"/>
        </a:xfrm>
      </xdr:grpSpPr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1470035" y="2700000"/>
            <a:ext cx="3917931" cy="2160000"/>
            <a:chOff x="914400" y="2700000"/>
            <a:chExt cx="3917931" cy="2160000"/>
          </a:xfrm>
        </xdr:grpSpPr>
        <xdr:grpSp>
          <xdr:nvGrpSpPr>
            <xdr:cNvPr id="49" name="Group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2937059" y="2700000"/>
              <a:ext cx="1895272" cy="2160000"/>
              <a:chOff x="2060759" y="2605337"/>
              <a:chExt cx="1895272" cy="2520000"/>
            </a:xfrm>
          </xdr:grpSpPr>
          <xdr:pic>
            <xdr:nvPicPr>
              <xdr:cNvPr id="53" name="Picture 52">
                <a:extLst>
                  <a:ext uri="{FF2B5EF4-FFF2-40B4-BE49-F238E27FC236}">
                    <a16:creationId xmlns:a16="http://schemas.microsoft.com/office/drawing/2014/main" id="{00000000-0008-0000-0000-000035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060759" y="2605337"/>
                <a:ext cx="1895272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54" name="TextBox 25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SpPr txBox="1"/>
            </xdr:nvSpPr>
            <xdr:spPr>
              <a:xfrm>
                <a:off x="2723701" y="3742226"/>
                <a:ext cx="569387" cy="246221"/>
              </a:xfrm>
              <a:prstGeom prst="rect">
                <a:avLst/>
              </a:prstGeom>
              <a:solidFill>
                <a:schemeClr val="bg1"/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/>
                  <a:t>Wing A</a:t>
                </a:r>
                <a:endParaRPr lang="en-IN" sz="1000" b="1"/>
              </a:p>
            </xdr:txBody>
          </xdr:sp>
        </xdr:grpSp>
        <xdr:grpSp>
          <xdr:nvGrpSpPr>
            <xdr:cNvPr id="50" name="Group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>
              <a:off x="914400" y="2700000"/>
              <a:ext cx="1895272" cy="2160000"/>
              <a:chOff x="0" y="2605337"/>
              <a:chExt cx="1895272" cy="2520000"/>
            </a:xfrm>
          </xdr:grpSpPr>
          <xdr:pic>
            <xdr:nvPicPr>
              <xdr:cNvPr id="51" name="Picture 50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0" y="2605337"/>
                <a:ext cx="1895272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52" name="TextBox 26">
                <a:extLst>
                  <a:ext uri="{FF2B5EF4-FFF2-40B4-BE49-F238E27FC236}">
                    <a16:creationId xmlns:a16="http://schemas.microsoft.com/office/drawing/2014/main" id="{00000000-0008-0000-0000-000034000000}"/>
                  </a:ext>
                </a:extLst>
              </xdr:cNvPr>
              <xdr:cNvSpPr txBox="1"/>
            </xdr:nvSpPr>
            <xdr:spPr>
              <a:xfrm>
                <a:off x="631716" y="3742226"/>
                <a:ext cx="569387" cy="246221"/>
              </a:xfrm>
              <a:prstGeom prst="rect">
                <a:avLst/>
              </a:prstGeom>
              <a:solidFill>
                <a:schemeClr val="bg1"/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/>
                  <a:t>Wing A</a:t>
                </a:r>
                <a:endParaRPr lang="en-IN" sz="1000" b="1"/>
              </a:p>
            </xdr:txBody>
          </xdr:sp>
        </xdr:grpSp>
      </xdr:grpSp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746037" y="0"/>
            <a:ext cx="5365926" cy="2520000"/>
            <a:chOff x="0" y="0"/>
            <a:chExt cx="5365926" cy="2520000"/>
          </a:xfrm>
        </xdr:grpSpPr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0" y="0"/>
              <a:ext cx="1895272" cy="2520000"/>
              <a:chOff x="0" y="0"/>
              <a:chExt cx="1895272" cy="2520000"/>
            </a:xfrm>
          </xdr:grpSpPr>
          <xdr:pic>
            <xdr:nvPicPr>
              <xdr:cNvPr id="46" name="Picture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0" y="0"/>
                <a:ext cx="1895272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47" name="TextBox 22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 txBox="1"/>
            </xdr:nvSpPr>
            <xdr:spPr>
              <a:xfrm>
                <a:off x="1201103" y="952500"/>
                <a:ext cx="569387" cy="246221"/>
              </a:xfrm>
              <a:prstGeom prst="rect">
                <a:avLst/>
              </a:prstGeom>
              <a:solidFill>
                <a:schemeClr val="bg1"/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/>
                  <a:t>Wing A</a:t>
                </a:r>
                <a:endParaRPr lang="en-IN" sz="1000" b="1"/>
              </a:p>
            </xdr:txBody>
          </xdr:sp>
          <xdr:sp macro="" textlink="">
            <xdr:nvSpPr>
              <xdr:cNvPr id="48" name="TextBox 23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 txBox="1"/>
            </xdr:nvSpPr>
            <xdr:spPr>
              <a:xfrm>
                <a:off x="31164" y="952499"/>
                <a:ext cx="569387" cy="246221"/>
              </a:xfrm>
              <a:prstGeom prst="rect">
                <a:avLst/>
              </a:prstGeom>
              <a:solidFill>
                <a:schemeClr val="bg1"/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/>
                  <a:t>Wing B</a:t>
                </a:r>
                <a:endParaRPr lang="en-IN" sz="1000" b="1"/>
              </a:p>
            </xdr:txBody>
          </xdr:sp>
        </xdr:grpSp>
        <xdr:grpSp>
          <xdr:nvGrpSpPr>
            <xdr:cNvPr id="42" name="Group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GrpSpPr/>
          </xdr:nvGrpSpPr>
          <xdr:grpSpPr>
            <a:xfrm>
              <a:off x="2022974" y="0"/>
              <a:ext cx="3342952" cy="2520000"/>
              <a:chOff x="2022974" y="0"/>
              <a:chExt cx="3342952" cy="2520000"/>
            </a:xfrm>
          </xdr:grpSpPr>
          <xdr:pic>
            <xdr:nvPicPr>
              <xdr:cNvPr id="43" name="Picture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022974" y="0"/>
                <a:ext cx="3342952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44" name="TextBox 24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SpPr txBox="1"/>
            </xdr:nvSpPr>
            <xdr:spPr>
              <a:xfrm>
                <a:off x="2506028" y="1260000"/>
                <a:ext cx="569387" cy="246221"/>
              </a:xfrm>
              <a:prstGeom prst="rect">
                <a:avLst/>
              </a:prstGeom>
              <a:solidFill>
                <a:schemeClr val="bg1"/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/>
                  <a:t>Wing A</a:t>
                </a:r>
                <a:endParaRPr lang="en-IN" sz="1000" b="1"/>
              </a:p>
            </xdr:txBody>
          </xdr:sp>
          <xdr:sp macro="" textlink="">
            <xdr:nvSpPr>
              <xdr:cNvPr id="45" name="TextBox 27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SpPr txBox="1"/>
            </xdr:nvSpPr>
            <xdr:spPr>
              <a:xfrm>
                <a:off x="4555539" y="1027157"/>
                <a:ext cx="569387" cy="246221"/>
              </a:xfrm>
              <a:prstGeom prst="rect">
                <a:avLst/>
              </a:prstGeom>
              <a:solidFill>
                <a:schemeClr val="bg1"/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/>
                  <a:t>Wing B</a:t>
                </a:r>
                <a:endParaRPr lang="en-IN" sz="1000" b="1"/>
              </a:p>
            </xdr:txBody>
          </xdr:sp>
        </xdr:grpSp>
      </xdr:grpSp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GrpSpPr/>
        </xdr:nvGrpSpPr>
        <xdr:grpSpPr>
          <a:xfrm>
            <a:off x="1476460" y="4996458"/>
            <a:ext cx="3905080" cy="2160000"/>
            <a:chOff x="945564" y="5455900"/>
            <a:chExt cx="3905080" cy="2160000"/>
          </a:xfrm>
        </xdr:grpSpPr>
        <xdr:grpSp>
          <xdr:nvGrpSpPr>
            <xdr:cNvPr id="35" name="Group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/>
          </xdr:nvGrpSpPr>
          <xdr:grpSpPr>
            <a:xfrm>
              <a:off x="945564" y="5455900"/>
              <a:ext cx="1895272" cy="2160000"/>
              <a:chOff x="4057867" y="2605337"/>
              <a:chExt cx="1895272" cy="2520000"/>
            </a:xfrm>
          </xdr:grpSpPr>
          <xdr:pic>
            <xdr:nvPicPr>
              <xdr:cNvPr id="39" name="Picture 38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057867" y="2605337"/>
                <a:ext cx="1895272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40" name="TextBox 28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SpPr txBox="1"/>
            </xdr:nvSpPr>
            <xdr:spPr>
              <a:xfrm>
                <a:off x="4720809" y="3742226"/>
                <a:ext cx="569387" cy="246221"/>
              </a:xfrm>
              <a:prstGeom prst="rect">
                <a:avLst/>
              </a:prstGeom>
              <a:solidFill>
                <a:schemeClr val="bg1"/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/>
                  <a:t>Wing B</a:t>
                </a:r>
                <a:endParaRPr lang="en-IN" sz="1000" b="1"/>
              </a:p>
            </xdr:txBody>
          </xdr:sp>
        </xdr:grpSp>
        <xdr:grpSp>
          <xdr:nvGrpSpPr>
            <xdr:cNvPr id="36" name="Group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2955372" y="5455900"/>
              <a:ext cx="1895272" cy="2160000"/>
              <a:chOff x="6054975" y="2605337"/>
              <a:chExt cx="1895272" cy="2520000"/>
            </a:xfrm>
          </xdr:grpSpPr>
          <xdr:pic>
            <xdr:nvPicPr>
              <xdr:cNvPr id="37" name="Picture 36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6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6054975" y="2605337"/>
                <a:ext cx="1895272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38" name="TextBox 29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SpPr txBox="1"/>
            </xdr:nvSpPr>
            <xdr:spPr>
              <a:xfrm>
                <a:off x="6635607" y="3619115"/>
                <a:ext cx="569387" cy="246221"/>
              </a:xfrm>
              <a:prstGeom prst="rect">
                <a:avLst/>
              </a:prstGeom>
              <a:solidFill>
                <a:schemeClr val="bg1"/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/>
                  <a:t>Wing B</a:t>
                </a:r>
                <a:endParaRPr lang="en-IN" sz="1000" b="1"/>
              </a:p>
            </xdr:txBody>
          </xdr:sp>
        </xdr:grpSp>
      </xdr:grpSp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GrpSpPr/>
        </xdr:nvGrpSpPr>
        <xdr:grpSpPr>
          <a:xfrm>
            <a:off x="1334900" y="7230934"/>
            <a:ext cx="4188200" cy="1800000"/>
            <a:chOff x="2669800" y="7344000"/>
            <a:chExt cx="4188200" cy="1800000"/>
          </a:xfrm>
        </xdr:grpSpPr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04234" y="7344000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87017" y="7344000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69800" y="7344000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 editAs="oneCell">
    <xdr:from>
      <xdr:col>10</xdr:col>
      <xdr:colOff>390397</xdr:colOff>
      <xdr:row>189</xdr:row>
      <xdr:rowOff>27421</xdr:rowOff>
    </xdr:from>
    <xdr:to>
      <xdr:col>19</xdr:col>
      <xdr:colOff>286962</xdr:colOff>
      <xdr:row>207</xdr:row>
      <xdr:rowOff>178295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677147" y="43216492"/>
          <a:ext cx="7067529" cy="382480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189</xdr:row>
      <xdr:rowOff>106926</xdr:rowOff>
    </xdr:from>
    <xdr:to>
      <xdr:col>33</xdr:col>
      <xdr:colOff>95249</xdr:colOff>
      <xdr:row>226</xdr:row>
      <xdr:rowOff>1878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620750" y="43295997"/>
          <a:ext cx="10504713" cy="7442835"/>
        </a:xfrm>
        <a:prstGeom prst="rect">
          <a:avLst/>
        </a:prstGeom>
      </xdr:spPr>
    </xdr:pic>
    <xdr:clientData/>
  </xdr:twoCellAnchor>
  <xdr:twoCellAnchor editAs="oneCell">
    <xdr:from>
      <xdr:col>10</xdr:col>
      <xdr:colOff>1510393</xdr:colOff>
      <xdr:row>208</xdr:row>
      <xdr:rowOff>13608</xdr:rowOff>
    </xdr:from>
    <xdr:to>
      <xdr:col>15</xdr:col>
      <xdr:colOff>772058</xdr:colOff>
      <xdr:row>220</xdr:row>
      <xdr:rowOff>174536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797143" y="47080715"/>
          <a:ext cx="3820058" cy="2610214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272</xdr:row>
      <xdr:rowOff>123825</xdr:rowOff>
    </xdr:from>
    <xdr:to>
      <xdr:col>7</xdr:col>
      <xdr:colOff>19050</xdr:colOff>
      <xdr:row>308</xdr:row>
      <xdr:rowOff>28575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3B5B545B-CFB7-4C3B-8F77-C00C0D3673E5}"/>
            </a:ext>
          </a:extLst>
        </xdr:cNvPr>
        <xdr:cNvGrpSpPr/>
      </xdr:nvGrpSpPr>
      <xdr:grpSpPr>
        <a:xfrm>
          <a:off x="476250" y="60093225"/>
          <a:ext cx="5219700" cy="7096125"/>
          <a:chOff x="636776" y="251572"/>
          <a:chExt cx="5218589" cy="7983376"/>
        </a:xfrm>
      </xdr:grpSpPr>
      <xdr:grpSp>
        <xdr:nvGrpSpPr>
          <xdr:cNvPr id="56" name="Group 55">
            <a:extLst>
              <a:ext uri="{FF2B5EF4-FFF2-40B4-BE49-F238E27FC236}">
                <a16:creationId xmlns:a16="http://schemas.microsoft.com/office/drawing/2014/main" id="{5F644514-327D-49EC-8A57-228B7231A897}"/>
              </a:ext>
            </a:extLst>
          </xdr:cNvPr>
          <xdr:cNvGrpSpPr/>
        </xdr:nvGrpSpPr>
        <xdr:grpSpPr>
          <a:xfrm>
            <a:off x="636776" y="251572"/>
            <a:ext cx="5218589" cy="7983376"/>
            <a:chOff x="636776" y="251572"/>
            <a:chExt cx="5218589" cy="7983376"/>
          </a:xfrm>
        </xdr:grpSpPr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id="{FCD24A7C-BC21-4E70-B0CC-C0F9EB584A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36776" y="4095054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B5AC59AD-94FB-47D0-A305-B4B0C935D85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7797" y="251572"/>
              <a:ext cx="4860000" cy="366358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941E6453-2DB8-4D4C-A66C-66821DBC62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33811" y="4095054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id="{3C933DAE-CE5A-485A-945A-09C9A0C1BD4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30846" y="4095054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190C8205-CED7-4E3B-AD87-55C53FE116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69187" y="6434948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6E7379A7-E00B-425A-98E4-A435B4A309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71362" y="6434948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524400EF-7BBF-42BA-883A-CE3A275C8F3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76259" y="6434948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7" name="TextBox 47">
            <a:extLst>
              <a:ext uri="{FF2B5EF4-FFF2-40B4-BE49-F238E27FC236}">
                <a16:creationId xmlns:a16="http://schemas.microsoft.com/office/drawing/2014/main" id="{64451274-7BBA-4FD9-8CF5-0B99438337DA}"/>
              </a:ext>
            </a:extLst>
          </xdr:cNvPr>
          <xdr:cNvSpPr txBox="1"/>
        </xdr:nvSpPr>
        <xdr:spPr>
          <a:xfrm>
            <a:off x="1002635" y="5175054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8" name="TextBox 48">
            <a:extLst>
              <a:ext uri="{FF2B5EF4-FFF2-40B4-BE49-F238E27FC236}">
                <a16:creationId xmlns:a16="http://schemas.microsoft.com/office/drawing/2014/main" id="{B2A7B40F-248B-4DCD-85D7-6B0CA6C177B7}"/>
              </a:ext>
            </a:extLst>
          </xdr:cNvPr>
          <xdr:cNvSpPr txBox="1"/>
        </xdr:nvSpPr>
        <xdr:spPr>
          <a:xfrm>
            <a:off x="2750016" y="5614930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9" name="TextBox 49">
            <a:extLst>
              <a:ext uri="{FF2B5EF4-FFF2-40B4-BE49-F238E27FC236}">
                <a16:creationId xmlns:a16="http://schemas.microsoft.com/office/drawing/2014/main" id="{3FB3166C-B6D2-44A9-BE80-7208EAF892B0}"/>
              </a:ext>
            </a:extLst>
          </xdr:cNvPr>
          <xdr:cNvSpPr txBox="1"/>
        </xdr:nvSpPr>
        <xdr:spPr>
          <a:xfrm>
            <a:off x="4957940" y="4998784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801441</xdr:colOff>
      <xdr:row>35</xdr:row>
      <xdr:rowOff>47523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17</xdr:col>
      <xdr:colOff>137471</xdr:colOff>
      <xdr:row>36</xdr:row>
      <xdr:rowOff>129000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4765" y="2678206"/>
          <a:ext cx="6480000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39</xdr:row>
      <xdr:rowOff>1</xdr:rowOff>
    </xdr:from>
    <xdr:to>
      <xdr:col>6</xdr:col>
      <xdr:colOff>801441</xdr:colOff>
      <xdr:row>60</xdr:row>
      <xdr:rowOff>47524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7440707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1052108</xdr:colOff>
      <xdr:row>39</xdr:row>
      <xdr:rowOff>0</xdr:rowOff>
    </xdr:from>
    <xdr:to>
      <xdr:col>17</xdr:col>
      <xdr:colOff>576079</xdr:colOff>
      <xdr:row>60</xdr:row>
      <xdr:rowOff>47523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3373" y="74407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6</xdr:col>
      <xdr:colOff>801441</xdr:colOff>
      <xdr:row>82</xdr:row>
      <xdr:rowOff>47523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116317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1243854</xdr:colOff>
      <xdr:row>61</xdr:row>
      <xdr:rowOff>44823</xdr:rowOff>
    </xdr:from>
    <xdr:to>
      <xdr:col>22</xdr:col>
      <xdr:colOff>258982</xdr:colOff>
      <xdr:row>89</xdr:row>
      <xdr:rowOff>110823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25119" y="11676529"/>
          <a:ext cx="9604687" cy="5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XkxomEEP28y6aY8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55"/>
  <sheetViews>
    <sheetView tabSelected="1" view="pageBreakPreview" topLeftCell="A258" zoomScaleNormal="100" zoomScaleSheetLayoutView="100" workbookViewId="0">
      <selection activeCell="K270" sqref="K270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6" width="11.7109375" style="38" customWidth="1"/>
    <col min="7" max="7" width="11.42578125" style="38" customWidth="1"/>
    <col min="8" max="8" width="10.5703125" style="38" customWidth="1"/>
    <col min="9" max="9" width="17.42578125" style="19" customWidth="1"/>
    <col min="10" max="10" width="11.42578125" style="19" customWidth="1"/>
    <col min="11" max="11" width="23.42578125" style="19" customWidth="1"/>
    <col min="12" max="12" width="10.5703125" style="60" customWidth="1"/>
    <col min="13" max="13" width="11.85546875" style="60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13" ht="46.5" customHeight="1" x14ac:dyDescent="0.25">
      <c r="A1" s="212" t="s">
        <v>167</v>
      </c>
      <c r="B1" s="212"/>
      <c r="C1" s="212"/>
      <c r="D1" s="212"/>
      <c r="E1" s="212"/>
      <c r="F1" s="212"/>
      <c r="G1" s="212"/>
      <c r="H1" s="212"/>
    </row>
    <row r="2" spans="1:13" ht="16.5" customHeight="1" x14ac:dyDescent="0.25">
      <c r="A2" s="213" t="s">
        <v>0</v>
      </c>
      <c r="B2" s="213"/>
      <c r="C2" s="213"/>
      <c r="D2" s="213"/>
      <c r="E2" s="213"/>
      <c r="F2" s="213"/>
      <c r="G2" s="213"/>
      <c r="H2" s="213"/>
    </row>
    <row r="3" spans="1:13" x14ac:dyDescent="0.25">
      <c r="A3" s="189" t="s">
        <v>1</v>
      </c>
      <c r="B3" s="189"/>
      <c r="C3" s="189"/>
      <c r="D3" s="189"/>
      <c r="E3" s="189" t="str">
        <f ca="1">TEXT(TODAY(),"DD/MM/YYYY")</f>
        <v>14/07/2025</v>
      </c>
      <c r="F3" s="189"/>
      <c r="G3" s="189"/>
      <c r="H3" s="189"/>
    </row>
    <row r="4" spans="1:13" ht="15" customHeight="1" x14ac:dyDescent="0.25">
      <c r="A4" s="189" t="s">
        <v>2</v>
      </c>
      <c r="B4" s="189"/>
      <c r="C4" s="189"/>
      <c r="D4" s="189"/>
      <c r="E4" s="189" t="s">
        <v>177</v>
      </c>
      <c r="F4" s="189"/>
      <c r="G4" s="189"/>
      <c r="H4" s="189"/>
    </row>
    <row r="5" spans="1:13" x14ac:dyDescent="0.25">
      <c r="A5" s="189" t="s">
        <v>3</v>
      </c>
      <c r="B5" s="189"/>
      <c r="C5" s="189"/>
      <c r="D5" s="189"/>
      <c r="E5" s="214">
        <v>45849</v>
      </c>
      <c r="F5" s="189"/>
      <c r="G5" s="189"/>
      <c r="H5" s="189"/>
    </row>
    <row r="6" spans="1:13" ht="16.5" customHeight="1" x14ac:dyDescent="0.25">
      <c r="A6" s="189" t="s">
        <v>4</v>
      </c>
      <c r="B6" s="189"/>
      <c r="C6" s="189"/>
      <c r="D6" s="189"/>
      <c r="E6" s="189" t="s">
        <v>178</v>
      </c>
      <c r="F6" s="189"/>
      <c r="G6" s="189"/>
      <c r="H6" s="189"/>
    </row>
    <row r="7" spans="1:13" ht="15" customHeight="1" x14ac:dyDescent="0.25">
      <c r="A7" s="189" t="s">
        <v>5</v>
      </c>
      <c r="B7" s="189"/>
      <c r="C7" s="189"/>
      <c r="D7" s="189"/>
      <c r="E7" s="189" t="str">
        <f>E6</f>
        <v>Vikas Lifespace LLP</v>
      </c>
      <c r="F7" s="189"/>
      <c r="G7" s="189"/>
      <c r="H7" s="189"/>
    </row>
    <row r="8" spans="1:13" x14ac:dyDescent="0.25">
      <c r="A8" s="189" t="s">
        <v>6</v>
      </c>
      <c r="B8" s="189"/>
      <c r="C8" s="189"/>
      <c r="D8" s="189"/>
      <c r="E8" s="102" t="s">
        <v>179</v>
      </c>
      <c r="F8" s="102"/>
      <c r="G8" s="102"/>
      <c r="H8" s="102"/>
    </row>
    <row r="9" spans="1:13" x14ac:dyDescent="0.25">
      <c r="A9" s="189" t="s">
        <v>170</v>
      </c>
      <c r="B9" s="189"/>
      <c r="C9" s="189"/>
      <c r="D9" s="189"/>
      <c r="E9" s="189" t="s">
        <v>216</v>
      </c>
      <c r="F9" s="189"/>
      <c r="G9" s="189"/>
      <c r="H9" s="189"/>
    </row>
    <row r="10" spans="1:13" x14ac:dyDescent="0.25">
      <c r="A10" s="189" t="s">
        <v>171</v>
      </c>
      <c r="B10" s="189"/>
      <c r="C10" s="189"/>
      <c r="D10" s="189"/>
      <c r="E10" s="189" t="s">
        <v>268</v>
      </c>
      <c r="F10" s="189"/>
      <c r="G10" s="189"/>
      <c r="H10" s="189"/>
      <c r="I10" s="19" t="s">
        <v>217</v>
      </c>
    </row>
    <row r="11" spans="1:13" x14ac:dyDescent="0.25">
      <c r="A11" s="189" t="s">
        <v>7</v>
      </c>
      <c r="B11" s="189"/>
      <c r="C11" s="189"/>
      <c r="D11" s="189"/>
      <c r="E11" s="189" t="s">
        <v>192</v>
      </c>
      <c r="F11" s="189"/>
      <c r="G11" s="189"/>
      <c r="H11" s="189"/>
      <c r="I11" s="189" t="s">
        <v>250</v>
      </c>
      <c r="J11" s="189"/>
      <c r="K11" s="189"/>
      <c r="L11" s="189"/>
    </row>
    <row r="12" spans="1:13" ht="15.75" hidden="1" customHeight="1" x14ac:dyDescent="0.25">
      <c r="A12" s="189" t="s">
        <v>172</v>
      </c>
      <c r="B12" s="189"/>
      <c r="C12" s="189"/>
      <c r="D12" s="189"/>
      <c r="E12" s="189"/>
      <c r="F12" s="189"/>
      <c r="G12" s="189"/>
      <c r="H12" s="189"/>
    </row>
    <row r="13" spans="1:13" s="21" customFormat="1" x14ac:dyDescent="0.25">
      <c r="A13" s="189" t="s">
        <v>8</v>
      </c>
      <c r="B13" s="189"/>
      <c r="C13" s="189"/>
      <c r="D13" s="189"/>
      <c r="E13" s="109" t="s">
        <v>211</v>
      </c>
      <c r="F13" s="109"/>
      <c r="G13" s="109"/>
      <c r="H13" s="109"/>
      <c r="L13" s="69"/>
      <c r="M13" s="69"/>
    </row>
    <row r="14" spans="1:13" x14ac:dyDescent="0.25">
      <c r="A14" s="108" t="s">
        <v>9</v>
      </c>
      <c r="B14" s="108"/>
      <c r="C14" s="108"/>
      <c r="D14" s="108"/>
      <c r="E14" s="109" t="s">
        <v>180</v>
      </c>
      <c r="F14" s="189"/>
      <c r="G14" s="189"/>
      <c r="H14" s="189"/>
    </row>
    <row r="15" spans="1:13" ht="36" customHeight="1" x14ac:dyDescent="0.25">
      <c r="A15" s="109" t="s">
        <v>10</v>
      </c>
      <c r="B15" s="109"/>
      <c r="C15" s="10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Vikas 11, CTS No.551/17, near Michael Enclave, Madan Mohan Malviya Road, St Pius Colony, Nahur, Mulund West, Kurla, Mumbai - 400080.</v>
      </c>
      <c r="D15" s="109"/>
      <c r="E15" s="109"/>
      <c r="F15" s="109"/>
      <c r="G15" s="109"/>
      <c r="H15" s="109"/>
    </row>
    <row r="16" spans="1:13" x14ac:dyDescent="0.25">
      <c r="A16" s="109" t="s">
        <v>182</v>
      </c>
      <c r="B16" s="109"/>
      <c r="C16" s="109" t="s">
        <v>183</v>
      </c>
      <c r="D16" s="109"/>
      <c r="E16" s="109"/>
      <c r="F16" s="109"/>
      <c r="G16" s="109"/>
      <c r="H16" s="109"/>
    </row>
    <row r="17" spans="1:13" ht="15.75" customHeight="1" x14ac:dyDescent="0.25">
      <c r="A17" s="109" t="s">
        <v>165</v>
      </c>
      <c r="B17" s="109"/>
      <c r="C17" s="109" t="s">
        <v>212</v>
      </c>
      <c r="D17" s="109"/>
      <c r="E17" s="109"/>
      <c r="F17" s="109"/>
      <c r="G17" s="109"/>
      <c r="H17" s="109"/>
    </row>
    <row r="18" spans="1:13" ht="15.75" customHeight="1" x14ac:dyDescent="0.25">
      <c r="A18" s="109" t="s">
        <v>11</v>
      </c>
      <c r="B18" s="109"/>
      <c r="C18" s="189" t="s">
        <v>186</v>
      </c>
      <c r="D18" s="189"/>
      <c r="E18" s="109" t="s">
        <v>72</v>
      </c>
      <c r="F18" s="109"/>
      <c r="G18" s="109" t="s">
        <v>184</v>
      </c>
      <c r="H18" s="109"/>
    </row>
    <row r="19" spans="1:13" x14ac:dyDescent="0.25">
      <c r="A19" s="189" t="s">
        <v>13</v>
      </c>
      <c r="B19" s="189"/>
      <c r="C19" s="109" t="s">
        <v>218</v>
      </c>
      <c r="D19" s="109"/>
      <c r="E19" s="109" t="s">
        <v>12</v>
      </c>
      <c r="F19" s="109"/>
      <c r="G19" s="211" t="s">
        <v>173</v>
      </c>
      <c r="H19" s="211"/>
    </row>
    <row r="20" spans="1:13" x14ac:dyDescent="0.25">
      <c r="A20" s="189" t="s">
        <v>73</v>
      </c>
      <c r="B20" s="189"/>
      <c r="C20" s="109" t="s">
        <v>185</v>
      </c>
      <c r="D20" s="109"/>
      <c r="E20" s="109" t="s">
        <v>14</v>
      </c>
      <c r="F20" s="109"/>
      <c r="G20" s="109">
        <v>400080</v>
      </c>
      <c r="H20" s="109"/>
    </row>
    <row r="21" spans="1:13" ht="32.25" customHeight="1" x14ac:dyDescent="0.25">
      <c r="A21" s="108" t="s">
        <v>123</v>
      </c>
      <c r="B21" s="108"/>
      <c r="C21" s="109" t="s">
        <v>219</v>
      </c>
      <c r="D21" s="109"/>
      <c r="E21" s="110" t="s">
        <v>15</v>
      </c>
      <c r="F21" s="110"/>
      <c r="G21" s="109" t="s">
        <v>220</v>
      </c>
      <c r="H21" s="109"/>
    </row>
    <row r="22" spans="1:13" ht="15" customHeight="1" x14ac:dyDescent="0.25">
      <c r="A22" s="110" t="s">
        <v>75</v>
      </c>
      <c r="B22" s="110"/>
      <c r="C22" s="110"/>
      <c r="D22" s="110"/>
      <c r="E22" s="189" t="s">
        <v>16</v>
      </c>
      <c r="F22" s="189"/>
      <c r="G22" s="189"/>
      <c r="H22" s="189"/>
    </row>
    <row r="23" spans="1:13" ht="18.75" customHeight="1" x14ac:dyDescent="0.25">
      <c r="A23" s="110"/>
      <c r="B23" s="110"/>
      <c r="C23" s="110"/>
      <c r="D23" s="110"/>
      <c r="E23" s="189"/>
      <c r="F23" s="189"/>
      <c r="G23" s="189"/>
      <c r="H23" s="189"/>
    </row>
    <row r="24" spans="1:13" ht="15" customHeight="1" x14ac:dyDescent="0.25">
      <c r="A24" s="110" t="s">
        <v>17</v>
      </c>
      <c r="B24" s="110"/>
      <c r="C24" s="110"/>
      <c r="D24" s="110"/>
      <c r="E24" s="109" t="s">
        <v>18</v>
      </c>
      <c r="F24" s="109"/>
      <c r="G24" s="109"/>
      <c r="H24" s="109"/>
    </row>
    <row r="25" spans="1:13" ht="15" customHeight="1" x14ac:dyDescent="0.25">
      <c r="A25" s="108" t="s">
        <v>19</v>
      </c>
      <c r="B25" s="108"/>
      <c r="C25" s="108"/>
      <c r="D25" s="108"/>
      <c r="E25" s="109" t="str">
        <f>IF(AND(G19="Mumbai"),"Upper Class","Middle Class")</f>
        <v>Upper Class</v>
      </c>
      <c r="F25" s="109"/>
      <c r="G25" s="109"/>
      <c r="H25" s="109"/>
    </row>
    <row r="26" spans="1:13" x14ac:dyDescent="0.25">
      <c r="A26" s="108" t="s">
        <v>20</v>
      </c>
      <c r="B26" s="108"/>
      <c r="C26" s="108"/>
      <c r="D26" s="108"/>
      <c r="E26" s="109" t="s">
        <v>21</v>
      </c>
      <c r="F26" s="109"/>
      <c r="G26" s="109"/>
      <c r="H26" s="109"/>
    </row>
    <row r="27" spans="1:13" ht="15.75" customHeight="1" x14ac:dyDescent="0.25">
      <c r="A27" s="108" t="s">
        <v>22</v>
      </c>
      <c r="B27" s="108"/>
      <c r="C27" s="108"/>
      <c r="D27" s="108"/>
      <c r="E27" s="109" t="str">
        <f>IF(AND(G19="Mumbai"),"Developed","Developing")</f>
        <v>Developed</v>
      </c>
      <c r="F27" s="109"/>
      <c r="G27" s="109"/>
      <c r="H27" s="109"/>
    </row>
    <row r="28" spans="1:13" x14ac:dyDescent="0.25">
      <c r="A28" s="108" t="s">
        <v>23</v>
      </c>
      <c r="B28" s="108"/>
      <c r="C28" s="108"/>
      <c r="D28" s="108"/>
      <c r="E28" s="109" t="s">
        <v>24</v>
      </c>
      <c r="F28" s="109"/>
      <c r="G28" s="109"/>
      <c r="H28" s="109"/>
    </row>
    <row r="29" spans="1:13" ht="15.75" customHeight="1" x14ac:dyDescent="0.25">
      <c r="A29" s="108" t="s">
        <v>80</v>
      </c>
      <c r="B29" s="108"/>
      <c r="C29" s="108"/>
      <c r="D29" s="108"/>
      <c r="E29" s="109" t="s">
        <v>81</v>
      </c>
      <c r="F29" s="109"/>
      <c r="G29" s="109"/>
      <c r="H29" s="109"/>
    </row>
    <row r="30" spans="1:13" ht="15" customHeight="1" x14ac:dyDescent="0.25">
      <c r="A30" s="108" t="s">
        <v>32</v>
      </c>
      <c r="B30" s="108"/>
      <c r="C30" s="108"/>
      <c r="D30" s="108"/>
      <c r="E30" s="109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109"/>
      <c r="G30" s="109"/>
      <c r="H30" s="109"/>
    </row>
    <row r="31" spans="1:13" ht="15.75" customHeight="1" x14ac:dyDescent="0.25">
      <c r="A31" s="108" t="s">
        <v>92</v>
      </c>
      <c r="B31" s="108"/>
      <c r="C31" s="108"/>
      <c r="D31" s="108"/>
      <c r="E31" s="109" t="s">
        <v>33</v>
      </c>
      <c r="F31" s="109"/>
      <c r="G31" s="109"/>
      <c r="H31" s="109"/>
    </row>
    <row r="32" spans="1:13" s="20" customFormat="1" x14ac:dyDescent="0.25">
      <c r="A32" s="210" t="s">
        <v>93</v>
      </c>
      <c r="B32" s="210"/>
      <c r="C32" s="204" t="s">
        <v>174</v>
      </c>
      <c r="D32" s="205"/>
      <c r="E32" s="206"/>
      <c r="F32" s="204" t="s">
        <v>30</v>
      </c>
      <c r="G32" s="205"/>
      <c r="H32" s="206"/>
      <c r="L32" s="68"/>
      <c r="M32" s="68"/>
    </row>
    <row r="33" spans="1:13" s="20" customFormat="1" x14ac:dyDescent="0.25">
      <c r="A33" s="184" t="s">
        <v>25</v>
      </c>
      <c r="B33" s="184" t="s">
        <v>29</v>
      </c>
      <c r="C33" s="185" t="s">
        <v>189</v>
      </c>
      <c r="D33" s="186"/>
      <c r="E33" s="187"/>
      <c r="F33" s="185" t="s">
        <v>188</v>
      </c>
      <c r="G33" s="186"/>
      <c r="H33" s="187"/>
      <c r="L33" s="68"/>
      <c r="M33" s="68"/>
    </row>
    <row r="34" spans="1:13" x14ac:dyDescent="0.25">
      <c r="A34" s="184" t="s">
        <v>26</v>
      </c>
      <c r="B34" s="184" t="s">
        <v>29</v>
      </c>
      <c r="C34" s="185" t="s">
        <v>231</v>
      </c>
      <c r="D34" s="186"/>
      <c r="E34" s="187"/>
      <c r="F34" s="185" t="s">
        <v>187</v>
      </c>
      <c r="G34" s="186"/>
      <c r="H34" s="187"/>
    </row>
    <row r="35" spans="1:13" s="20" customFormat="1" ht="31.5" customHeight="1" x14ac:dyDescent="0.25">
      <c r="A35" s="200" t="s">
        <v>28</v>
      </c>
      <c r="B35" s="200" t="s">
        <v>29</v>
      </c>
      <c r="C35" s="201" t="s">
        <v>230</v>
      </c>
      <c r="D35" s="202"/>
      <c r="E35" s="203"/>
      <c r="F35" s="207" t="s">
        <v>186</v>
      </c>
      <c r="G35" s="208"/>
      <c r="H35" s="209"/>
      <c r="L35" s="68"/>
      <c r="M35" s="68"/>
    </row>
    <row r="36" spans="1:13" x14ac:dyDescent="0.25">
      <c r="A36" s="184" t="s">
        <v>27</v>
      </c>
      <c r="B36" s="184" t="s">
        <v>29</v>
      </c>
      <c r="C36" s="185" t="s">
        <v>189</v>
      </c>
      <c r="D36" s="186"/>
      <c r="E36" s="187"/>
      <c r="F36" s="185" t="s">
        <v>188</v>
      </c>
      <c r="G36" s="186"/>
      <c r="H36" s="187"/>
    </row>
    <row r="37" spans="1:13" x14ac:dyDescent="0.25">
      <c r="A37" s="108" t="s">
        <v>31</v>
      </c>
      <c r="B37" s="108"/>
      <c r="C37" s="108"/>
      <c r="D37" s="108"/>
      <c r="E37" s="108"/>
      <c r="F37" s="108"/>
      <c r="G37" s="108"/>
      <c r="H37" s="108"/>
    </row>
    <row r="38" spans="1:13" ht="15.75" customHeight="1" x14ac:dyDescent="0.25">
      <c r="A38" s="158" t="s">
        <v>168</v>
      </c>
      <c r="B38" s="158"/>
      <c r="C38" s="108" t="s">
        <v>266</v>
      </c>
      <c r="D38" s="108"/>
      <c r="E38" s="108"/>
      <c r="F38" s="108"/>
      <c r="G38" s="108"/>
      <c r="H38" s="108"/>
    </row>
    <row r="39" spans="1:13" x14ac:dyDescent="0.25">
      <c r="A39" s="158" t="s">
        <v>164</v>
      </c>
      <c r="B39" s="158"/>
      <c r="C39" s="159" t="s">
        <v>181</v>
      </c>
      <c r="D39" s="109"/>
      <c r="E39" s="109"/>
      <c r="F39" s="109"/>
      <c r="G39" s="109"/>
      <c r="H39" s="109"/>
    </row>
    <row r="40" spans="1:13" x14ac:dyDescent="0.25">
      <c r="A40" s="158" t="s">
        <v>34</v>
      </c>
      <c r="B40" s="158"/>
      <c r="C40" s="158"/>
      <c r="D40" s="158"/>
      <c r="E40" s="158"/>
      <c r="F40" s="158"/>
      <c r="G40" s="158"/>
      <c r="H40" s="158"/>
    </row>
    <row r="41" spans="1:13" x14ac:dyDescent="0.25">
      <c r="A41" s="108" t="s">
        <v>35</v>
      </c>
      <c r="B41" s="108"/>
      <c r="C41" s="108"/>
      <c r="D41" s="108"/>
      <c r="E41" s="188">
        <v>6158.09</v>
      </c>
      <c r="F41" s="188"/>
      <c r="G41" s="188"/>
      <c r="H41" s="188"/>
      <c r="I41" s="52">
        <f>6158.09/E41</f>
        <v>1</v>
      </c>
    </row>
    <row r="42" spans="1:13" x14ac:dyDescent="0.25">
      <c r="A42" s="108" t="s">
        <v>36</v>
      </c>
      <c r="B42" s="108"/>
      <c r="C42" s="108"/>
      <c r="D42" s="108"/>
      <c r="E42" s="192">
        <f>6158.09/E41</f>
        <v>1</v>
      </c>
      <c r="F42" s="192"/>
      <c r="G42" s="192"/>
      <c r="H42" s="192"/>
    </row>
    <row r="43" spans="1:13" x14ac:dyDescent="0.25">
      <c r="A43" s="108" t="s">
        <v>37</v>
      </c>
      <c r="B43" s="108"/>
      <c r="C43" s="108"/>
      <c r="D43" s="108"/>
      <c r="E43" s="192">
        <f>E45/E41-E42</f>
        <v>2.8119676717943385</v>
      </c>
      <c r="F43" s="192"/>
      <c r="G43" s="192"/>
      <c r="H43" s="192"/>
    </row>
    <row r="44" spans="1:13" x14ac:dyDescent="0.25">
      <c r="A44" s="108" t="s">
        <v>38</v>
      </c>
      <c r="B44" s="108"/>
      <c r="C44" s="108"/>
      <c r="D44" s="108"/>
      <c r="E44" s="192">
        <f>E42+E43</f>
        <v>3.8119676717943385</v>
      </c>
      <c r="F44" s="192"/>
      <c r="G44" s="192"/>
      <c r="H44" s="192"/>
    </row>
    <row r="45" spans="1:13" x14ac:dyDescent="0.25">
      <c r="A45" s="108" t="s">
        <v>91</v>
      </c>
      <c r="B45" s="108"/>
      <c r="C45" s="108"/>
      <c r="D45" s="108"/>
      <c r="E45" s="193">
        <v>23474.44</v>
      </c>
      <c r="F45" s="193"/>
      <c r="G45" s="193"/>
      <c r="H45" s="193"/>
    </row>
    <row r="46" spans="1:13" x14ac:dyDescent="0.25">
      <c r="A46" s="189" t="s">
        <v>39</v>
      </c>
      <c r="B46" s="189"/>
      <c r="C46" s="189"/>
      <c r="D46" s="189"/>
      <c r="E46" s="189" t="s">
        <v>193</v>
      </c>
      <c r="F46" s="189"/>
      <c r="G46" s="189"/>
      <c r="H46" s="189"/>
    </row>
    <row r="47" spans="1:13" x14ac:dyDescent="0.25">
      <c r="A47" s="158" t="s">
        <v>40</v>
      </c>
      <c r="B47" s="158"/>
      <c r="C47" s="158"/>
      <c r="D47" s="158"/>
      <c r="E47" s="158"/>
      <c r="F47" s="158"/>
      <c r="G47" s="158"/>
      <c r="H47" s="158"/>
    </row>
    <row r="48" spans="1:13" ht="33.75" customHeight="1" x14ac:dyDescent="0.25">
      <c r="A48" s="160" t="s">
        <v>152</v>
      </c>
      <c r="B48" s="161"/>
      <c r="C48" s="162" t="s">
        <v>190</v>
      </c>
      <c r="D48" s="163"/>
      <c r="E48" s="163"/>
      <c r="F48" s="163"/>
      <c r="G48" s="163"/>
      <c r="H48" s="164"/>
    </row>
    <row r="49" spans="1:14" ht="30.75" customHeight="1" x14ac:dyDescent="0.25">
      <c r="A49" s="160" t="s">
        <v>41</v>
      </c>
      <c r="B49" s="161"/>
      <c r="C49" s="160" t="s">
        <v>227</v>
      </c>
      <c r="D49" s="195"/>
      <c r="E49" s="161"/>
      <c r="F49" s="18" t="s">
        <v>42</v>
      </c>
      <c r="G49" s="218">
        <v>45743</v>
      </c>
      <c r="H49" s="161"/>
    </row>
    <row r="50" spans="1:14" ht="31.5" customHeight="1" x14ac:dyDescent="0.25">
      <c r="A50" s="160" t="s">
        <v>43</v>
      </c>
      <c r="B50" s="161"/>
      <c r="C50" s="160" t="str">
        <f>C49</f>
        <v>P-11145/2022/(551/17)/T WARD/NAHUR -T/337/6/AMEND</v>
      </c>
      <c r="D50" s="195"/>
      <c r="E50" s="161"/>
      <c r="F50" s="18" t="s">
        <v>42</v>
      </c>
      <c r="G50" s="218">
        <f>G49</f>
        <v>45743</v>
      </c>
      <c r="H50" s="219"/>
    </row>
    <row r="51" spans="1:14" s="21" customFormat="1" ht="33.75" customHeight="1" x14ac:dyDescent="0.25">
      <c r="A51" s="196" t="s">
        <v>156</v>
      </c>
      <c r="B51" s="197"/>
      <c r="C51" s="160" t="s">
        <v>228</v>
      </c>
      <c r="D51" s="195"/>
      <c r="E51" s="161"/>
      <c r="F51" s="18" t="s">
        <v>42</v>
      </c>
      <c r="G51" s="218">
        <v>45755</v>
      </c>
      <c r="H51" s="219"/>
      <c r="L51" s="69"/>
      <c r="M51" s="69"/>
    </row>
    <row r="52" spans="1:14" s="21" customFormat="1" ht="160.5" customHeight="1" x14ac:dyDescent="0.25">
      <c r="A52" s="198"/>
      <c r="B52" s="199"/>
      <c r="C52" s="160" t="s">
        <v>229</v>
      </c>
      <c r="D52" s="195"/>
      <c r="E52" s="161"/>
      <c r="F52" s="18" t="s">
        <v>122</v>
      </c>
      <c r="G52" s="218">
        <v>45989</v>
      </c>
      <c r="H52" s="219"/>
      <c r="L52" s="69"/>
      <c r="M52" s="69"/>
    </row>
    <row r="53" spans="1:14" s="21" customFormat="1" x14ac:dyDescent="0.25">
      <c r="A53" s="196" t="s">
        <v>213</v>
      </c>
      <c r="B53" s="197"/>
      <c r="C53" s="160" t="s">
        <v>214</v>
      </c>
      <c r="D53" s="195"/>
      <c r="E53" s="161"/>
      <c r="F53" s="18" t="s">
        <v>42</v>
      </c>
      <c r="G53" s="218">
        <v>44810</v>
      </c>
      <c r="H53" s="219"/>
    </row>
    <row r="54" spans="1:14" s="21" customFormat="1" ht="31.5" x14ac:dyDescent="0.25">
      <c r="A54" s="198"/>
      <c r="B54" s="199"/>
      <c r="C54" s="160" t="s">
        <v>215</v>
      </c>
      <c r="D54" s="195"/>
      <c r="E54" s="161"/>
      <c r="F54" s="18" t="s">
        <v>122</v>
      </c>
      <c r="G54" s="218">
        <v>47731</v>
      </c>
      <c r="H54" s="219"/>
    </row>
    <row r="55" spans="1:14" x14ac:dyDescent="0.25">
      <c r="A55" s="228" t="s">
        <v>44</v>
      </c>
      <c r="B55" s="229"/>
      <c r="C55" s="228" t="s">
        <v>104</v>
      </c>
      <c r="D55" s="230"/>
      <c r="E55" s="229"/>
      <c r="F55" s="42" t="s">
        <v>42</v>
      </c>
      <c r="G55" s="232" t="s">
        <v>29</v>
      </c>
      <c r="H55" s="233"/>
    </row>
    <row r="56" spans="1:14" x14ac:dyDescent="0.25">
      <c r="A56" s="231" t="s">
        <v>46</v>
      </c>
      <c r="B56" s="231"/>
      <c r="C56" s="231"/>
      <c r="D56" s="231"/>
      <c r="E56" s="231"/>
      <c r="F56" s="231"/>
      <c r="G56" s="231"/>
      <c r="H56" s="231"/>
    </row>
    <row r="57" spans="1:14" x14ac:dyDescent="0.25">
      <c r="A57" s="109" t="s">
        <v>90</v>
      </c>
      <c r="B57" s="109"/>
      <c r="C57" s="109"/>
      <c r="D57" s="189">
        <f>E45</f>
        <v>23474.44</v>
      </c>
      <c r="E57" s="189"/>
      <c r="F57" s="189"/>
      <c r="G57" s="189"/>
      <c r="H57" s="189"/>
    </row>
    <row r="58" spans="1:14" x14ac:dyDescent="0.25">
      <c r="A58" s="109" t="s">
        <v>47</v>
      </c>
      <c r="B58" s="189"/>
      <c r="C58" s="189"/>
      <c r="D58" s="189" t="s">
        <v>260</v>
      </c>
      <c r="E58" s="189"/>
      <c r="F58" s="189"/>
      <c r="G58" s="189"/>
      <c r="H58" s="189"/>
      <c r="I58" s="22"/>
    </row>
    <row r="59" spans="1:14" ht="30" customHeight="1" x14ac:dyDescent="0.25">
      <c r="A59" s="90" t="s">
        <v>48</v>
      </c>
      <c r="B59" s="91"/>
      <c r="C59" s="92"/>
      <c r="D59" s="112" t="s">
        <v>252</v>
      </c>
      <c r="E59" s="194"/>
      <c r="F59" s="194"/>
      <c r="G59" s="194"/>
      <c r="H59" s="194"/>
    </row>
    <row r="60" spans="1:14" x14ac:dyDescent="0.25">
      <c r="A60" s="90" t="s">
        <v>88</v>
      </c>
      <c r="B60" s="91"/>
      <c r="C60" s="92"/>
      <c r="D60" s="87" t="s">
        <v>261</v>
      </c>
      <c r="E60" s="88"/>
      <c r="F60" s="88"/>
      <c r="G60" s="88"/>
      <c r="H60" s="89"/>
    </row>
    <row r="61" spans="1:14" x14ac:dyDescent="0.25">
      <c r="A61" s="93"/>
      <c r="B61" s="94"/>
      <c r="C61" s="95"/>
      <c r="D61" s="87" t="s">
        <v>262</v>
      </c>
      <c r="E61" s="88"/>
      <c r="F61" s="88"/>
      <c r="G61" s="88"/>
      <c r="H61" s="89"/>
    </row>
    <row r="62" spans="1:14" ht="15.75" customHeight="1" x14ac:dyDescent="0.25">
      <c r="A62" s="189" t="s">
        <v>45</v>
      </c>
      <c r="B62" s="189"/>
      <c r="C62" s="189"/>
      <c r="D62" s="190" t="s">
        <v>191</v>
      </c>
      <c r="E62" s="190"/>
      <c r="F62" s="190"/>
      <c r="G62" s="190"/>
      <c r="H62" s="190"/>
      <c r="J62" s="23"/>
      <c r="K62" s="22"/>
      <c r="N62" s="22"/>
    </row>
    <row r="63" spans="1:14" ht="15.75" customHeight="1" x14ac:dyDescent="0.25">
      <c r="A63" s="108" t="s">
        <v>86</v>
      </c>
      <c r="B63" s="108"/>
      <c r="C63" s="108"/>
      <c r="D63" s="191" t="str">
        <f>(IF(G55="NA","60 Years After Completion",IF(G55&lt;&gt;"NA",""&amp;60-ROUNDDOWN((E3-G55)/360,0)&amp;" Years"," ")))</f>
        <v>60 Years After Completion</v>
      </c>
      <c r="E63" s="191"/>
      <c r="F63" s="191"/>
      <c r="G63" s="191"/>
      <c r="H63" s="191"/>
      <c r="N63" s="22"/>
    </row>
    <row r="64" spans="1:14" ht="15.75" customHeight="1" x14ac:dyDescent="0.25">
      <c r="A64" s="108" t="s">
        <v>87</v>
      </c>
      <c r="B64" s="108"/>
      <c r="C64" s="108"/>
      <c r="D64" s="110" t="s">
        <v>24</v>
      </c>
      <c r="E64" s="110"/>
      <c r="F64" s="110"/>
      <c r="G64" s="110"/>
      <c r="H64" s="110"/>
      <c r="J64" s="24"/>
      <c r="K64" s="24"/>
    </row>
    <row r="65" spans="1:14" ht="64.5" customHeight="1" x14ac:dyDescent="0.25">
      <c r="A65" s="108" t="s">
        <v>74</v>
      </c>
      <c r="B65" s="108"/>
      <c r="C65" s="108"/>
      <c r="D65" s="109" t="s">
        <v>221</v>
      </c>
      <c r="E65" s="110"/>
      <c r="F65" s="110"/>
      <c r="G65" s="110"/>
      <c r="H65" s="110"/>
    </row>
    <row r="66" spans="1:14" x14ac:dyDescent="0.25">
      <c r="A66" s="110" t="s">
        <v>149</v>
      </c>
      <c r="B66" s="110"/>
      <c r="C66" s="110"/>
      <c r="D66" s="110" t="s">
        <v>29</v>
      </c>
      <c r="E66" s="110"/>
      <c r="F66" s="110"/>
      <c r="G66" s="110"/>
      <c r="H66" s="110"/>
      <c r="I66" s="25"/>
      <c r="J66" s="25"/>
      <c r="K66" s="25"/>
      <c r="L66" s="70"/>
      <c r="M66" s="70"/>
      <c r="N66" s="25"/>
    </row>
    <row r="67" spans="1:14" ht="15.75" customHeight="1" x14ac:dyDescent="0.25">
      <c r="A67" s="113" t="s">
        <v>85</v>
      </c>
      <c r="B67" s="113"/>
      <c r="C67" s="113"/>
      <c r="D67" s="112" t="str">
        <f ca="1">(IF(G73&gt;95%,"Nothing",IF(G73&gt;0%,"Cement, Aggregate, Steel, etc",IF(G73=0%,"Work not yet Started"))))</f>
        <v>Cement, Aggregate, Steel, etc</v>
      </c>
      <c r="E67" s="112"/>
      <c r="F67" s="112"/>
      <c r="G67" s="112"/>
      <c r="H67" s="112"/>
      <c r="J67" s="24"/>
    </row>
    <row r="68" spans="1:14" ht="33.75" customHeight="1" thickBot="1" x14ac:dyDescent="0.3">
      <c r="A68" s="111" t="s">
        <v>117</v>
      </c>
      <c r="B68" s="111"/>
      <c r="C68" s="111"/>
      <c r="D68" s="112" t="str">
        <f ca="1">(IF(D67="Nothing","Yes",IF(D67="Cement, Aggregate, Steel, etc","Under Construction",IF(D67="Work not yet Started","Work not yet Started"))))</f>
        <v>Under Construction</v>
      </c>
      <c r="E68" s="112"/>
      <c r="F68" s="112" t="str">
        <f ca="1">(IF(D67="Nothing","Yes",IF(D67="Cement, Aggregate, Steel, etc","Under Construction",IF(D67="Work not yet Started","Work not yet Started"))))</f>
        <v>Under Construction</v>
      </c>
      <c r="G68" s="112"/>
      <c r="H68" s="112"/>
    </row>
    <row r="69" spans="1:14" x14ac:dyDescent="0.25">
      <c r="A69" s="96" t="s">
        <v>141</v>
      </c>
      <c r="B69" s="97"/>
      <c r="C69" s="98" t="str">
        <f>D60</f>
        <v>Wing A = 1B + Gr + P1 to P5 + 6th to 31st Floor</v>
      </c>
      <c r="D69" s="99"/>
      <c r="E69" s="99"/>
      <c r="F69" s="99"/>
      <c r="G69" s="99"/>
      <c r="H69" s="100"/>
      <c r="I69" s="44" t="str">
        <f ca="1">IF(D82=100%,"All work Completed. Possession granted to the Building.",IF(D81=100%,"All work Completed, Waiting for OC",I70&amp;""&amp;I71&amp;""&amp;J70&amp;""&amp;J69&amp;" "&amp;J71))</f>
        <v>Excavation, Plinth Completed, RCC upto 20 Slab, Brickwork upto 19 Floor, Internal Plaster upto 14.25 Floor, External Plaster upto 12.35 Floor Completed</v>
      </c>
      <c r="J69" s="45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20 Slab, Brickwork upto 19 Floor, Internal Plaster upto 14.25 Floor, External Plaster upto 12.35 Floor</v>
      </c>
    </row>
    <row r="70" spans="1:14" x14ac:dyDescent="0.25">
      <c r="A70" s="16" t="s">
        <v>143</v>
      </c>
      <c r="B70" s="48">
        <f>IF(AND(ISNUMBER(SEARCH("1B",C69))),1,IF(AND(ISNUMBER(SEARCH("2B",C69))),2,IF(AND(ISNUMBER(SEARCH("3B",C69))),3,IF(AND(ISNUMBER(SEARCH("4B",C69))),4,IF(ISNUMBER(SEARCH("5B",C69)),5,0)))))</f>
        <v>1</v>
      </c>
      <c r="C70" s="48" t="s">
        <v>71</v>
      </c>
      <c r="D70" s="48">
        <v>1</v>
      </c>
      <c r="E70" s="48" t="s">
        <v>70</v>
      </c>
      <c r="F70" s="48">
        <v>0</v>
      </c>
      <c r="G70" s="48" t="s">
        <v>79</v>
      </c>
      <c r="H70" s="17">
        <f ca="1">--TRIM(RIGHT(SUBSTITUTE(LEFT(C69,_xlfn.AGGREGATE(16,6,FIND({0,1,2,3,4,5,6,7,8,9},C69,ROW(INDIRECT("1:"&amp;LEN(C69)))),1))," ",REPT(" ",LEN(C69))),LEN(C69)))</f>
        <v>31</v>
      </c>
      <c r="I70" s="46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47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4.5" customHeight="1" x14ac:dyDescent="0.25">
      <c r="A71" s="101" t="s">
        <v>89</v>
      </c>
      <c r="B71" s="102"/>
      <c r="C71" s="103" t="str">
        <f ca="1">I69</f>
        <v>Excavation, Plinth Completed, RCC upto 20 Slab, Brickwork upto 19 Floor, Internal Plaster upto 14.25 Floor, External Plaster upto 12.35 Floor Completed</v>
      </c>
      <c r="D71" s="103"/>
      <c r="E71" s="103"/>
      <c r="F71" s="103"/>
      <c r="G71" s="103"/>
      <c r="H71" s="104"/>
      <c r="I71" s="46" t="str">
        <f ca="1">IF(I70&lt;&gt;""," Completed","")</f>
        <v xml:space="preserve"> Completed</v>
      </c>
      <c r="J71" s="47" t="str">
        <f ca="1">IF(J69&lt;&gt;"","Completed","")</f>
        <v>Completed</v>
      </c>
    </row>
    <row r="72" spans="1:14" ht="15.75" customHeight="1" x14ac:dyDescent="0.25">
      <c r="A72" s="105" t="s">
        <v>49</v>
      </c>
      <c r="B72" s="106"/>
      <c r="C72" s="53" t="s">
        <v>140</v>
      </c>
      <c r="D72" s="53" t="s">
        <v>82</v>
      </c>
      <c r="E72" s="106" t="s">
        <v>84</v>
      </c>
      <c r="F72" s="106"/>
      <c r="G72" s="106" t="s">
        <v>83</v>
      </c>
      <c r="H72" s="107"/>
      <c r="I72" s="14" t="s">
        <v>142</v>
      </c>
      <c r="J72" s="26">
        <f ca="1">H70*25%</f>
        <v>7.75</v>
      </c>
    </row>
    <row r="73" spans="1:14" x14ac:dyDescent="0.25">
      <c r="A73" s="105" t="s">
        <v>129</v>
      </c>
      <c r="B73" s="106"/>
      <c r="C73" s="77">
        <f ca="1">J82</f>
        <v>31</v>
      </c>
      <c r="D73" s="54">
        <f ca="1">((100/H70)*C73)/100</f>
        <v>1</v>
      </c>
      <c r="E73" s="114">
        <f ca="1">(((C74/H70*10)+(40/(D70+F70+H70)*C75)+(7.5/(H70)*C76)+(7.5/(H70)*C77)+(10/H70*C78)+(10/H70*C79)+(5/H70*C80)+(5/H70*C81)+(5/H70*C82))/100)</f>
        <v>0.47028225806451607</v>
      </c>
      <c r="F73" s="115"/>
      <c r="G73" s="114">
        <f ca="1">((((C73/H70)*20)+((C74/H70)*25)+(30/(H70+F70+D70)*C75)+(5/H70*C76)+(5/H70*C77)+(5/H70*C78)+(5/H70*C79)+(0/H70*C80)+(0/H70*C81)+(5/H70*C82))/100)</f>
        <v>0.71104838709677409</v>
      </c>
      <c r="H73" s="120"/>
      <c r="I73" s="14" t="s">
        <v>99</v>
      </c>
      <c r="J73" s="27">
        <f ca="1">H70*50%</f>
        <v>15.5</v>
      </c>
    </row>
    <row r="74" spans="1:14" x14ac:dyDescent="0.25">
      <c r="A74" s="105" t="s">
        <v>50</v>
      </c>
      <c r="B74" s="106"/>
      <c r="C74" s="77">
        <f ca="1">J82</f>
        <v>31</v>
      </c>
      <c r="D74" s="54">
        <f ca="1">((100/H70)*C74)/100</f>
        <v>1</v>
      </c>
      <c r="E74" s="116"/>
      <c r="F74" s="117"/>
      <c r="G74" s="116"/>
      <c r="H74" s="121"/>
      <c r="I74" s="14" t="s">
        <v>100</v>
      </c>
      <c r="J74" s="27">
        <f ca="1">H70</f>
        <v>31</v>
      </c>
    </row>
    <row r="75" spans="1:14" ht="15.75" customHeight="1" x14ac:dyDescent="0.25">
      <c r="A75" s="105" t="s">
        <v>130</v>
      </c>
      <c r="B75" s="106"/>
      <c r="C75" s="53">
        <v>20</v>
      </c>
      <c r="D75" s="54">
        <f ca="1">((100/(D70+F70+H70))*C75)/100</f>
        <v>0.625</v>
      </c>
      <c r="E75" s="116"/>
      <c r="F75" s="117"/>
      <c r="G75" s="116"/>
      <c r="H75" s="121"/>
      <c r="I75" s="14" t="s">
        <v>101</v>
      </c>
      <c r="J75" s="28">
        <f ca="1">(IF(B70&gt;1,(H70/(B70+2)),H70/4))</f>
        <v>7.75</v>
      </c>
    </row>
    <row r="76" spans="1:14" ht="15.75" customHeight="1" x14ac:dyDescent="0.25">
      <c r="A76" s="105" t="s">
        <v>137</v>
      </c>
      <c r="B76" s="106" t="s">
        <v>131</v>
      </c>
      <c r="C76" s="53">
        <f>C75-D70</f>
        <v>19</v>
      </c>
      <c r="D76" s="54">
        <f ca="1">((100/H70)*C76)/100</f>
        <v>0.61290322580645162</v>
      </c>
      <c r="E76" s="116"/>
      <c r="F76" s="117"/>
      <c r="G76" s="116"/>
      <c r="H76" s="121"/>
      <c r="I76" s="14" t="s">
        <v>102</v>
      </c>
      <c r="J76" s="28">
        <f ca="1">(IF(B70&gt;1,(H70/(B70+2)+J75),H70/4+J75))</f>
        <v>15.5</v>
      </c>
    </row>
    <row r="77" spans="1:14" ht="15.75" customHeight="1" x14ac:dyDescent="0.25">
      <c r="A77" s="105" t="s">
        <v>138</v>
      </c>
      <c r="B77" s="106" t="s">
        <v>131</v>
      </c>
      <c r="C77" s="77">
        <f>C76*0.75</f>
        <v>14.25</v>
      </c>
      <c r="D77" s="54">
        <f ca="1">((100/H70)*C77)/100</f>
        <v>0.45967741935483863</v>
      </c>
      <c r="E77" s="116"/>
      <c r="F77" s="117"/>
      <c r="G77" s="116"/>
      <c r="H77" s="121"/>
      <c r="I77" s="14" t="s">
        <v>147</v>
      </c>
      <c r="J77" s="28">
        <f>(IF(B70&gt;1,(H70/(B70+2)+J76),0))</f>
        <v>0</v>
      </c>
    </row>
    <row r="78" spans="1:14" ht="15" customHeight="1" x14ac:dyDescent="0.25">
      <c r="A78" s="105" t="s">
        <v>136</v>
      </c>
      <c r="B78" s="106" t="s">
        <v>133</v>
      </c>
      <c r="C78" s="77">
        <f>C76*0.65</f>
        <v>12.35</v>
      </c>
      <c r="D78" s="54">
        <f ca="1">((100/(H70))*C78)/100</f>
        <v>0.39838709677419354</v>
      </c>
      <c r="E78" s="116"/>
      <c r="F78" s="117"/>
      <c r="G78" s="116"/>
      <c r="H78" s="121"/>
      <c r="I78" s="14" t="s">
        <v>144</v>
      </c>
      <c r="J78" s="28">
        <f>(IF(B70&gt;2,(H70/(B70+2)+J77),0))</f>
        <v>0</v>
      </c>
    </row>
    <row r="79" spans="1:14" ht="15.75" customHeight="1" x14ac:dyDescent="0.25">
      <c r="A79" s="105" t="s">
        <v>132</v>
      </c>
      <c r="B79" s="106" t="s">
        <v>132</v>
      </c>
      <c r="C79" s="53">
        <v>0</v>
      </c>
      <c r="D79" s="54">
        <f ca="1">((100/H70)*C79)/100</f>
        <v>0</v>
      </c>
      <c r="E79" s="116"/>
      <c r="F79" s="117"/>
      <c r="G79" s="116"/>
      <c r="H79" s="121"/>
      <c r="I79" s="14" t="s">
        <v>145</v>
      </c>
      <c r="J79" s="29">
        <f>(IF(B70&gt;3,(H70/(B70+2)+J78),0))</f>
        <v>0</v>
      </c>
    </row>
    <row r="80" spans="1:14" ht="15.75" customHeight="1" x14ac:dyDescent="0.25">
      <c r="A80" s="105" t="s">
        <v>139</v>
      </c>
      <c r="B80" s="106"/>
      <c r="C80" s="53">
        <v>0</v>
      </c>
      <c r="D80" s="54">
        <f ca="1">((100/H70)*C80)/100</f>
        <v>0</v>
      </c>
      <c r="E80" s="116"/>
      <c r="F80" s="117"/>
      <c r="G80" s="116"/>
      <c r="H80" s="121"/>
      <c r="I80" s="14" t="s">
        <v>146</v>
      </c>
      <c r="J80" s="28">
        <f>(IF(B70&gt;4,(H70/(B70+2)+J79),0))</f>
        <v>0</v>
      </c>
    </row>
    <row r="81" spans="1:10" ht="15.75" customHeight="1" x14ac:dyDescent="0.25">
      <c r="A81" s="105" t="s">
        <v>134</v>
      </c>
      <c r="B81" s="106" t="s">
        <v>134</v>
      </c>
      <c r="C81" s="53">
        <v>0</v>
      </c>
      <c r="D81" s="54">
        <f ca="1">((100/(H70))*C81)/100</f>
        <v>0</v>
      </c>
      <c r="E81" s="116"/>
      <c r="F81" s="117"/>
      <c r="G81" s="116"/>
      <c r="H81" s="121"/>
      <c r="I81" s="14" t="s">
        <v>148</v>
      </c>
      <c r="J81" s="28">
        <f ca="1">(IF(B70=1,(H70/(B70+3)+J76),IF(B70=0,(H70/4+J76),IF(B70&gt;1,0))))</f>
        <v>23.25</v>
      </c>
    </row>
    <row r="82" spans="1:10" ht="16.5" thickBot="1" x14ac:dyDescent="0.3">
      <c r="A82" s="123" t="s">
        <v>135</v>
      </c>
      <c r="B82" s="124"/>
      <c r="C82" s="55">
        <v>0</v>
      </c>
      <c r="D82" s="56">
        <f ca="1">((100/(H70))*C82)/100</f>
        <v>0</v>
      </c>
      <c r="E82" s="118"/>
      <c r="F82" s="119"/>
      <c r="G82" s="118"/>
      <c r="H82" s="122"/>
      <c r="I82" s="15" t="s">
        <v>103</v>
      </c>
      <c r="J82" s="30">
        <f ca="1">(IF(B70&gt;1.5,(H70/(B70+2)+J76+MAX(0,J77-J76)+MAX(0,J78-J77)+MAX(0,J79-J78)+MAX(0,J80-J79)+MAX(0,J81-J80)),IF(B70=1,(H70/(B70+3)+J81),IF(B70=0,H70/4+J81))))</f>
        <v>31</v>
      </c>
    </row>
    <row r="83" spans="1:10" x14ac:dyDescent="0.25">
      <c r="A83" s="96" t="s">
        <v>141</v>
      </c>
      <c r="B83" s="97"/>
      <c r="C83" s="98" t="str">
        <f>D61</f>
        <v>Wing B = Gr + P1 to P5 + 6th to 31st Floor</v>
      </c>
      <c r="D83" s="99"/>
      <c r="E83" s="99"/>
      <c r="F83" s="99"/>
      <c r="G83" s="99"/>
      <c r="H83" s="100"/>
      <c r="I83" s="44" t="str">
        <f ca="1">IF(D96=100%,"All work Completed. Possession granted to the Building.",IF(D95=100%,"All work Completed, Waiting for OC",I84&amp;""&amp;I85&amp;""&amp;J84&amp;""&amp;J83&amp;" "&amp;J85))</f>
        <v>Excavation, Plinth Completed, RCC upto 20 Slab, Brickwork upto 19 Floor, Internal Plaster upto 14.25 Floor, External Plaster upto 12.35 Floor Completed</v>
      </c>
      <c r="J83" s="45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20 Slab, Brickwork upto 19 Floor, Internal Plaster upto 14.25 Floor, External Plaster upto 12.35 Floor</v>
      </c>
    </row>
    <row r="84" spans="1:10" x14ac:dyDescent="0.25">
      <c r="A84" s="16" t="s">
        <v>143</v>
      </c>
      <c r="B84" s="48">
        <f>IF(AND(ISNUMBER(SEARCH("1B",C83))),1,IF(AND(ISNUMBER(SEARCH("2B",C83))),2,IF(AND(ISNUMBER(SEARCH("3B",C83))),3,IF(AND(ISNUMBER(SEARCH("4B",C83))),4,IF(ISNUMBER(SEARCH("5B",C83)),5,0)))))</f>
        <v>0</v>
      </c>
      <c r="C84" s="48" t="s">
        <v>71</v>
      </c>
      <c r="D84" s="48">
        <v>1</v>
      </c>
      <c r="E84" s="48" t="s">
        <v>70</v>
      </c>
      <c r="F84" s="48">
        <v>0</v>
      </c>
      <c r="G84" s="48" t="s">
        <v>79</v>
      </c>
      <c r="H84" s="17">
        <f ca="1">--TRIM(RIGHT(SUBSTITUTE(LEFT(C83,_xlfn.AGGREGATE(16,6,FIND({0,1,2,3,4,5,6,7,8,9},C83,ROW(INDIRECT("1:"&amp;LEN(C83)))),1))," ",REPT(" ",LEN(C83))),LEN(C83)))</f>
        <v>31</v>
      </c>
      <c r="I84" s="46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47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6" customHeight="1" x14ac:dyDescent="0.25">
      <c r="A85" s="101" t="s">
        <v>89</v>
      </c>
      <c r="B85" s="102"/>
      <c r="C85" s="103" t="str">
        <f ca="1">I83</f>
        <v>Excavation, Plinth Completed, RCC upto 20 Slab, Brickwork upto 19 Floor, Internal Plaster upto 14.25 Floor, External Plaster upto 12.35 Floor Completed</v>
      </c>
      <c r="D85" s="103"/>
      <c r="E85" s="103"/>
      <c r="F85" s="103"/>
      <c r="G85" s="103"/>
      <c r="H85" s="104"/>
      <c r="I85" s="46" t="str">
        <f ca="1">IF(I84&lt;&gt;""," Completed","")</f>
        <v xml:space="preserve"> Completed</v>
      </c>
      <c r="J85" s="47" t="str">
        <f ca="1">IF(J83&lt;&gt;"","Completed","")</f>
        <v>Completed</v>
      </c>
    </row>
    <row r="86" spans="1:10" ht="15.75" customHeight="1" x14ac:dyDescent="0.25">
      <c r="A86" s="105" t="s">
        <v>49</v>
      </c>
      <c r="B86" s="106"/>
      <c r="C86" s="75" t="s">
        <v>140</v>
      </c>
      <c r="D86" s="75" t="s">
        <v>82</v>
      </c>
      <c r="E86" s="106" t="s">
        <v>84</v>
      </c>
      <c r="F86" s="106"/>
      <c r="G86" s="106" t="s">
        <v>83</v>
      </c>
      <c r="H86" s="107"/>
      <c r="I86" s="14" t="s">
        <v>142</v>
      </c>
      <c r="J86" s="26">
        <f ca="1">H84*25%</f>
        <v>7.75</v>
      </c>
    </row>
    <row r="87" spans="1:10" x14ac:dyDescent="0.25">
      <c r="A87" s="105" t="s">
        <v>129</v>
      </c>
      <c r="B87" s="106"/>
      <c r="C87" s="77">
        <f ca="1">J96</f>
        <v>31</v>
      </c>
      <c r="D87" s="54">
        <f ca="1">((100/H84)*C87)/100</f>
        <v>1</v>
      </c>
      <c r="E87" s="114">
        <f ca="1">(((C88/H84*10)+(40/(D84+F84+H84)*C89)+(7.5/(H84)*C90)+(7.5/(H84)*C91)+(10/H84*C92)+(10/H84*C93)+(5/H84*C94)+(5/H84*C95)+(5/H84*C96))/100)</f>
        <v>0.47028225806451607</v>
      </c>
      <c r="F87" s="115"/>
      <c r="G87" s="114">
        <f ca="1">((((C87/H84)*20)+((C88/H84)*25)+(30/(H84+F84+D84)*C89)+(5/H84*C90)+(5/H84*C91)+(5/H84*C92)+(5/H84*C93)+(0/H84*C94)+(0/H84*C95)+(5/H84*C96))/100)</f>
        <v>0.71104838709677409</v>
      </c>
      <c r="H87" s="120"/>
      <c r="I87" s="14" t="s">
        <v>99</v>
      </c>
      <c r="J87" s="27">
        <f ca="1">H84*50%</f>
        <v>15.5</v>
      </c>
    </row>
    <row r="88" spans="1:10" x14ac:dyDescent="0.25">
      <c r="A88" s="105" t="s">
        <v>50</v>
      </c>
      <c r="B88" s="106"/>
      <c r="C88" s="77">
        <f ca="1">J96</f>
        <v>31</v>
      </c>
      <c r="D88" s="54">
        <f ca="1">((100/H84)*C88)/100</f>
        <v>1</v>
      </c>
      <c r="E88" s="116"/>
      <c r="F88" s="117"/>
      <c r="G88" s="116"/>
      <c r="H88" s="121"/>
      <c r="I88" s="14" t="s">
        <v>100</v>
      </c>
      <c r="J88" s="27">
        <f ca="1">H84</f>
        <v>31</v>
      </c>
    </row>
    <row r="89" spans="1:10" ht="15.75" customHeight="1" x14ac:dyDescent="0.25">
      <c r="A89" s="105" t="s">
        <v>130</v>
      </c>
      <c r="B89" s="106"/>
      <c r="C89" s="75">
        <v>20</v>
      </c>
      <c r="D89" s="54">
        <f ca="1">((100/(D84+F84+H84))*C89)/100</f>
        <v>0.625</v>
      </c>
      <c r="E89" s="116"/>
      <c r="F89" s="117"/>
      <c r="G89" s="116"/>
      <c r="H89" s="121"/>
      <c r="I89" s="14" t="s">
        <v>101</v>
      </c>
      <c r="J89" s="28">
        <f ca="1">(IF(B84&gt;1,(H84/(B84+2)),H84/4))</f>
        <v>7.75</v>
      </c>
    </row>
    <row r="90" spans="1:10" ht="15.75" customHeight="1" x14ac:dyDescent="0.25">
      <c r="A90" s="105" t="s">
        <v>137</v>
      </c>
      <c r="B90" s="106" t="s">
        <v>131</v>
      </c>
      <c r="C90" s="75">
        <f>C89-D84</f>
        <v>19</v>
      </c>
      <c r="D90" s="54">
        <f ca="1">((100/H84)*C90)/100</f>
        <v>0.61290322580645162</v>
      </c>
      <c r="E90" s="116"/>
      <c r="F90" s="117"/>
      <c r="G90" s="116"/>
      <c r="H90" s="121"/>
      <c r="I90" s="14" t="s">
        <v>102</v>
      </c>
      <c r="J90" s="28">
        <f ca="1">(IF(B84&gt;1,(H84/(B84+2)+J89),H84/4+J89))</f>
        <v>15.5</v>
      </c>
    </row>
    <row r="91" spans="1:10" ht="15.75" customHeight="1" x14ac:dyDescent="0.25">
      <c r="A91" s="105" t="s">
        <v>138</v>
      </c>
      <c r="B91" s="106" t="s">
        <v>131</v>
      </c>
      <c r="C91" s="77">
        <f>C90*0.75</f>
        <v>14.25</v>
      </c>
      <c r="D91" s="54">
        <f ca="1">((100/H84)*C91)/100</f>
        <v>0.45967741935483863</v>
      </c>
      <c r="E91" s="116"/>
      <c r="F91" s="117"/>
      <c r="G91" s="116"/>
      <c r="H91" s="121"/>
      <c r="I91" s="14" t="s">
        <v>147</v>
      </c>
      <c r="J91" s="28">
        <f>(IF(B84&gt;1,(H84/(B84+2)+J90),0))</f>
        <v>0</v>
      </c>
    </row>
    <row r="92" spans="1:10" ht="15" customHeight="1" x14ac:dyDescent="0.25">
      <c r="A92" s="105" t="s">
        <v>136</v>
      </c>
      <c r="B92" s="106" t="s">
        <v>133</v>
      </c>
      <c r="C92" s="77">
        <f>C90*0.65</f>
        <v>12.35</v>
      </c>
      <c r="D92" s="54">
        <f ca="1">((100/(H84))*C92)/100</f>
        <v>0.39838709677419354</v>
      </c>
      <c r="E92" s="116"/>
      <c r="F92" s="117"/>
      <c r="G92" s="116"/>
      <c r="H92" s="121"/>
      <c r="I92" s="14" t="s">
        <v>144</v>
      </c>
      <c r="J92" s="28">
        <f>(IF(B84&gt;2,(H84/(B84+2)+J91),0))</f>
        <v>0</v>
      </c>
    </row>
    <row r="93" spans="1:10" ht="15.75" customHeight="1" x14ac:dyDescent="0.25">
      <c r="A93" s="105" t="s">
        <v>132</v>
      </c>
      <c r="B93" s="106" t="s">
        <v>132</v>
      </c>
      <c r="C93" s="75">
        <v>0</v>
      </c>
      <c r="D93" s="54">
        <f ca="1">((100/H84)*C93)/100</f>
        <v>0</v>
      </c>
      <c r="E93" s="116"/>
      <c r="F93" s="117"/>
      <c r="G93" s="116"/>
      <c r="H93" s="121"/>
      <c r="I93" s="14" t="s">
        <v>145</v>
      </c>
      <c r="J93" s="29">
        <f>(IF(B84&gt;3,(H84/(B84+2)+J92),0))</f>
        <v>0</v>
      </c>
    </row>
    <row r="94" spans="1:10" ht="15.75" customHeight="1" x14ac:dyDescent="0.25">
      <c r="A94" s="105" t="s">
        <v>139</v>
      </c>
      <c r="B94" s="106"/>
      <c r="C94" s="75">
        <v>0</v>
      </c>
      <c r="D94" s="54">
        <f ca="1">((100/H84)*C94)/100</f>
        <v>0</v>
      </c>
      <c r="E94" s="116"/>
      <c r="F94" s="117"/>
      <c r="G94" s="116"/>
      <c r="H94" s="121"/>
      <c r="I94" s="14" t="s">
        <v>146</v>
      </c>
      <c r="J94" s="28">
        <f>(IF(B84&gt;4,(H84/(B84+2)+J93),0))</f>
        <v>0</v>
      </c>
    </row>
    <row r="95" spans="1:10" ht="15.75" customHeight="1" x14ac:dyDescent="0.25">
      <c r="A95" s="105" t="s">
        <v>134</v>
      </c>
      <c r="B95" s="106" t="s">
        <v>134</v>
      </c>
      <c r="C95" s="75">
        <v>0</v>
      </c>
      <c r="D95" s="54">
        <f ca="1">((100/(H84))*C95)/100</f>
        <v>0</v>
      </c>
      <c r="E95" s="116"/>
      <c r="F95" s="117"/>
      <c r="G95" s="116"/>
      <c r="H95" s="121"/>
      <c r="I95" s="14" t="s">
        <v>148</v>
      </c>
      <c r="J95" s="28">
        <f ca="1">(IF(B84=1,(H84/(B84+3)+J90),IF(B84=0,(H84/4+J90),IF(B84&gt;1,0))))</f>
        <v>23.25</v>
      </c>
    </row>
    <row r="96" spans="1:10" ht="16.5" thickBot="1" x14ac:dyDescent="0.3">
      <c r="A96" s="123" t="s">
        <v>135</v>
      </c>
      <c r="B96" s="124"/>
      <c r="C96" s="76">
        <v>0</v>
      </c>
      <c r="D96" s="56">
        <f ca="1">((100/(H84))*C96)/100</f>
        <v>0</v>
      </c>
      <c r="E96" s="118"/>
      <c r="F96" s="119"/>
      <c r="G96" s="118"/>
      <c r="H96" s="122"/>
      <c r="I96" s="15" t="s">
        <v>103</v>
      </c>
      <c r="J96" s="30">
        <f ca="1">(IF(B84&gt;1.5,(H84/(B84+2)+J90+MAX(0,J91-J90)+MAX(0,J92-J91)+MAX(0,J93-J92)+MAX(0,J94-J93)+MAX(0,J95-J94)),IF(B84=1,(H84/(B84+3)+J95),IF(B84=0,H84/4+J95))))</f>
        <v>31</v>
      </c>
    </row>
    <row r="97" spans="1:15" x14ac:dyDescent="0.25">
      <c r="A97" s="238" t="s">
        <v>158</v>
      </c>
      <c r="B97" s="238"/>
      <c r="C97" s="238"/>
      <c r="D97" s="238"/>
      <c r="E97" s="238"/>
      <c r="F97" s="239" t="s">
        <v>162</v>
      </c>
      <c r="G97" s="239"/>
      <c r="H97" s="239"/>
      <c r="I97" s="62"/>
      <c r="J97" s="62" t="s">
        <v>206</v>
      </c>
      <c r="K97" s="62" t="s">
        <v>208</v>
      </c>
      <c r="L97" s="62" t="s">
        <v>210</v>
      </c>
      <c r="M97" s="62" t="s">
        <v>209</v>
      </c>
      <c r="N97" s="62"/>
      <c r="O97" s="62"/>
    </row>
    <row r="98" spans="1:15" x14ac:dyDescent="0.25">
      <c r="A98" s="108" t="s">
        <v>160</v>
      </c>
      <c r="B98" s="108"/>
      <c r="C98" s="108"/>
      <c r="D98" s="108"/>
      <c r="E98" s="108"/>
      <c r="F98" s="165">
        <v>18000</v>
      </c>
      <c r="G98" s="165"/>
      <c r="H98" s="165"/>
      <c r="I98" s="65">
        <f>AVERAGE(J98:M98)</f>
        <v>16861.845599199383</v>
      </c>
      <c r="J98" s="65">
        <f>AVERAGE(J153,J158,J194,J201)</f>
        <v>19669.776021795937</v>
      </c>
      <c r="K98" s="62"/>
      <c r="L98" s="62">
        <v>15000</v>
      </c>
      <c r="M98" s="65">
        <f>AVERAGE(M155,M159)</f>
        <v>15915.760775802211</v>
      </c>
      <c r="N98" s="62"/>
      <c r="O98" s="62"/>
    </row>
    <row r="99" spans="1:15" x14ac:dyDescent="0.25">
      <c r="A99" s="108" t="s">
        <v>159</v>
      </c>
      <c r="B99" s="108"/>
      <c r="C99" s="108"/>
      <c r="D99" s="108"/>
      <c r="E99" s="108"/>
      <c r="F99" s="165">
        <v>28000</v>
      </c>
      <c r="G99" s="165"/>
      <c r="H99" s="165"/>
      <c r="I99" s="62"/>
      <c r="J99" s="62"/>
      <c r="K99" s="62"/>
      <c r="L99" s="62"/>
      <c r="M99" s="65">
        <f>J134</f>
        <v>33616.182582880298</v>
      </c>
      <c r="N99" s="62"/>
      <c r="O99" s="62"/>
    </row>
    <row r="100" spans="1:15" ht="15.75" hidden="1" customHeight="1" x14ac:dyDescent="0.25">
      <c r="A100" s="108" t="s">
        <v>161</v>
      </c>
      <c r="B100" s="108"/>
      <c r="C100" s="108"/>
      <c r="D100" s="108"/>
      <c r="E100" s="108"/>
      <c r="F100" s="165"/>
      <c r="G100" s="165"/>
      <c r="H100" s="165"/>
      <c r="I100" s="62"/>
      <c r="J100" s="62"/>
      <c r="K100" s="62"/>
      <c r="L100" s="62"/>
      <c r="M100" s="62"/>
      <c r="N100" s="62"/>
      <c r="O100" s="62"/>
    </row>
    <row r="101" spans="1:15" s="31" customFormat="1" ht="15.75" hidden="1" customHeight="1" x14ac:dyDescent="0.25">
      <c r="A101" s="108" t="s">
        <v>176</v>
      </c>
      <c r="B101" s="108"/>
      <c r="C101" s="108"/>
      <c r="D101" s="108"/>
      <c r="E101" s="108"/>
      <c r="F101" s="165"/>
      <c r="G101" s="165"/>
      <c r="H101" s="165"/>
      <c r="I101" s="63"/>
      <c r="J101" s="63"/>
      <c r="K101" s="63"/>
      <c r="L101" s="63"/>
      <c r="M101" s="63"/>
      <c r="N101" s="63"/>
      <c r="O101" s="63"/>
    </row>
    <row r="102" spans="1:15" s="31" customFormat="1" ht="15.75" hidden="1" customHeight="1" x14ac:dyDescent="0.25">
      <c r="A102" s="108" t="s">
        <v>94</v>
      </c>
      <c r="B102" s="108"/>
      <c r="C102" s="108"/>
      <c r="D102" s="108"/>
      <c r="E102" s="108"/>
      <c r="F102" s="165"/>
      <c r="G102" s="165"/>
      <c r="H102" s="165"/>
      <c r="I102" s="63"/>
      <c r="J102" s="63"/>
      <c r="K102" s="63"/>
      <c r="L102" s="63"/>
      <c r="M102" s="63"/>
      <c r="N102" s="63"/>
      <c r="O102" s="63"/>
    </row>
    <row r="103" spans="1:15" s="31" customFormat="1" ht="15.75" hidden="1" customHeight="1" x14ac:dyDescent="0.25">
      <c r="A103" s="108" t="s">
        <v>95</v>
      </c>
      <c r="B103" s="108"/>
      <c r="C103" s="108"/>
      <c r="D103" s="108"/>
      <c r="E103" s="108"/>
      <c r="F103" s="165"/>
      <c r="G103" s="165"/>
      <c r="H103" s="165"/>
      <c r="I103" s="63"/>
      <c r="J103" s="63"/>
      <c r="K103" s="63"/>
      <c r="L103" s="63"/>
      <c r="M103" s="63"/>
      <c r="N103" s="63"/>
      <c r="O103" s="63"/>
    </row>
    <row r="104" spans="1:15" s="31" customFormat="1" ht="15.75" hidden="1" customHeight="1" x14ac:dyDescent="0.25">
      <c r="A104" s="108" t="s">
        <v>163</v>
      </c>
      <c r="B104" s="108"/>
      <c r="C104" s="108"/>
      <c r="D104" s="108"/>
      <c r="E104" s="108"/>
      <c r="F104" s="165"/>
      <c r="G104" s="165"/>
      <c r="H104" s="165"/>
      <c r="I104" s="63"/>
      <c r="J104" s="63"/>
      <c r="K104" s="63"/>
      <c r="L104" s="63"/>
      <c r="M104" s="63"/>
      <c r="N104" s="63"/>
      <c r="O104" s="63"/>
    </row>
    <row r="105" spans="1:15" s="31" customFormat="1" ht="15.75" hidden="1" customHeight="1" x14ac:dyDescent="0.25">
      <c r="A105" s="108" t="s">
        <v>96</v>
      </c>
      <c r="B105" s="108"/>
      <c r="C105" s="108"/>
      <c r="D105" s="108"/>
      <c r="E105" s="108"/>
      <c r="F105" s="165"/>
      <c r="G105" s="165"/>
      <c r="H105" s="165"/>
      <c r="I105" s="63"/>
      <c r="J105" s="63"/>
      <c r="K105" s="63"/>
      <c r="L105" s="63"/>
      <c r="M105" s="63"/>
      <c r="N105" s="63"/>
      <c r="O105" s="63"/>
    </row>
    <row r="106" spans="1:15" s="31" customFormat="1" ht="15.75" hidden="1" customHeight="1" x14ac:dyDescent="0.25">
      <c r="A106" s="108" t="s">
        <v>97</v>
      </c>
      <c r="B106" s="108"/>
      <c r="C106" s="108"/>
      <c r="D106" s="108"/>
      <c r="E106" s="108"/>
      <c r="F106" s="165"/>
      <c r="G106" s="165"/>
      <c r="H106" s="165"/>
      <c r="I106" s="63"/>
      <c r="J106" s="63"/>
      <c r="K106" s="63"/>
      <c r="L106" s="63"/>
      <c r="M106" s="63"/>
      <c r="N106" s="63"/>
      <c r="O106" s="63"/>
    </row>
    <row r="107" spans="1:15" s="31" customFormat="1" hidden="1" x14ac:dyDescent="0.25">
      <c r="A107" s="108" t="s">
        <v>207</v>
      </c>
      <c r="B107" s="108"/>
      <c r="C107" s="108"/>
      <c r="D107" s="108"/>
      <c r="E107" s="108"/>
      <c r="F107" s="165">
        <v>750</v>
      </c>
      <c r="G107" s="165"/>
      <c r="H107" s="165"/>
      <c r="I107" s="63"/>
      <c r="J107" s="63"/>
      <c r="K107" s="63"/>
      <c r="L107" s="63"/>
      <c r="M107" s="63"/>
      <c r="N107" s="63"/>
      <c r="O107" s="63"/>
    </row>
    <row r="108" spans="1:15" s="31" customFormat="1" x14ac:dyDescent="0.25">
      <c r="A108" s="108" t="s">
        <v>98</v>
      </c>
      <c r="B108" s="108"/>
      <c r="C108" s="108"/>
      <c r="D108" s="108"/>
      <c r="E108" s="108"/>
      <c r="F108" s="165">
        <v>600000</v>
      </c>
      <c r="G108" s="165"/>
      <c r="H108" s="165"/>
      <c r="I108" s="62">
        <v>388800</v>
      </c>
      <c r="J108" s="66"/>
      <c r="K108" s="63"/>
      <c r="L108" s="63"/>
      <c r="M108" s="63"/>
      <c r="N108" s="63"/>
      <c r="O108" s="63"/>
    </row>
    <row r="109" spans="1:15" s="31" customFormat="1" hidden="1" x14ac:dyDescent="0.25">
      <c r="A109" s="234" t="s">
        <v>222</v>
      </c>
      <c r="B109" s="234"/>
      <c r="C109" s="234"/>
      <c r="D109" s="234"/>
      <c r="E109" s="234"/>
      <c r="F109" s="165">
        <v>1000000</v>
      </c>
      <c r="G109" s="165"/>
      <c r="H109" s="165"/>
      <c r="I109" s="62">
        <v>388800</v>
      </c>
      <c r="J109" s="66"/>
      <c r="K109" s="63"/>
      <c r="L109" s="63"/>
      <c r="M109" s="63"/>
      <c r="N109" s="63"/>
      <c r="O109" s="63"/>
    </row>
    <row r="110" spans="1:15" x14ac:dyDescent="0.25">
      <c r="A110" s="108" t="s">
        <v>51</v>
      </c>
      <c r="B110" s="108"/>
      <c r="C110" s="108"/>
      <c r="D110" s="108"/>
      <c r="E110" s="108"/>
      <c r="F110" s="165">
        <v>1000000</v>
      </c>
      <c r="G110" s="165"/>
      <c r="H110" s="165"/>
      <c r="I110" s="62">
        <v>545760</v>
      </c>
      <c r="J110" s="65"/>
      <c r="K110" s="62"/>
      <c r="L110" s="62"/>
      <c r="M110" s="62"/>
      <c r="N110" s="62"/>
      <c r="O110" s="62"/>
    </row>
    <row r="111" spans="1:15" s="32" customFormat="1" x14ac:dyDescent="0.25">
      <c r="A111" s="158" t="s">
        <v>52</v>
      </c>
      <c r="B111" s="158"/>
      <c r="C111" s="158"/>
      <c r="D111" s="158"/>
      <c r="E111" s="158"/>
      <c r="F111" s="165">
        <f>F98*0.8</f>
        <v>14400</v>
      </c>
      <c r="G111" s="165"/>
      <c r="H111" s="165"/>
      <c r="I111" s="64">
        <v>953280</v>
      </c>
      <c r="J111" s="64"/>
      <c r="K111" s="64"/>
      <c r="L111" s="64"/>
      <c r="M111" s="64"/>
      <c r="N111" s="64"/>
      <c r="O111" s="64"/>
    </row>
    <row r="112" spans="1:15" s="33" customFormat="1" ht="15.75" customHeight="1" x14ac:dyDescent="0.25">
      <c r="A112" s="169" t="s">
        <v>225</v>
      </c>
      <c r="B112" s="169"/>
      <c r="C112" s="169"/>
      <c r="D112" s="169"/>
      <c r="E112" s="169"/>
      <c r="F112" s="169"/>
      <c r="G112" s="169"/>
      <c r="H112" s="169"/>
      <c r="I112" s="67">
        <f>AVERAGE(I108:I111)</f>
        <v>569160</v>
      </c>
    </row>
    <row r="113" spans="1:13" s="33" customFormat="1" ht="15.75" customHeight="1" x14ac:dyDescent="0.25">
      <c r="A113" s="174" t="s">
        <v>53</v>
      </c>
      <c r="B113" s="174"/>
      <c r="C113" s="171" t="s">
        <v>77</v>
      </c>
      <c r="D113" s="171"/>
      <c r="E113" s="173" t="s">
        <v>54</v>
      </c>
      <c r="F113" s="173"/>
      <c r="G113" s="174" t="s">
        <v>55</v>
      </c>
      <c r="H113" s="174"/>
    </row>
    <row r="114" spans="1:13" s="33" customFormat="1" x14ac:dyDescent="0.25">
      <c r="A114" s="182" t="s">
        <v>198</v>
      </c>
      <c r="B114" s="183"/>
      <c r="C114" s="177">
        <f>COUNT(D130:D146)</f>
        <v>17</v>
      </c>
      <c r="D114" s="178"/>
      <c r="E114" s="177">
        <f>SUM(D130:D146)</f>
        <v>11311.910312039998</v>
      </c>
      <c r="F114" s="178"/>
      <c r="G114" s="177">
        <f>SUM(F130:F146)</f>
        <v>18099.056499263996</v>
      </c>
      <c r="H114" s="178"/>
      <c r="I114" s="33" t="s">
        <v>245</v>
      </c>
    </row>
    <row r="115" spans="1:13" s="33" customFormat="1" x14ac:dyDescent="0.25">
      <c r="A115" s="169" t="s">
        <v>151</v>
      </c>
      <c r="B115" s="169"/>
      <c r="C115" s="170">
        <f>SUM(C114)</f>
        <v>17</v>
      </c>
      <c r="D115" s="171"/>
      <c r="E115" s="172">
        <f>SUM(E114)</f>
        <v>11311.910312039998</v>
      </c>
      <c r="F115" s="173"/>
      <c r="G115" s="174">
        <f>SUM(G114)</f>
        <v>18099.056499263996</v>
      </c>
      <c r="H115" s="174"/>
    </row>
    <row r="116" spans="1:13" s="33" customFormat="1" x14ac:dyDescent="0.25">
      <c r="A116" s="169" t="s">
        <v>226</v>
      </c>
      <c r="B116" s="169"/>
      <c r="C116" s="169"/>
      <c r="D116" s="169"/>
      <c r="E116" s="169"/>
      <c r="F116" s="169"/>
      <c r="G116" s="169"/>
      <c r="H116" s="169"/>
    </row>
    <row r="117" spans="1:13" s="33" customFormat="1" ht="15.75" customHeight="1" x14ac:dyDescent="0.25">
      <c r="A117" s="174" t="s">
        <v>53</v>
      </c>
      <c r="B117" s="174"/>
      <c r="C117" s="171" t="s">
        <v>77</v>
      </c>
      <c r="D117" s="171"/>
      <c r="E117" s="173" t="s">
        <v>54</v>
      </c>
      <c r="F117" s="173"/>
      <c r="G117" s="174" t="s">
        <v>55</v>
      </c>
      <c r="H117" s="174"/>
    </row>
    <row r="118" spans="1:13" s="33" customFormat="1" x14ac:dyDescent="0.25">
      <c r="A118" s="175" t="s">
        <v>197</v>
      </c>
      <c r="B118" s="175"/>
      <c r="C118" s="176">
        <f>COUNT(D154,D156)+COUNT(D158:D160)*13+COUNT(D162,D164)+COUNT(D166,D168)+COUNT(D170:D171)+COUNT(D173:D174)+COUNT(D176:D177)*2+COUNT(D179:D180)+COUNT(D182,D184)+COUNT(D186)+COUNT(D189:D190)</f>
        <v>60</v>
      </c>
      <c r="D118" s="176"/>
      <c r="E118" s="176">
        <f t="shared" ref="E118" si="0">SUM(D154,D156)+SUM(D158:D160)*13+SUM(D162,D164)+SUM(D166,D168)+SUM(D170:D171)+SUM(D173:D174)+SUM(D176:D177)*2+SUM(D179:D180)+SUM(D182,D184)+SUM(D186)+SUM(D189:D190)</f>
        <v>101591.45975159999</v>
      </c>
      <c r="F118" s="176"/>
      <c r="G118" s="176">
        <f t="shared" ref="G118" si="1">SUM(F154,F156)+SUM(F158:F160)*13+SUM(F162,F164)+SUM(F166,F168)+SUM(F170:F171)+SUM(F173:F174)+SUM(F176:F177)*2+SUM(F179:F180)+SUM(F182,F184)+SUM(F186)+SUM(F189:F190)</f>
        <v>157466.76261497999</v>
      </c>
      <c r="H118" s="176"/>
      <c r="I118" s="33" t="s">
        <v>245</v>
      </c>
    </row>
    <row r="119" spans="1:13" s="33" customFormat="1" x14ac:dyDescent="0.25">
      <c r="A119" s="175" t="s">
        <v>200</v>
      </c>
      <c r="B119" s="175"/>
      <c r="C119" s="176">
        <f>COUNT(D195:D197)+COUNT(D200:D203)*13+COUNT(D205:D207)+COUNT(D210:D212)+COUNT(D215:D217)+COUNT(D219:D221)+COUNT(D223:D225)*2+COUNT(D227:D229)+COUNT(D231:D232)+COUNT(D236:D238)+COUNT(D240:D242)+COUNT(D245:D246)</f>
        <v>86</v>
      </c>
      <c r="D119" s="176"/>
      <c r="E119" s="176">
        <f>SUM(D195:D197)+SUM(D200:D203)*13+SUM(D205:D207)+SUM(D210:D212)+SUM(D215:D217)+SUM(D219:D221)+SUM(D223:D225)*2+SUM(D227:D229)+SUM(D231:D232)+SUM(D236:D238)+SUM(D240:D242)+SUM(D245:D246)</f>
        <v>103531.8935664</v>
      </c>
      <c r="F119" s="176"/>
      <c r="G119" s="176">
        <f>SUM(F195:F197)+SUM(F200:F203)*13+SUM(F205:F207)+SUM(F210:F212)+SUM(F215:F217)+SUM(F219:F221)+SUM(F223:F225)*2+SUM(F227:F229)+SUM(F231:F232)+SUM(F236:F238)+SUM(F240:F242)+SUM(F245:F246)</f>
        <v>160474.43502792</v>
      </c>
      <c r="H119" s="176"/>
      <c r="I119" s="33" t="s">
        <v>245</v>
      </c>
      <c r="J119" s="74" t="s">
        <v>246</v>
      </c>
    </row>
    <row r="120" spans="1:13" s="33" customFormat="1" ht="16.5" thickBot="1" x14ac:dyDescent="0.3">
      <c r="A120" s="179" t="s">
        <v>151</v>
      </c>
      <c r="B120" s="179"/>
      <c r="C120" s="220">
        <f>SUM(C118:C119)</f>
        <v>146</v>
      </c>
      <c r="D120" s="221"/>
      <c r="E120" s="180">
        <f>SUM(E118:E119)</f>
        <v>205123.35331799998</v>
      </c>
      <c r="F120" s="181"/>
      <c r="G120" s="168">
        <f>SUM(G118:G119)</f>
        <v>317941.19764289999</v>
      </c>
      <c r="H120" s="168"/>
    </row>
    <row r="121" spans="1:13" s="33" customFormat="1" ht="16.5" thickBot="1" x14ac:dyDescent="0.3">
      <c r="A121" s="222" t="s">
        <v>169</v>
      </c>
      <c r="B121" s="223"/>
      <c r="C121" s="224">
        <f>C115+C120</f>
        <v>163</v>
      </c>
      <c r="D121" s="224"/>
      <c r="E121" s="225">
        <f>E115+E120</f>
        <v>216435.26363003999</v>
      </c>
      <c r="F121" s="225"/>
      <c r="G121" s="226">
        <f>G115+G120</f>
        <v>336040.25414216396</v>
      </c>
      <c r="H121" s="227"/>
    </row>
    <row r="122" spans="1:13" s="32" customFormat="1" x14ac:dyDescent="0.25">
      <c r="A122" s="239" t="s">
        <v>56</v>
      </c>
      <c r="B122" s="239"/>
      <c r="C122" s="239"/>
      <c r="D122" s="239"/>
      <c r="E122" s="239"/>
      <c r="F122" s="239"/>
      <c r="G122" s="239"/>
      <c r="H122" s="239"/>
      <c r="L122" s="61"/>
      <c r="M122" s="61"/>
    </row>
    <row r="123" spans="1:13" x14ac:dyDescent="0.25">
      <c r="A123" s="213" t="s">
        <v>175</v>
      </c>
      <c r="B123" s="213"/>
      <c r="C123" s="213"/>
      <c r="D123" s="213"/>
      <c r="E123" s="213"/>
      <c r="F123" s="213"/>
      <c r="G123" s="213"/>
      <c r="H123" s="213"/>
    </row>
    <row r="124" spans="1:13" ht="47.25" customHeight="1" x14ac:dyDescent="0.25">
      <c r="A124" s="166" t="s">
        <v>119</v>
      </c>
      <c r="B124" s="166" t="s">
        <v>118</v>
      </c>
      <c r="C124" s="166" t="s">
        <v>57</v>
      </c>
      <c r="D124" s="166" t="s">
        <v>58</v>
      </c>
      <c r="E124" s="241" t="s">
        <v>157</v>
      </c>
      <c r="F124" s="41" t="s">
        <v>150</v>
      </c>
      <c r="G124" s="236" t="s">
        <v>60</v>
      </c>
      <c r="H124" s="243"/>
    </row>
    <row r="125" spans="1:13" s="35" customFormat="1" x14ac:dyDescent="0.25">
      <c r="A125" s="167"/>
      <c r="B125" s="167"/>
      <c r="C125" s="167"/>
      <c r="D125" s="167"/>
      <c r="E125" s="242"/>
      <c r="F125" s="13">
        <v>0.6</v>
      </c>
      <c r="G125" s="237"/>
      <c r="H125" s="244"/>
      <c r="L125" s="51"/>
      <c r="M125" s="51"/>
    </row>
    <row r="126" spans="1:13" s="51" customFormat="1" x14ac:dyDescent="0.25">
      <c r="A126" s="155" t="s">
        <v>197</v>
      </c>
      <c r="B126" s="156"/>
      <c r="C126" s="156"/>
      <c r="D126" s="156"/>
      <c r="E126" s="156"/>
      <c r="F126" s="156"/>
      <c r="G126" s="156"/>
      <c r="H126" s="157"/>
      <c r="J126" s="59">
        <v>10.763999999999999</v>
      </c>
    </row>
    <row r="127" spans="1:13" s="51" customFormat="1" x14ac:dyDescent="0.25">
      <c r="A127" s="128" t="s">
        <v>253</v>
      </c>
      <c r="B127" s="129"/>
      <c r="C127" s="129"/>
      <c r="D127" s="129"/>
      <c r="E127" s="129"/>
      <c r="F127" s="129"/>
      <c r="G127" s="129"/>
      <c r="H127" s="130"/>
      <c r="J127" s="34"/>
    </row>
    <row r="128" spans="1:13" s="35" customFormat="1" x14ac:dyDescent="0.25">
      <c r="A128" s="155" t="s">
        <v>198</v>
      </c>
      <c r="B128" s="156"/>
      <c r="C128" s="156"/>
      <c r="D128" s="156"/>
      <c r="E128" s="156"/>
      <c r="F128" s="156"/>
      <c r="G128" s="156"/>
      <c r="H128" s="157"/>
      <c r="J128" s="34"/>
      <c r="L128" s="51"/>
      <c r="M128" s="51"/>
    </row>
    <row r="129" spans="1:14" s="35" customFormat="1" ht="15.75" customHeight="1" x14ac:dyDescent="0.25">
      <c r="A129" s="128" t="s">
        <v>251</v>
      </c>
      <c r="B129" s="129"/>
      <c r="C129" s="129"/>
      <c r="D129" s="129"/>
      <c r="E129" s="129"/>
      <c r="F129" s="129"/>
      <c r="G129" s="129"/>
      <c r="H129" s="130"/>
      <c r="I129" s="34"/>
      <c r="L129" s="51"/>
      <c r="M129" s="51"/>
      <c r="N129" s="34"/>
    </row>
    <row r="130" spans="1:14" s="35" customFormat="1" x14ac:dyDescent="0.25">
      <c r="A130" s="131">
        <v>1</v>
      </c>
      <c r="B130" s="132"/>
      <c r="C130" s="40" t="s">
        <v>194</v>
      </c>
      <c r="D130" s="59">
        <f>(7.32*4.84+5.7*2.79+1.52*1.22+1.52*1.37+3.44*7.63*0.5)*10.764</f>
        <v>736.17364079999993</v>
      </c>
      <c r="E130" s="40">
        <v>0</v>
      </c>
      <c r="F130" s="40">
        <f>(D130+E130)*(($F$125)+1)</f>
        <v>1177.87782528</v>
      </c>
      <c r="G130" s="133" t="str">
        <f>A129</f>
        <v>Ground Floor For Commercial &amp; Parking</v>
      </c>
      <c r="H130" s="134"/>
      <c r="I130" s="34"/>
      <c r="L130" s="51"/>
      <c r="M130" s="51"/>
      <c r="N130" s="34"/>
    </row>
    <row r="131" spans="1:14" s="35" customFormat="1" x14ac:dyDescent="0.25">
      <c r="A131" s="131">
        <f t="shared" ref="A131:A146" si="2">A130+1</f>
        <v>2</v>
      </c>
      <c r="B131" s="132"/>
      <c r="C131" s="50" t="s">
        <v>194</v>
      </c>
      <c r="D131" s="59">
        <f>(4.35*9.45*0.5+1.26*1.95*0.5+2.32*0.65*0.67+3.09*1.97+2.37*2.79+1.52*1.37+1.62*1.22+3.99*8.63)*10.764</f>
        <v>796.37141843999984</v>
      </c>
      <c r="E131" s="40">
        <v>0</v>
      </c>
      <c r="F131" s="40">
        <f t="shared" ref="F131:F133" si="3">(D131+E131)*(($F$125)+1)</f>
        <v>1274.1942695039997</v>
      </c>
      <c r="G131" s="135"/>
      <c r="H131" s="136"/>
      <c r="I131" s="34"/>
      <c r="L131" s="51"/>
      <c r="M131" s="51"/>
      <c r="N131" s="34"/>
    </row>
    <row r="132" spans="1:14" s="35" customFormat="1" x14ac:dyDescent="0.25">
      <c r="A132" s="131">
        <f t="shared" si="2"/>
        <v>3</v>
      </c>
      <c r="B132" s="132"/>
      <c r="C132" s="50" t="s">
        <v>194</v>
      </c>
      <c r="D132" s="59">
        <f>(4.48*8.63+2.86*2.79+1.52*1.37+1.62*1.22)*10.764</f>
        <v>545.74125839999999</v>
      </c>
      <c r="E132" s="40">
        <v>0</v>
      </c>
      <c r="F132" s="40">
        <f t="shared" si="3"/>
        <v>873.18601344000001</v>
      </c>
      <c r="G132" s="135"/>
      <c r="H132" s="136"/>
      <c r="I132" s="34"/>
      <c r="L132" s="51"/>
      <c r="M132" s="51"/>
      <c r="N132" s="34"/>
    </row>
    <row r="133" spans="1:14" s="51" customFormat="1" x14ac:dyDescent="0.25">
      <c r="A133" s="131">
        <f t="shared" si="2"/>
        <v>4</v>
      </c>
      <c r="B133" s="132"/>
      <c r="C133" s="50" t="s">
        <v>194</v>
      </c>
      <c r="D133" s="59">
        <f>(4.48*8.63+1.07*2.79+1.79*1.22+1.62*1.22+1.52*1.37)*10.764</f>
        <v>515.49118920000001</v>
      </c>
      <c r="E133" s="40">
        <v>0</v>
      </c>
      <c r="F133" s="40">
        <f t="shared" si="3"/>
        <v>824.78590272000008</v>
      </c>
      <c r="G133" s="135"/>
      <c r="H133" s="136"/>
      <c r="I133" s="34"/>
      <c r="N133" s="34"/>
    </row>
    <row r="134" spans="1:14" s="51" customFormat="1" x14ac:dyDescent="0.25">
      <c r="A134" s="131">
        <f t="shared" si="2"/>
        <v>5</v>
      </c>
      <c r="B134" s="132"/>
      <c r="C134" s="50" t="s">
        <v>194</v>
      </c>
      <c r="D134" s="59">
        <f>(4.9*9.85+1.63*1.07+0.77*1.42)*10.764</f>
        <v>550.06731000000002</v>
      </c>
      <c r="E134" s="50">
        <v>0</v>
      </c>
      <c r="F134" s="50">
        <f>(D134+E134)*(($F$125)+1)</f>
        <v>880.10769600000003</v>
      </c>
      <c r="G134" s="135"/>
      <c r="H134" s="136"/>
      <c r="I134" s="34"/>
      <c r="J134" s="34">
        <f>23000000/F135</f>
        <v>33616.182582880298</v>
      </c>
      <c r="N134" s="34"/>
    </row>
    <row r="135" spans="1:14" s="51" customFormat="1" x14ac:dyDescent="0.25">
      <c r="A135" s="131">
        <f t="shared" si="2"/>
        <v>6</v>
      </c>
      <c r="B135" s="132"/>
      <c r="C135" s="50" t="s">
        <v>194</v>
      </c>
      <c r="D135" s="59">
        <f>(4.08*7.06+2.46*2.79+1.52*1.37+1.62*1.22)*10.764</f>
        <v>427.62142799999992</v>
      </c>
      <c r="E135" s="50">
        <v>0</v>
      </c>
      <c r="F135" s="50">
        <f t="shared" ref="F135:F140" si="4">(D135+E135)*(($F$125)+1)</f>
        <v>684.19428479999988</v>
      </c>
      <c r="G135" s="135"/>
      <c r="H135" s="136"/>
      <c r="I135" s="34"/>
      <c r="N135" s="34"/>
    </row>
    <row r="136" spans="1:14" s="51" customFormat="1" x14ac:dyDescent="0.25">
      <c r="A136" s="131">
        <f t="shared" si="2"/>
        <v>7</v>
      </c>
      <c r="B136" s="132"/>
      <c r="C136" s="50" t="s">
        <v>194</v>
      </c>
      <c r="D136" s="59">
        <f>(4.23*7.06+2.61*2.79+1.52*1.37+1.62*1.22)*10.764</f>
        <v>443.52523799999994</v>
      </c>
      <c r="E136" s="50">
        <v>0</v>
      </c>
      <c r="F136" s="50">
        <f t="shared" si="4"/>
        <v>709.6403808</v>
      </c>
      <c r="G136" s="135"/>
      <c r="H136" s="136"/>
      <c r="I136" s="34"/>
      <c r="N136" s="34"/>
    </row>
    <row r="137" spans="1:14" s="51" customFormat="1" x14ac:dyDescent="0.25">
      <c r="A137" s="131">
        <f t="shared" si="2"/>
        <v>8</v>
      </c>
      <c r="B137" s="132"/>
      <c r="C137" s="50" t="s">
        <v>194</v>
      </c>
      <c r="D137" s="59">
        <f>(4.79*7.06+3.17*2.79+1.52*1.37+1.62*1.22)*10.764</f>
        <v>502.89946199999991</v>
      </c>
      <c r="E137" s="50">
        <v>0</v>
      </c>
      <c r="F137" s="50">
        <f t="shared" si="4"/>
        <v>804.63913919999993</v>
      </c>
      <c r="G137" s="135"/>
      <c r="H137" s="136"/>
      <c r="I137" s="34"/>
      <c r="N137" s="34"/>
    </row>
    <row r="138" spans="1:14" s="51" customFormat="1" x14ac:dyDescent="0.25">
      <c r="A138" s="131">
        <f t="shared" si="2"/>
        <v>9</v>
      </c>
      <c r="B138" s="132"/>
      <c r="C138" s="50" t="s">
        <v>194</v>
      </c>
      <c r="D138" s="59">
        <f>(7.72*9.85+0.6*0.2+1.7*0.45+1.52*1.95+1.93*1.8+1.37*1.8)*10.764</f>
        <v>923.88488399999994</v>
      </c>
      <c r="E138" s="50">
        <v>0</v>
      </c>
      <c r="F138" s="50">
        <f t="shared" si="4"/>
        <v>1478.2158144</v>
      </c>
      <c r="G138" s="135"/>
      <c r="H138" s="136"/>
      <c r="I138" s="34"/>
      <c r="N138" s="34"/>
    </row>
    <row r="139" spans="1:14" s="51" customFormat="1" x14ac:dyDescent="0.25">
      <c r="A139" s="131">
        <f t="shared" si="2"/>
        <v>10</v>
      </c>
      <c r="B139" s="132"/>
      <c r="C139" s="50" t="s">
        <v>194</v>
      </c>
      <c r="D139" s="59">
        <f>(5.25*9.31+3.63*2.79+1.52*1.37+1.62*1.22)*10.764</f>
        <v>678.82089599999995</v>
      </c>
      <c r="E139" s="50">
        <v>0</v>
      </c>
      <c r="F139" s="50">
        <f t="shared" si="4"/>
        <v>1086.1134336</v>
      </c>
      <c r="G139" s="135"/>
      <c r="H139" s="136"/>
      <c r="I139" s="34"/>
      <c r="N139" s="34"/>
    </row>
    <row r="140" spans="1:14" s="51" customFormat="1" x14ac:dyDescent="0.25">
      <c r="A140" s="131">
        <f t="shared" si="2"/>
        <v>11</v>
      </c>
      <c r="B140" s="132"/>
      <c r="C140" s="50" t="s">
        <v>194</v>
      </c>
      <c r="D140" s="59">
        <f>(5.15*9.31+3.33*2.79+1.72*1.37+1.82*1.22)*10.764</f>
        <v>665.36589600000002</v>
      </c>
      <c r="E140" s="50">
        <v>0</v>
      </c>
      <c r="F140" s="50">
        <f t="shared" si="4"/>
        <v>1064.5854336</v>
      </c>
      <c r="G140" s="135"/>
      <c r="H140" s="136"/>
      <c r="I140" s="34"/>
      <c r="N140" s="34"/>
    </row>
    <row r="141" spans="1:14" s="51" customFormat="1" x14ac:dyDescent="0.25">
      <c r="A141" s="131">
        <f t="shared" si="2"/>
        <v>12</v>
      </c>
      <c r="B141" s="132"/>
      <c r="C141" s="50" t="s">
        <v>194</v>
      </c>
      <c r="D141" s="59">
        <f>(6.8*9.85+0.98*0.4+1.37*1.85+1.45*1.85+1.22*2.15)*10.764</f>
        <v>809.58196799999985</v>
      </c>
      <c r="E141" s="50">
        <v>0</v>
      </c>
      <c r="F141" s="50">
        <f>(D141+E141)*(($F$125)+1)</f>
        <v>1295.3311487999999</v>
      </c>
      <c r="G141" s="135"/>
      <c r="H141" s="136"/>
      <c r="I141" s="34"/>
      <c r="N141" s="34"/>
    </row>
    <row r="142" spans="1:14" s="51" customFormat="1" x14ac:dyDescent="0.25">
      <c r="A142" s="131">
        <f t="shared" si="2"/>
        <v>13</v>
      </c>
      <c r="B142" s="132"/>
      <c r="C142" s="50" t="s">
        <v>194</v>
      </c>
      <c r="D142" s="59">
        <f>(4.56*7.06+2.94*2.79+1.52*1.37+1.62*1.22)*10.764</f>
        <v>478.51361999999989</v>
      </c>
      <c r="E142" s="50">
        <v>0</v>
      </c>
      <c r="F142" s="50">
        <f t="shared" ref="F142:F144" si="5">(D142+E142)*(($F$125)+1)</f>
        <v>765.62179199999991</v>
      </c>
      <c r="G142" s="135"/>
      <c r="H142" s="136"/>
      <c r="I142" s="34"/>
      <c r="N142" s="34"/>
    </row>
    <row r="143" spans="1:14" s="51" customFormat="1" x14ac:dyDescent="0.25">
      <c r="A143" s="131">
        <f t="shared" si="2"/>
        <v>14</v>
      </c>
      <c r="B143" s="132"/>
      <c r="C143" s="50" t="s">
        <v>194</v>
      </c>
      <c r="D143" s="59">
        <f>(6.95*7.06+5.33*2.79+1.52*1.37+1.62*1.22)*10.764</f>
        <v>731.91432599999996</v>
      </c>
      <c r="E143" s="50">
        <v>0</v>
      </c>
      <c r="F143" s="50">
        <f t="shared" si="5"/>
        <v>1171.0629216</v>
      </c>
      <c r="G143" s="135"/>
      <c r="H143" s="136"/>
      <c r="I143" s="34"/>
      <c r="N143" s="34"/>
    </row>
    <row r="144" spans="1:14" s="51" customFormat="1" x14ac:dyDescent="0.25">
      <c r="A144" s="131">
        <f t="shared" si="2"/>
        <v>15</v>
      </c>
      <c r="B144" s="132"/>
      <c r="C144" s="50" t="s">
        <v>194</v>
      </c>
      <c r="D144" s="59">
        <f>(4.41*7.06+2.79*2.79+1.52*1.37+1.62*1.22)*10.764</f>
        <v>462.60980999999998</v>
      </c>
      <c r="E144" s="50">
        <v>0</v>
      </c>
      <c r="F144" s="50">
        <f t="shared" si="5"/>
        <v>740.17569600000002</v>
      </c>
      <c r="G144" s="135"/>
      <c r="H144" s="136"/>
      <c r="I144" s="34"/>
      <c r="N144" s="34"/>
    </row>
    <row r="145" spans="1:14" s="51" customFormat="1" x14ac:dyDescent="0.25">
      <c r="A145" s="131">
        <f t="shared" si="2"/>
        <v>16</v>
      </c>
      <c r="B145" s="132"/>
      <c r="C145" s="50" t="s">
        <v>194</v>
      </c>
      <c r="D145" s="59">
        <f>(6.35*8.73+4.73*1.42+5.58*1.7+4.57*1.89+1.39*1.7+1.52*1.22)*10.764</f>
        <v>909.48049919999983</v>
      </c>
      <c r="E145" s="50">
        <v>0</v>
      </c>
      <c r="F145" s="50">
        <f t="shared" ref="F145:F146" si="6">(D145+E145)*(($F$125)+1)</f>
        <v>1455.1687987199998</v>
      </c>
      <c r="G145" s="135"/>
      <c r="H145" s="136"/>
      <c r="I145" s="34"/>
      <c r="N145" s="34"/>
    </row>
    <row r="146" spans="1:14" s="35" customFormat="1" x14ac:dyDescent="0.25">
      <c r="A146" s="131">
        <f t="shared" si="2"/>
        <v>17</v>
      </c>
      <c r="B146" s="132"/>
      <c r="C146" s="50" t="s">
        <v>194</v>
      </c>
      <c r="D146" s="59">
        <f>(7.7*10.95+6.08*2.79+1.52*1.37+1.62*1.22)*10.764</f>
        <v>1133.8474679999999</v>
      </c>
      <c r="E146" s="50">
        <v>0</v>
      </c>
      <c r="F146" s="50">
        <f t="shared" si="6"/>
        <v>1814.1559488</v>
      </c>
      <c r="G146" s="153"/>
      <c r="H146" s="154"/>
      <c r="I146" s="34"/>
      <c r="L146" s="51"/>
      <c r="M146" s="51"/>
      <c r="N146" s="34"/>
    </row>
    <row r="147" spans="1:14" x14ac:dyDescent="0.25">
      <c r="A147" s="131"/>
      <c r="B147" s="235"/>
      <c r="C147" s="235"/>
      <c r="D147" s="235"/>
      <c r="E147" s="235"/>
      <c r="F147" s="235"/>
      <c r="G147" s="235"/>
      <c r="H147" s="132"/>
      <c r="I147" s="34"/>
    </row>
    <row r="148" spans="1:14" s="35" customFormat="1" ht="47.25" x14ac:dyDescent="0.25">
      <c r="A148" s="236" t="s">
        <v>120</v>
      </c>
      <c r="B148" s="236" t="s">
        <v>121</v>
      </c>
      <c r="C148" s="166" t="s">
        <v>57</v>
      </c>
      <c r="D148" s="166" t="s">
        <v>58</v>
      </c>
      <c r="E148" s="241" t="s">
        <v>59</v>
      </c>
      <c r="F148" s="41" t="s">
        <v>150</v>
      </c>
      <c r="G148" s="236" t="s">
        <v>60</v>
      </c>
      <c r="H148" s="243"/>
      <c r="I148" s="34"/>
      <c r="L148" s="51"/>
      <c r="M148" s="51"/>
    </row>
    <row r="149" spans="1:14" s="51" customFormat="1" x14ac:dyDescent="0.25">
      <c r="A149" s="237"/>
      <c r="B149" s="237"/>
      <c r="C149" s="167"/>
      <c r="D149" s="167"/>
      <c r="E149" s="242"/>
      <c r="F149" s="13">
        <v>0.55000000000000004</v>
      </c>
      <c r="G149" s="237"/>
      <c r="H149" s="244"/>
      <c r="J149" s="34"/>
    </row>
    <row r="150" spans="1:14" s="51" customFormat="1" x14ac:dyDescent="0.25">
      <c r="A150" s="155" t="s">
        <v>197</v>
      </c>
      <c r="B150" s="156"/>
      <c r="C150" s="156"/>
      <c r="D150" s="156"/>
      <c r="E150" s="156"/>
      <c r="F150" s="156"/>
      <c r="G150" s="156"/>
      <c r="H150" s="157"/>
      <c r="J150" s="34"/>
    </row>
    <row r="151" spans="1:14" s="51" customFormat="1" x14ac:dyDescent="0.25">
      <c r="A151" s="128" t="s">
        <v>195</v>
      </c>
      <c r="B151" s="129"/>
      <c r="C151" s="129"/>
      <c r="D151" s="129"/>
      <c r="E151" s="129"/>
      <c r="F151" s="129"/>
      <c r="G151" s="129"/>
      <c r="H151" s="130"/>
      <c r="J151" s="34"/>
    </row>
    <row r="152" spans="1:14" s="35" customFormat="1" x14ac:dyDescent="0.25">
      <c r="A152" s="128" t="s">
        <v>254</v>
      </c>
      <c r="B152" s="129"/>
      <c r="C152" s="129"/>
      <c r="D152" s="129"/>
      <c r="E152" s="129"/>
      <c r="F152" s="129"/>
      <c r="G152" s="129"/>
      <c r="H152" s="130"/>
      <c r="I152" s="35">
        <f>1</f>
        <v>1</v>
      </c>
      <c r="J152" s="34"/>
      <c r="L152" s="51"/>
      <c r="M152" s="51"/>
    </row>
    <row r="153" spans="1:14" s="35" customFormat="1" ht="15.75" customHeight="1" x14ac:dyDescent="0.25">
      <c r="A153" s="128" t="s">
        <v>199</v>
      </c>
      <c r="B153" s="129"/>
      <c r="C153" s="129"/>
      <c r="D153" s="129"/>
      <c r="E153" s="129"/>
      <c r="F153" s="129"/>
      <c r="G153" s="129"/>
      <c r="H153" s="130"/>
      <c r="I153" s="34"/>
      <c r="J153" s="34"/>
      <c r="L153" s="51"/>
      <c r="M153" s="51"/>
      <c r="N153" s="34"/>
    </row>
    <row r="154" spans="1:14" s="35" customFormat="1" x14ac:dyDescent="0.25">
      <c r="A154" s="131">
        <v>1</v>
      </c>
      <c r="B154" s="132"/>
      <c r="C154" s="49" t="s">
        <v>202</v>
      </c>
      <c r="D154" s="59">
        <f>(4.57*7.47+1.67*4.11+4.72*2.44+3.65*4.27+3.61*4.27+3.66*4.27+3.66*5.34+2.59*1.52+3.52*1.52+1.2*1.52+1.52*2.44+1.67*3.04+3.32*1+1.67*1.37+1.35*0.52+2.16*1.52+1.84*0.6+4.57*1.52+2.64*1.52)*10.764</f>
        <v>1724.8696451999999</v>
      </c>
      <c r="E154" s="40">
        <v>0</v>
      </c>
      <c r="F154" s="40">
        <f>D154*(($F$149)+1)+(IF(E154&lt;101,E154,IF(E154&lt;201,E154/2,IF(E154&lt;=301,E154/3,E154/4))))</f>
        <v>2673.5479500599999</v>
      </c>
      <c r="G154" s="133" t="str">
        <f>A153</f>
        <v>6th Floor for Residential (Part Refuge Area)</v>
      </c>
      <c r="H154" s="134"/>
      <c r="I154" s="34">
        <f>(4.57*7.47+1.67*4.11+4.72*2.44+3.65*4.27+3.51*4.27+3.51*4.27+3.66*5.94+2.59*1.52+3.52*1.52+1.2*1.52+1.42*2.44+1.42*2.44+3.32*1+1.67*1.37+1.35*0.52+2.16*1.52+1.52*2.44+4.57*1.52+2.64*1.52)*10.764</f>
        <v>1745.0769024000001</v>
      </c>
      <c r="L154" s="51"/>
      <c r="M154" s="51"/>
      <c r="N154" s="34"/>
    </row>
    <row r="155" spans="1:14" s="35" customFormat="1" x14ac:dyDescent="0.25">
      <c r="A155" s="131">
        <f t="shared" ref="A155:A156" si="7">A154+1</f>
        <v>2</v>
      </c>
      <c r="B155" s="132"/>
      <c r="C155" s="141" t="s">
        <v>201</v>
      </c>
      <c r="D155" s="142"/>
      <c r="E155" s="142"/>
      <c r="F155" s="143"/>
      <c r="G155" s="135"/>
      <c r="H155" s="136"/>
      <c r="I155" s="34"/>
      <c r="L155" s="51"/>
      <c r="M155" s="34">
        <f>36000000/F156</f>
        <v>14610.403041405818</v>
      </c>
      <c r="N155" s="34"/>
    </row>
    <row r="156" spans="1:14" s="51" customFormat="1" x14ac:dyDescent="0.25">
      <c r="A156" s="131">
        <f t="shared" si="7"/>
        <v>3</v>
      </c>
      <c r="B156" s="132"/>
      <c r="C156" s="49" t="s">
        <v>202</v>
      </c>
      <c r="D156" s="59">
        <f>(4.58*7.02+0.15*2.9+2.92*4.27+3.49*4.27+3.5*3.96+4.12*4.27+1.23*1.68+3.66*4.27+2.74*1.53+1.37*2.44+9.74*1.22+2.44*1.52+1.52*1.52+1.37*1.52+1.68*2.44+4.58*1.52)*10.764</f>
        <v>1589.6759579999998</v>
      </c>
      <c r="E156" s="40">
        <v>0</v>
      </c>
      <c r="F156" s="40">
        <f>D156*(($F$149)+1)+(IF(E156&lt;101,E156,IF(E156&lt;201,E156/2,IF(E156&lt;=301,E156/3,E156/4))))</f>
        <v>2463.9977348999996</v>
      </c>
      <c r="G156" s="153"/>
      <c r="H156" s="154"/>
      <c r="I156" s="51">
        <f>6+6+1</f>
        <v>13</v>
      </c>
      <c r="J156" s="34"/>
    </row>
    <row r="157" spans="1:14" s="51" customFormat="1" ht="15.75" customHeight="1" x14ac:dyDescent="0.25">
      <c r="A157" s="128" t="s">
        <v>232</v>
      </c>
      <c r="B157" s="129"/>
      <c r="C157" s="129"/>
      <c r="D157" s="129"/>
      <c r="E157" s="129"/>
      <c r="F157" s="129"/>
      <c r="G157" s="129"/>
      <c r="H157" s="130"/>
      <c r="I157" s="34"/>
      <c r="N157" s="34"/>
    </row>
    <row r="158" spans="1:14" s="51" customFormat="1" x14ac:dyDescent="0.25">
      <c r="A158" s="131">
        <v>1</v>
      </c>
      <c r="B158" s="132"/>
      <c r="C158" s="49" t="s">
        <v>202</v>
      </c>
      <c r="D158" s="59">
        <f>(4.57*7.47+1.67*4.11+4.72*2.44+3.65*4.27+3.61*4.27+3.66*4.27+3.66*5.34+2.59*1.52+3.52*1.52+1.2*1.52+1.52*2.44+1.67*3.04+3.32*1+1.67*1.37+1.35*0.52+2.16*1.52+1.84*0.6+4.57*1.52+2.64*1.52)*10.764</f>
        <v>1724.8696451999999</v>
      </c>
      <c r="E158" s="50">
        <v>0</v>
      </c>
      <c r="F158" s="50">
        <f>D158*(($F$149)+1)+(IF(E158&lt;101,E158,IF(E158&lt;201,E158/2,IF(E158&lt;=301,E158/3,E158/4))))</f>
        <v>2673.5479500599999</v>
      </c>
      <c r="G158" s="133" t="str">
        <f>A157</f>
        <v xml:space="preserve">7th to 12th, 14th to 19th &amp; 21st Floor </v>
      </c>
      <c r="H158" s="134"/>
      <c r="I158" s="34"/>
      <c r="J158" s="34"/>
      <c r="K158" s="34"/>
      <c r="N158" s="34"/>
    </row>
    <row r="159" spans="1:14" s="51" customFormat="1" x14ac:dyDescent="0.25">
      <c r="A159" s="131">
        <f t="shared" ref="A159:A160" si="8">A158+1</f>
        <v>2</v>
      </c>
      <c r="B159" s="132"/>
      <c r="C159" s="49" t="s">
        <v>205</v>
      </c>
      <c r="D159" s="59">
        <f>(3.72*7.02+0.15*3.21+2.82*4.12+3.5*4.12+3.67*3.65+4.27*3.06+0.75*1.52+1.68*1.52+8.74*1.11+1.67*2.44+2.45*1.52+1.23*1.68+2.44*1.53+3.72*1.52)*10.764</f>
        <v>1202.8102632</v>
      </c>
      <c r="E159" s="50">
        <v>0</v>
      </c>
      <c r="F159" s="50">
        <f>D159*(($F$149)+1)+(IF(E159&lt;101,E159,IF(E159&lt;201,E159/2,IF(E159&lt;=301,E159/3,E159/4))))</f>
        <v>1864.35590796</v>
      </c>
      <c r="G159" s="135"/>
      <c r="H159" s="136"/>
      <c r="I159" s="34"/>
      <c r="M159" s="34">
        <f>33500000/F160</f>
        <v>17221.118510198605</v>
      </c>
      <c r="N159" s="34"/>
    </row>
    <row r="160" spans="1:14" s="51" customFormat="1" x14ac:dyDescent="0.25">
      <c r="A160" s="131">
        <f t="shared" si="8"/>
        <v>3</v>
      </c>
      <c r="B160" s="132"/>
      <c r="C160" s="49" t="s">
        <v>202</v>
      </c>
      <c r="D160" s="59">
        <f>(4.58*7.02+0.15*2.9+2.82*4.12+3.5*4.12+3.67*3.65+4.27*3.06+1.23*1.68+2.44*1.53+1.67*2.44+1.68*1.52+2.45*1.52+8.74*1.11+3.72*1.52)*10.764</f>
        <v>1255.0231980000001</v>
      </c>
      <c r="E160" s="50">
        <v>0</v>
      </c>
      <c r="F160" s="50">
        <f>D160*(($F$149)+1)+(IF(E160&lt;101,E160,IF(E160&lt;201,E160/2,IF(E160&lt;=301,E160/3,E160/4))))</f>
        <v>1945.2859569000002</v>
      </c>
      <c r="G160" s="153"/>
      <c r="H160" s="154"/>
      <c r="I160" s="51">
        <f>1</f>
        <v>1</v>
      </c>
      <c r="J160" s="34"/>
    </row>
    <row r="161" spans="1:14" s="51" customFormat="1" ht="15.75" customHeight="1" x14ac:dyDescent="0.25">
      <c r="A161" s="128" t="s">
        <v>233</v>
      </c>
      <c r="B161" s="129"/>
      <c r="C161" s="129"/>
      <c r="D161" s="129"/>
      <c r="E161" s="129"/>
      <c r="F161" s="129"/>
      <c r="G161" s="129"/>
      <c r="H161" s="130"/>
      <c r="I161" s="34"/>
      <c r="J161" s="34"/>
      <c r="N161" s="34"/>
    </row>
    <row r="162" spans="1:14" s="51" customFormat="1" x14ac:dyDescent="0.25">
      <c r="A162" s="131">
        <v>1</v>
      </c>
      <c r="B162" s="132"/>
      <c r="C162" s="49" t="s">
        <v>202</v>
      </c>
      <c r="D162" s="59">
        <f>(4.57*7.47+1.67*4.11+4.72*2.44+3.65*4.27+3.61*4.27+3.66*4.27+3.66*5.34+2.59*1.52+3.52*1.52+1.2*1.52+1.52*2.44+1.67*3.04+3.32*1+1.67*1.37+1.35*0.52+2.16*1.52+1.84*0.6+4.57*1.52+2.64*1.52)*10.764</f>
        <v>1724.8696451999999</v>
      </c>
      <c r="E162" s="73">
        <v>0</v>
      </c>
      <c r="F162" s="73">
        <f>D162*(($F$149)+1)+(IF(E162&lt;101,E162,IF(E162&lt;201,E162/2,IF(E162&lt;=301,E162/3,E162/4))))</f>
        <v>2673.5479500599999</v>
      </c>
      <c r="G162" s="133" t="str">
        <f>A161</f>
        <v>13th Floor for Residential (Part Refuge Area)</v>
      </c>
      <c r="H162" s="134"/>
      <c r="I162" s="34"/>
      <c r="N162" s="34"/>
    </row>
    <row r="163" spans="1:14" s="51" customFormat="1" x14ac:dyDescent="0.25">
      <c r="A163" s="131">
        <f t="shared" ref="A163:A164" si="9">A162+1</f>
        <v>2</v>
      </c>
      <c r="B163" s="132"/>
      <c r="C163" s="141" t="s">
        <v>201</v>
      </c>
      <c r="D163" s="142"/>
      <c r="E163" s="142"/>
      <c r="F163" s="143"/>
      <c r="G163" s="135"/>
      <c r="H163" s="136"/>
      <c r="I163" s="34"/>
      <c r="M163" s="34">
        <f>36000000/F164</f>
        <v>14610.403041405818</v>
      </c>
      <c r="N163" s="34"/>
    </row>
    <row r="164" spans="1:14" s="51" customFormat="1" x14ac:dyDescent="0.25">
      <c r="A164" s="131">
        <f t="shared" si="9"/>
        <v>3</v>
      </c>
      <c r="B164" s="132"/>
      <c r="C164" s="49" t="s">
        <v>202</v>
      </c>
      <c r="D164" s="59">
        <f>(4.58*7.02+0.15*2.9+2.92*4.27+3.49*4.27+3.5*3.96+4.12*4.27+1.23*1.68+3.66*4.27+2.74*1.53+1.37*2.44+9.74*1.22+2.44*1.52+1.52*1.52+1.37*1.52+1.68*2.44+4.58*1.52)*10.764</f>
        <v>1589.6759579999998</v>
      </c>
      <c r="E164" s="73">
        <v>0</v>
      </c>
      <c r="F164" s="73">
        <f>D164*(($F$149)+1)+(IF(E164&lt;101,E164,IF(E164&lt;201,E164/2,IF(E164&lt;=301,E164/3,E164/4))))</f>
        <v>2463.9977348999996</v>
      </c>
      <c r="G164" s="153"/>
      <c r="H164" s="154"/>
      <c r="I164" s="51">
        <f>1</f>
        <v>1</v>
      </c>
      <c r="J164" s="34"/>
    </row>
    <row r="165" spans="1:14" s="51" customFormat="1" ht="15.75" customHeight="1" x14ac:dyDescent="0.25">
      <c r="A165" s="128" t="s">
        <v>234</v>
      </c>
      <c r="B165" s="129"/>
      <c r="C165" s="129"/>
      <c r="D165" s="129"/>
      <c r="E165" s="129"/>
      <c r="F165" s="129"/>
      <c r="G165" s="129"/>
      <c r="H165" s="130"/>
      <c r="I165" s="34"/>
      <c r="J165" s="34"/>
      <c r="N165" s="34"/>
    </row>
    <row r="166" spans="1:14" s="51" customFormat="1" x14ac:dyDescent="0.25">
      <c r="A166" s="131">
        <v>1</v>
      </c>
      <c r="B166" s="132"/>
      <c r="C166" s="49" t="s">
        <v>202</v>
      </c>
      <c r="D166" s="59">
        <f>(4.57*7.47+1.67*4.11+4.72*2.44+3.65*4.27+3.61*4.27+3.66*4.27+3.66*5.34+2.59*1.52+3.52*1.52+1.2*1.52+1.52*2.44+1.67*3.04+3.32*1+1.67*1.37+1.35*0.52+2.16*1.52+1.84*0.6+4.57*1.52+2.64*1.52)*10.764</f>
        <v>1724.8696451999999</v>
      </c>
      <c r="E166" s="73">
        <v>0</v>
      </c>
      <c r="F166" s="73">
        <f>D166*(($F$149)+1)+(IF(E166&lt;101,E166,IF(E166&lt;201,E166/2,IF(E166&lt;=301,E166/3,E166/4))))</f>
        <v>2673.5479500599999</v>
      </c>
      <c r="G166" s="133" t="str">
        <f>A165</f>
        <v>20th Floor for Residential (Part Refuge Area)</v>
      </c>
      <c r="H166" s="134"/>
      <c r="I166" s="34"/>
      <c r="N166" s="34"/>
    </row>
    <row r="167" spans="1:14" s="51" customFormat="1" x14ac:dyDescent="0.25">
      <c r="A167" s="131">
        <f t="shared" ref="A167:A168" si="10">A166+1</f>
        <v>2</v>
      </c>
      <c r="B167" s="132"/>
      <c r="C167" s="141" t="s">
        <v>201</v>
      </c>
      <c r="D167" s="142"/>
      <c r="E167" s="142"/>
      <c r="F167" s="143"/>
      <c r="G167" s="135"/>
      <c r="H167" s="136"/>
      <c r="I167" s="34"/>
      <c r="M167" s="34">
        <f>36000000/F168</f>
        <v>14610.403041405818</v>
      </c>
      <c r="N167" s="34"/>
    </row>
    <row r="168" spans="1:14" s="51" customFormat="1" x14ac:dyDescent="0.25">
      <c r="A168" s="131">
        <f t="shared" si="10"/>
        <v>3</v>
      </c>
      <c r="B168" s="132"/>
      <c r="C168" s="49" t="s">
        <v>202</v>
      </c>
      <c r="D168" s="59">
        <f>(4.58*7.02+0.15*2.9+2.92*4.27+3.49*4.27+3.5*3.96+4.12*4.27+1.23*1.68+3.66*4.27+2.74*1.53+1.37*2.44+9.74*1.22+2.44*1.52+1.52*1.52+1.37*1.52+1.68*2.44+4.58*1.52)*10.764</f>
        <v>1589.6759579999998</v>
      </c>
      <c r="E168" s="73">
        <v>0</v>
      </c>
      <c r="F168" s="73">
        <f>D168*(($F$149)+1)+(IF(E168&lt;101,E168,IF(E168&lt;201,E168/2,IF(E168&lt;=301,E168/3,E168/4))))</f>
        <v>2463.9977348999996</v>
      </c>
      <c r="G168" s="153"/>
      <c r="H168" s="154"/>
      <c r="I168" s="51">
        <f>1</f>
        <v>1</v>
      </c>
      <c r="J168" s="34"/>
    </row>
    <row r="169" spans="1:14" s="51" customFormat="1" ht="15.75" customHeight="1" x14ac:dyDescent="0.25">
      <c r="A169" s="128" t="s">
        <v>235</v>
      </c>
      <c r="B169" s="129"/>
      <c r="C169" s="129"/>
      <c r="D169" s="129"/>
      <c r="E169" s="129"/>
      <c r="F169" s="129"/>
      <c r="G169" s="129"/>
      <c r="H169" s="130"/>
      <c r="I169" s="34"/>
      <c r="N169" s="34"/>
    </row>
    <row r="170" spans="1:14" s="51" customFormat="1" x14ac:dyDescent="0.25">
      <c r="A170" s="131">
        <v>1</v>
      </c>
      <c r="B170" s="132"/>
      <c r="C170" s="49" t="s">
        <v>202</v>
      </c>
      <c r="D170" s="59">
        <f>(4.57*7.47+1.67*4.11+4.72*2.44+3.65*4.27+3.61*4.27+3.66*4.27+3.66*5.34+2.59*1.52+3.52*1.52+1.2*1.52+1.52*2.44+1.67*3.04+3.32*1+1.67*1.37+1.35*0.52+2.16*1.52+1.84*0.6+4.57*1.52+2.64*1.52)*10.764</f>
        <v>1724.8696451999999</v>
      </c>
      <c r="E170" s="73">
        <v>0</v>
      </c>
      <c r="F170" s="73">
        <f>D170*(($F$149)+1)+(IF(E170&lt;101,E170,IF(E170&lt;201,E170/2,IF(E170&lt;=301,E170/3,E170/4))))</f>
        <v>2673.5479500599999</v>
      </c>
      <c r="G170" s="133" t="str">
        <f>A169</f>
        <v>22nd Floor</v>
      </c>
      <c r="H170" s="134"/>
      <c r="I170" s="34"/>
      <c r="J170" s="34"/>
      <c r="K170" s="34"/>
      <c r="N170" s="34"/>
    </row>
    <row r="171" spans="1:14" s="51" customFormat="1" x14ac:dyDescent="0.25">
      <c r="A171" s="131">
        <f t="shared" ref="A171" si="11">A170+1</f>
        <v>2</v>
      </c>
      <c r="B171" s="132"/>
      <c r="C171" s="49" t="s">
        <v>236</v>
      </c>
      <c r="D171" s="59">
        <f>(6.72*7.93+0.15*3.21+1.73*5.65+2.97*4.07+1.82*2.39+4.27*3.06+0.75*1.52+3.37*4.56+0.45*3.38+3.49*5.18+3.5*4.27+0.9*2.28+4.12*4.27+3.66*1.52+2.92*4.27+1.73*2.13+1.05*1.52+2.74*1.52+3.66*2.6+1.52*4.57+2.45*2.13+1.83*2.44+8.69*1.22+1.69*1.52+2.45*1.52+3.22*1.53+1.68*1.52+3.65*3.23+2.4*1.6+1.7*1.6+9.34*1.11+8.45*1.52)*10.764</f>
        <v>3049.4885615999997</v>
      </c>
      <c r="E171" s="73">
        <v>0</v>
      </c>
      <c r="F171" s="73">
        <f>D171*(($F$149)+1)+(IF(E171&lt;101,E171,IF(E171&lt;201,E171/2,IF(E171&lt;=301,E171/3,E171/4))))</f>
        <v>4726.7072704799994</v>
      </c>
      <c r="G171" s="135"/>
      <c r="H171" s="136"/>
      <c r="I171" s="51">
        <f>1</f>
        <v>1</v>
      </c>
      <c r="J171" s="34"/>
    </row>
    <row r="172" spans="1:14" s="51" customFormat="1" ht="15.75" customHeight="1" x14ac:dyDescent="0.25">
      <c r="A172" s="128" t="s">
        <v>237</v>
      </c>
      <c r="B172" s="129"/>
      <c r="C172" s="129"/>
      <c r="D172" s="129"/>
      <c r="E172" s="129"/>
      <c r="F172" s="129"/>
      <c r="G172" s="129"/>
      <c r="H172" s="130"/>
      <c r="I172" s="34"/>
      <c r="N172" s="34"/>
    </row>
    <row r="173" spans="1:14" s="51" customFormat="1" x14ac:dyDescent="0.25">
      <c r="A173" s="131">
        <v>1</v>
      </c>
      <c r="B173" s="132"/>
      <c r="C173" s="49" t="s">
        <v>202</v>
      </c>
      <c r="D173" s="59">
        <f>(4.57*7.47+1.67*4.11+4.72*2.44+3.65*4.27+3.61*4.27+3.66*4.27+3.66*5.34+2.59*1.52+3.52*1.52+1.2*1.52+1.52*2.44+1.67*3.04+3.32*1+1.67*1.37+1.35*0.52+2.16*1.52+1.84*0.6+4.57*1.52+2.64*1.52)*10.764</f>
        <v>1724.8696451999999</v>
      </c>
      <c r="E173" s="73">
        <v>0</v>
      </c>
      <c r="F173" s="73">
        <f>D173*(($F$149)+1)+(IF(E173&lt;101,E173,IF(E173&lt;201,E173/2,IF(E173&lt;=301,E173/3,E173/4))))</f>
        <v>2673.5479500599999</v>
      </c>
      <c r="G173" s="133" t="str">
        <f>A172</f>
        <v>23rd Floor</v>
      </c>
      <c r="H173" s="134"/>
      <c r="I173" s="34"/>
      <c r="J173" s="34"/>
      <c r="K173" s="34"/>
      <c r="N173" s="34"/>
    </row>
    <row r="174" spans="1:14" s="51" customFormat="1" x14ac:dyDescent="0.25">
      <c r="A174" s="131">
        <f t="shared" ref="A174" si="12">A173+1</f>
        <v>2</v>
      </c>
      <c r="B174" s="132"/>
      <c r="C174" s="49" t="s">
        <v>236</v>
      </c>
      <c r="D174" s="59">
        <f>(6.72*7.93+0.15*3.21+1.73*5.65+2.97*4.07+1.82*2.39+4.27*3.06+0.75*1.52+3.37*4.56+0.45*3.38+3.49*5.18+3.5*4.27+0.9*2.28+4.12*4.27+3.66*1.52+2.92*4.27+1.73*2.13+1.05*1.52+2.74*1.52+3.66*2.6+1.52*4.57+2.45*2.13+1.83*2.44+8.69*1.22+1.69*1.52+2.45*1.52+3.22*1.53+1.68*1.52+3.65*3.23+2.4*1.6+1.7*1.6+9.34*1.11+8.45*1.52)*10.764</f>
        <v>3049.4885615999997</v>
      </c>
      <c r="E174" s="73">
        <v>0</v>
      </c>
      <c r="F174" s="73">
        <f>D174*(($F$149)+1)+(IF(E174&lt;101,E174,IF(E174&lt;201,E174/2,IF(E174&lt;=301,E174/3,E174/4))))</f>
        <v>4726.7072704799994</v>
      </c>
      <c r="G174" s="135"/>
      <c r="H174" s="136"/>
      <c r="I174" s="51">
        <f>2</f>
        <v>2</v>
      </c>
      <c r="J174" s="34"/>
    </row>
    <row r="175" spans="1:14" s="51" customFormat="1" ht="15.75" customHeight="1" x14ac:dyDescent="0.25">
      <c r="A175" s="128" t="s">
        <v>255</v>
      </c>
      <c r="B175" s="129"/>
      <c r="C175" s="129"/>
      <c r="D175" s="129"/>
      <c r="E175" s="129"/>
      <c r="F175" s="129"/>
      <c r="G175" s="129"/>
      <c r="H175" s="130"/>
      <c r="I175" s="34"/>
      <c r="N175" s="34"/>
    </row>
    <row r="176" spans="1:14" s="51" customFormat="1" x14ac:dyDescent="0.25">
      <c r="A176" s="131">
        <v>1</v>
      </c>
      <c r="B176" s="132"/>
      <c r="C176" s="49" t="s">
        <v>202</v>
      </c>
      <c r="D176" s="59">
        <f>(4.57*7.47+1.67*4.11+4.72*2.44+3.65*4.27+3.61*4.27+3.66*4.27+3.66*5.34+2.59*1.52+3.52*1.52+1.2*1.52+1.52*2.44+1.67*3.04+3.32*1+1.67*1.37+1.35*0.52+2.16*1.52+1.84*0.6+4.57*1.52+2.64*1.52)*10.764</f>
        <v>1724.8696451999999</v>
      </c>
      <c r="E176" s="73">
        <v>0</v>
      </c>
      <c r="F176" s="73">
        <f>D176*(($F$149)+1)+(IF(E176&lt;101,E176,IF(E176&lt;201,E176/2,IF(E176&lt;=301,E176/3,E176/4))))</f>
        <v>2673.5479500599999</v>
      </c>
      <c r="G176" s="133" t="str">
        <f>A175</f>
        <v>24th &amp; 25th Floor</v>
      </c>
      <c r="H176" s="134"/>
      <c r="I176" s="34"/>
      <c r="J176" s="34"/>
      <c r="K176" s="34"/>
      <c r="N176" s="34"/>
    </row>
    <row r="177" spans="1:14" s="51" customFormat="1" x14ac:dyDescent="0.25">
      <c r="A177" s="131">
        <f t="shared" ref="A177" si="13">A176+1</f>
        <v>2</v>
      </c>
      <c r="B177" s="132"/>
      <c r="C177" s="49" t="s">
        <v>236</v>
      </c>
      <c r="D177" s="59">
        <f>(6.72*7.93+0.15*3.21+1.73*5.65+2.97*4.07+1.82*2.39+4.27*3.06+0.75*1.52+3.37*4.56+0.45*3.38+3.49*5.18+3.5*4.27+0.9*2.28+4.12*4.27+3.66*1.52+2.92*4.27+1.73*2.13+1.05*1.52+2.74*1.52+3.66*2.6+1.52*4.57+2.45*2.13+1.83*2.44+8.69*1.22+1.69*1.52+2.45*1.52+3.22*1.53+1.68*1.52+3.65*3.23+2.4*1.6+1.7*1.6+9.34*1.11+8.45*1.52)*10.764</f>
        <v>3049.4885615999997</v>
      </c>
      <c r="E177" s="73">
        <v>0</v>
      </c>
      <c r="F177" s="73">
        <f>D177*(($F$149)+1)+(IF(E177&lt;101,E177,IF(E177&lt;201,E177/2,IF(E177&lt;=301,E177/3,E177/4))))</f>
        <v>4726.7072704799994</v>
      </c>
      <c r="G177" s="135"/>
      <c r="H177" s="136"/>
      <c r="I177" s="51">
        <f>1</f>
        <v>1</v>
      </c>
      <c r="J177" s="34"/>
    </row>
    <row r="178" spans="1:14" s="51" customFormat="1" ht="15.75" customHeight="1" x14ac:dyDescent="0.25">
      <c r="A178" s="128" t="s">
        <v>238</v>
      </c>
      <c r="B178" s="129"/>
      <c r="C178" s="129"/>
      <c r="D178" s="129"/>
      <c r="E178" s="129"/>
      <c r="F178" s="129"/>
      <c r="G178" s="129"/>
      <c r="H178" s="130"/>
      <c r="I178" s="34"/>
      <c r="N178" s="34"/>
    </row>
    <row r="179" spans="1:14" s="51" customFormat="1" x14ac:dyDescent="0.25">
      <c r="A179" s="131">
        <v>1</v>
      </c>
      <c r="B179" s="132"/>
      <c r="C179" s="49" t="s">
        <v>202</v>
      </c>
      <c r="D179" s="59">
        <f>(4.57*7.47+1.67*4.11+4.72*2.44+3.65*4.27+3.61*4.27+3.66*4.27+3.66*5.34+2.59*1.52+3.52*1.52+1.2*1.52+1.52*2.44+1.67*3.04+3.32*1+1.67*1.37+1.35*0.52+2.16*1.52+1.84*0.6+4.57*1.52+2.64*1.52)*10.764</f>
        <v>1724.8696451999999</v>
      </c>
      <c r="E179" s="73">
        <v>0</v>
      </c>
      <c r="F179" s="73">
        <f>D179*(($F$149)+1)+(IF(E179&lt;101,E179,IF(E179&lt;201,E179/2,IF(E179&lt;=301,E179/3,E179/4))))</f>
        <v>2673.5479500599999</v>
      </c>
      <c r="G179" s="133" t="str">
        <f>A178</f>
        <v>26th Floor</v>
      </c>
      <c r="H179" s="134"/>
      <c r="I179" s="34"/>
      <c r="J179" s="34"/>
      <c r="K179" s="34"/>
      <c r="N179" s="34"/>
    </row>
    <row r="180" spans="1:14" s="51" customFormat="1" x14ac:dyDescent="0.25">
      <c r="A180" s="131">
        <f t="shared" ref="A180" si="14">A179+1</f>
        <v>2</v>
      </c>
      <c r="B180" s="132"/>
      <c r="C180" s="49" t="s">
        <v>236</v>
      </c>
      <c r="D180" s="59">
        <f>(6.72*7.93+0.15*3.21+1.73*5.65+2.97*4.07+1.82*2.39+4.27*3.06+0.75*1.52+3.37*4.56+0.45*3.38+3.49*5.18+3.5*4.27+0.9*2.28+4.12*4.27+3.66*1.52+2.92*4.27+1.73*2.13+1.05*1.52+2.74*1.52+3.66*2.6+1.52*4.57+2.45*2.13+1.83*2.44+8.69*1.22+1.69*1.52+2.45*1.52+3.22*1.53+1.68*1.52+3.65*3.23+2.4*1.6+1.7*1.6+9.34*1.11+8.45*1.52)*10.764</f>
        <v>3049.4885615999997</v>
      </c>
      <c r="E180" s="73">
        <v>0</v>
      </c>
      <c r="F180" s="73">
        <f>D180*(($F$149)+1)+(IF(E180&lt;101,E180,IF(E180&lt;201,E180/2,IF(E180&lt;=301,E180/3,E180/4))))</f>
        <v>4726.7072704799994</v>
      </c>
      <c r="G180" s="135"/>
      <c r="H180" s="136"/>
      <c r="I180" s="51">
        <f>1</f>
        <v>1</v>
      </c>
      <c r="J180" s="34"/>
    </row>
    <row r="181" spans="1:14" s="51" customFormat="1" ht="15.75" customHeight="1" x14ac:dyDescent="0.25">
      <c r="A181" s="128" t="s">
        <v>239</v>
      </c>
      <c r="B181" s="129"/>
      <c r="C181" s="129"/>
      <c r="D181" s="129"/>
      <c r="E181" s="129"/>
      <c r="F181" s="129"/>
      <c r="G181" s="129"/>
      <c r="H181" s="130"/>
      <c r="I181" s="34"/>
      <c r="N181" s="34"/>
    </row>
    <row r="182" spans="1:14" s="51" customFormat="1" x14ac:dyDescent="0.25">
      <c r="A182" s="131">
        <v>1</v>
      </c>
      <c r="B182" s="132"/>
      <c r="C182" s="49" t="s">
        <v>202</v>
      </c>
      <c r="D182" s="59">
        <f>(4.57*7.47+1.67*4.11+4.72*2.44+3.65*4.27+3.61*4.27+3.66*4.27+3.66*5.34+2.59*1.52+3.52*1.52+1.2*1.52+1.52*2.44+1.67*3.04+3.32*1+1.67*1.37+1.35*0.52+2.16*1.52+1.84*0.6+4.57*1.52+2.64*1.52)*10.764</f>
        <v>1724.8696451999999</v>
      </c>
      <c r="E182" s="73">
        <v>0</v>
      </c>
      <c r="F182" s="73">
        <f>D182*(($F$149)+1)+(IF(E182&lt;101,E182,IF(E182&lt;201,E182/2,IF(E182&lt;=301,E182/3,E182/4))))</f>
        <v>2673.5479500599999</v>
      </c>
      <c r="G182" s="133" t="str">
        <f>A181</f>
        <v>27th Floor for Residential (Part Refuge Area)</v>
      </c>
      <c r="H182" s="134"/>
      <c r="I182" s="34"/>
      <c r="J182" s="34"/>
      <c r="K182" s="34"/>
      <c r="N182" s="34"/>
    </row>
    <row r="183" spans="1:14" s="51" customFormat="1" x14ac:dyDescent="0.25">
      <c r="A183" s="131" t="s">
        <v>240</v>
      </c>
      <c r="B183" s="132"/>
      <c r="C183" s="141" t="s">
        <v>201</v>
      </c>
      <c r="D183" s="142"/>
      <c r="E183" s="142"/>
      <c r="F183" s="143"/>
      <c r="G183" s="135"/>
      <c r="H183" s="136"/>
      <c r="I183" s="78" t="s">
        <v>242</v>
      </c>
      <c r="J183" s="34">
        <f>8.45*4.5+3.37*0.63+2.1*2.08+1.13*1.28+3.67*3.2+2.97*4.07+4.27*3.06+0.75*1.52+3.82*4.56+1.18*1.68+3.96*6.02+1.98*1+3.65*4.98+2.92*3.96+1.83*2.13+3.07*1+2.49*1.53+1.67*2.39+2.45*1.52+1.68*1.52+8.74*1.11+8.45*1.52</f>
        <v>202.5534999999999</v>
      </c>
      <c r="K183" s="34">
        <f>8.45*5.13+5.4*2.8+4.27*3.06+0.75*1.52+3.37*4.56+0.45*3.38+3.49*5.18+3.5*4.27+4.12*4.27+2.92*4.27+2.97*4.07+1.82*2.39+3.65*3.23+2.4*1.6+1.7*1.6+3.22*1.53+2.4*1.6+2.45*1.52+1.68*1.52+9.34*1.11+2.74*1.52+2.74*1.52+1.83*2.44+0.9*2.28+2.45*2.13+1.52*4.57+3.66*1.52+3.66*2.6+8.69*1.22+8.45*1.52</f>
        <v>278.38240000000002</v>
      </c>
      <c r="N183" s="34"/>
    </row>
    <row r="184" spans="1:14" s="51" customFormat="1" ht="47.25" x14ac:dyDescent="0.25">
      <c r="A184" s="131">
        <f t="shared" ref="A184" si="15">A182+1</f>
        <v>2</v>
      </c>
      <c r="B184" s="132"/>
      <c r="C184" s="49" t="s">
        <v>258</v>
      </c>
      <c r="D184" s="59">
        <f>((8.45*4.5+3.37*0.63+2.1*2.08+1.13*1.28+3.67*3.2+2.97*4.07+4.27*3.06+0.75*1.52+3.82*4.56+1.18*1.68+3.96*6.02+1.98*1+3.65*4.98+2.92*3.96+1.83*2.13+3.07*1+2.49*1.53+1.67*2.39+2.45*1.52+1.68*1.52+8.74*1.11+8.45*1.52)+(8.45*5.13+5.4*2.8+4.27*3.06+0.75*1.52+3.37*4.56+0.45*3.38+3.49*5.18+3.5*4.27+4.12*4.27+2.92*4.27+2.97*4.07+1.82*2.39+3.65*3.23+2.4*1.6+1.7*1.6+3.22*1.53+2.4*1.6+2.45*1.52+1.68*1.52+9.34*1.11+2.74*1.52+2.74*1.52+1.83*2.44+0.9*2.28+2.45*2.13+1.52*4.57+3.66*1.52+3.66*2.6+8.69*1.22+8.45*1.52))*10.764</f>
        <v>5176.794027599999</v>
      </c>
      <c r="E184" s="73">
        <v>0</v>
      </c>
      <c r="F184" s="73">
        <f>D184*(($F$149)+1)+(IF(E184&lt;101,E184,IF(E184&lt;201,E184/2,IF(E184&lt;=301,E184/3,E184/4))))</f>
        <v>8024.0307427799989</v>
      </c>
      <c r="G184" s="135"/>
      <c r="H184" s="136"/>
      <c r="I184" s="51">
        <f>1</f>
        <v>1</v>
      </c>
      <c r="J184" s="34"/>
    </row>
    <row r="185" spans="1:14" s="51" customFormat="1" ht="15.75" customHeight="1" x14ac:dyDescent="0.25">
      <c r="A185" s="128" t="s">
        <v>243</v>
      </c>
      <c r="B185" s="129"/>
      <c r="C185" s="129"/>
      <c r="D185" s="129"/>
      <c r="E185" s="129"/>
      <c r="F185" s="129"/>
      <c r="G185" s="129"/>
      <c r="H185" s="130"/>
      <c r="I185" s="34"/>
      <c r="N185" s="34"/>
    </row>
    <row r="186" spans="1:14" s="51" customFormat="1" x14ac:dyDescent="0.25">
      <c r="A186" s="131">
        <v>1</v>
      </c>
      <c r="B186" s="132"/>
      <c r="C186" s="49" t="s">
        <v>202</v>
      </c>
      <c r="D186" s="59">
        <f>(4.57*7.47+1.67*4.11+4.72*2.44+3.65*4.27+3.61*4.27+3.66*4.27+3.66*5.34+2.59*1.52+3.52*1.52+1.2*1.52+1.52*2.44+1.67*3.04+3.32*1+1.67*1.37+1.35*0.52+2.16*1.52+1.84*0.6+4.57*1.52+2.64*1.52)*10.764</f>
        <v>1724.8696451999999</v>
      </c>
      <c r="E186" s="73">
        <v>0</v>
      </c>
      <c r="F186" s="73">
        <f>D186*(($F$149)+1)+(IF(E186&lt;101,E186,IF(E186&lt;201,E186/2,IF(E186&lt;=301,E186/3,E186/4))))</f>
        <v>2673.5479500599999</v>
      </c>
      <c r="G186" s="133" t="str">
        <f>A185</f>
        <v>28th Floor</v>
      </c>
      <c r="H186" s="134"/>
      <c r="I186" s="34"/>
      <c r="J186" s="34"/>
      <c r="K186" s="34"/>
      <c r="N186" s="34"/>
    </row>
    <row r="187" spans="1:14" s="51" customFormat="1" x14ac:dyDescent="0.25">
      <c r="A187" s="131">
        <f t="shared" ref="A187" si="16">A186+1</f>
        <v>2</v>
      </c>
      <c r="B187" s="132"/>
      <c r="C187" s="125" t="s">
        <v>259</v>
      </c>
      <c r="D187" s="126"/>
      <c r="E187" s="126"/>
      <c r="F187" s="127"/>
      <c r="G187" s="135"/>
      <c r="H187" s="136"/>
      <c r="I187" s="51">
        <f>1</f>
        <v>1</v>
      </c>
      <c r="J187" s="34"/>
    </row>
    <row r="188" spans="1:14" s="51" customFormat="1" ht="15.75" customHeight="1" x14ac:dyDescent="0.25">
      <c r="A188" s="128" t="s">
        <v>244</v>
      </c>
      <c r="B188" s="129"/>
      <c r="C188" s="129"/>
      <c r="D188" s="129"/>
      <c r="E188" s="129"/>
      <c r="F188" s="129"/>
      <c r="G188" s="129"/>
      <c r="H188" s="130"/>
      <c r="I188" s="34"/>
      <c r="N188" s="34"/>
    </row>
    <row r="189" spans="1:14" s="51" customFormat="1" x14ac:dyDescent="0.25">
      <c r="A189" s="131">
        <v>1</v>
      </c>
      <c r="B189" s="132"/>
      <c r="C189" s="49" t="s">
        <v>202</v>
      </c>
      <c r="D189" s="59">
        <f>(4.57*7.47+1.67*4.11+4.72*2.44+3.65*4.27+3.61*4.27+3.66*4.27+3.66*5.34+2.59*1.52+3.52*1.52+1.2*1.52+1.52*2.44+1.67*3.04+3.32*1+1.67*1.37+1.35*0.52+2.16*1.52+1.84*0.6+4.57*1.52+2.64*1.52)*10.764</f>
        <v>1724.8696451999999</v>
      </c>
      <c r="E189" s="73">
        <v>0</v>
      </c>
      <c r="F189" s="73">
        <f>D189*(($F$149)+1)+(IF(E189&lt;101,E189,IF(E189&lt;201,E189/2,IF(E189&lt;=301,E189/3,E189/4))))</f>
        <v>2673.5479500599999</v>
      </c>
      <c r="G189" s="133" t="str">
        <f>A188</f>
        <v>29th Floor</v>
      </c>
      <c r="H189" s="134"/>
      <c r="I189" s="34"/>
      <c r="J189" s="34"/>
      <c r="K189" s="34"/>
      <c r="N189" s="34"/>
    </row>
    <row r="190" spans="1:14" s="51" customFormat="1" x14ac:dyDescent="0.25">
      <c r="A190" s="131">
        <f t="shared" ref="A190" si="17">A189+1</f>
        <v>2</v>
      </c>
      <c r="B190" s="132"/>
      <c r="C190" s="49" t="s">
        <v>236</v>
      </c>
      <c r="D190" s="59">
        <f>(6.72*7.93+0.15*3.21+1.73*5.65+2.97*4.07+1.82*2.39+4.27*3.06+0.75*1.52+3.37*4.56+0.45*3.38+3.49*5.18+3.5*4.27+0.9*2.28+4.12*4.27+3.66*1.52+2.92*4.27+1.73*2.13+1.05*1.52+2.74*1.52+3.66*2.6+1.52*4.57+2.45*2.13+1.83*2.44+8.69*1.22+1.69*1.52+2.45*1.52+3.22*1.53+1.68*1.52+3.65*3.23+2.4*1.6+1.7*1.6+9.34*1.11+8.45*1.52)*10.764</f>
        <v>3049.4885615999997</v>
      </c>
      <c r="E190" s="73">
        <v>0</v>
      </c>
      <c r="F190" s="73">
        <f>D190*(($F$149)+1)+(IF(E190&lt;101,E190,IF(E190&lt;201,E190/2,IF(E190&lt;=301,E190/3,E190/4))))</f>
        <v>4726.7072704799994</v>
      </c>
      <c r="G190" s="135"/>
      <c r="H190" s="136"/>
      <c r="J190" s="34"/>
    </row>
    <row r="191" spans="1:14" s="51" customFormat="1" x14ac:dyDescent="0.25">
      <c r="A191" s="155" t="s">
        <v>200</v>
      </c>
      <c r="B191" s="156"/>
      <c r="C191" s="156"/>
      <c r="D191" s="156"/>
      <c r="E191" s="156"/>
      <c r="F191" s="156"/>
      <c r="G191" s="156"/>
      <c r="H191" s="157"/>
      <c r="J191" s="34"/>
    </row>
    <row r="192" spans="1:14" s="51" customFormat="1" x14ac:dyDescent="0.25">
      <c r="A192" s="128" t="s">
        <v>195</v>
      </c>
      <c r="B192" s="129"/>
      <c r="C192" s="129"/>
      <c r="D192" s="129"/>
      <c r="E192" s="129"/>
      <c r="F192" s="129"/>
      <c r="G192" s="129"/>
      <c r="H192" s="130"/>
      <c r="J192" s="34"/>
    </row>
    <row r="193" spans="1:14" s="51" customFormat="1" x14ac:dyDescent="0.25">
      <c r="A193" s="128" t="s">
        <v>196</v>
      </c>
      <c r="B193" s="129"/>
      <c r="C193" s="129"/>
      <c r="D193" s="129"/>
      <c r="E193" s="129"/>
      <c r="F193" s="129"/>
      <c r="G193" s="129"/>
      <c r="H193" s="130"/>
      <c r="I193" s="51">
        <f>1</f>
        <v>1</v>
      </c>
      <c r="J193" s="34"/>
    </row>
    <row r="194" spans="1:14" s="51" customFormat="1" ht="15.75" customHeight="1" x14ac:dyDescent="0.25">
      <c r="A194" s="128" t="s">
        <v>199</v>
      </c>
      <c r="B194" s="129"/>
      <c r="C194" s="129"/>
      <c r="D194" s="129"/>
      <c r="E194" s="129"/>
      <c r="F194" s="129"/>
      <c r="G194" s="129"/>
      <c r="H194" s="130"/>
      <c r="I194" s="34"/>
      <c r="J194" s="34"/>
      <c r="N194" s="34"/>
    </row>
    <row r="195" spans="1:14" s="51" customFormat="1" x14ac:dyDescent="0.25">
      <c r="A195" s="131">
        <v>1</v>
      </c>
      <c r="B195" s="132"/>
      <c r="C195" s="49" t="s">
        <v>203</v>
      </c>
      <c r="D195" s="59">
        <f>(3.4*6.26+2.59*3.95+3.5*3.66+0.91*1.52+3.2*3.95+1.73*1+3.5*2.13+2.44*1.37+1.92*1+1.22*2.06+2.12*1.84+3.4*1.2)*10.764</f>
        <v>896.52817800000003</v>
      </c>
      <c r="E195" s="50">
        <v>0</v>
      </c>
      <c r="F195" s="50">
        <f>D195*(($F$149)+1)+(IF(E195&lt;101,E195,IF(E195&lt;201,E195/2,IF(E195&lt;=301,E195/3,E195/4))))</f>
        <v>1389.6186759</v>
      </c>
      <c r="G195" s="133" t="str">
        <f>A194</f>
        <v>6th Floor for Residential (Part Refuge Area)</v>
      </c>
      <c r="H195" s="134"/>
      <c r="I195" s="34"/>
      <c r="N195" s="34"/>
    </row>
    <row r="196" spans="1:14" s="51" customFormat="1" x14ac:dyDescent="0.25">
      <c r="A196" s="131">
        <f t="shared" ref="A196:A198" si="18">A195+1</f>
        <v>2</v>
      </c>
      <c r="B196" s="132"/>
      <c r="C196" s="49" t="s">
        <v>204</v>
      </c>
      <c r="D196" s="59">
        <f>(3.65*6.11+1.13*3.21+2.59*3.95+3.5*3.95+3.5*3.95+3.5*3.81+0.91*1.36+3.35*2.14+1.84*1.84+2.21*1+2.04*1+1.3*2.06+1.52*2.44+4.19*1.07+2.44*1.52+1.22*1.99+3.65*1.2)*10.764</f>
        <v>1233.2659248</v>
      </c>
      <c r="E196" s="50">
        <v>0</v>
      </c>
      <c r="F196" s="50">
        <f>D196*(($F$149)+1)+(IF(E196&lt;101,E196,IF(E196&lt;201,E196/2,IF(E196&lt;=301,E196/3,E196/4))))</f>
        <v>1911.5621834400001</v>
      </c>
      <c r="G196" s="135"/>
      <c r="H196" s="136"/>
      <c r="I196" s="34"/>
      <c r="N196" s="34"/>
    </row>
    <row r="197" spans="1:14" s="51" customFormat="1" x14ac:dyDescent="0.25">
      <c r="A197" s="131">
        <f t="shared" si="18"/>
        <v>3</v>
      </c>
      <c r="B197" s="132"/>
      <c r="C197" s="49" t="s">
        <v>205</v>
      </c>
      <c r="D197" s="59">
        <f>(3.35*6.83+1.22*4.32+2.44*3.58+3.05*3.96+3.35*3.58+1.5*0.38+0.9*1.14+4.1*3.33+1.37*1.83+2.6*1.52+1.52*2.44+2.44*1.37+7.14*0.99+3.35*1.22)*10.764</f>
        <v>1085.7905135999999</v>
      </c>
      <c r="E197" s="50">
        <v>0</v>
      </c>
      <c r="F197" s="50">
        <f>D197*(($F$149)+1)+(IF(E197&lt;101,E197,IF(E197&lt;201,E197/2,IF(E197&lt;=301,E197/3,E197/4))))</f>
        <v>1682.9752960799999</v>
      </c>
      <c r="G197" s="135"/>
      <c r="H197" s="136"/>
      <c r="I197" s="34">
        <f>24600000/F197</f>
        <v>14616.970348464725</v>
      </c>
      <c r="K197" s="51">
        <f>28000000-(28000000*0.12)</f>
        <v>24640000</v>
      </c>
      <c r="N197" s="34"/>
    </row>
    <row r="198" spans="1:14" s="51" customFormat="1" x14ac:dyDescent="0.25">
      <c r="A198" s="131">
        <f t="shared" si="18"/>
        <v>4</v>
      </c>
      <c r="B198" s="132"/>
      <c r="C198" s="141" t="s">
        <v>201</v>
      </c>
      <c r="D198" s="142"/>
      <c r="E198" s="142"/>
      <c r="F198" s="143"/>
      <c r="G198" s="153"/>
      <c r="H198" s="154"/>
      <c r="I198" s="51">
        <f>6+6+1</f>
        <v>13</v>
      </c>
      <c r="J198" s="34"/>
    </row>
    <row r="199" spans="1:14" s="51" customFormat="1" ht="15.75" customHeight="1" x14ac:dyDescent="0.25">
      <c r="A199" s="128" t="s">
        <v>232</v>
      </c>
      <c r="B199" s="129"/>
      <c r="C199" s="129"/>
      <c r="D199" s="129"/>
      <c r="E199" s="129"/>
      <c r="F199" s="129"/>
      <c r="G199" s="129"/>
      <c r="H199" s="130"/>
      <c r="I199" s="34"/>
      <c r="N199" s="34"/>
    </row>
    <row r="200" spans="1:14" s="51" customFormat="1" x14ac:dyDescent="0.25">
      <c r="A200" s="131">
        <v>1</v>
      </c>
      <c r="B200" s="132"/>
      <c r="C200" s="49" t="s">
        <v>203</v>
      </c>
      <c r="D200" s="59">
        <f>(3.4*6.26+2.59*3.95+3.5*3.66+0.91*1.52+3.2*3.95+1.73*1+3.5*2.13+2.44*1.37+1.92*1+1.22*2.06+2.12*1.84+3.4*1.2)*10.764</f>
        <v>896.52817800000003</v>
      </c>
      <c r="E200" s="50">
        <v>0</v>
      </c>
      <c r="F200" s="50">
        <f>D200*(($F$149)+1)+(IF(E200&lt;101,E200,IF(E200&lt;201,E200/2,IF(E200&lt;=301,E200/3,E200/4))))</f>
        <v>1389.6186759</v>
      </c>
      <c r="G200" s="133" t="str">
        <f>A199</f>
        <v xml:space="preserve">7th to 12th, 14th to 19th &amp; 21st Floor </v>
      </c>
      <c r="H200" s="134"/>
      <c r="I200" s="34"/>
      <c r="J200" s="51">
        <f>28100000/F200</f>
        <v>20221.374746421541</v>
      </c>
      <c r="N200" s="34"/>
    </row>
    <row r="201" spans="1:14" s="51" customFormat="1" x14ac:dyDescent="0.25">
      <c r="A201" s="131">
        <f t="shared" ref="A201:A203" si="19">A200+1</f>
        <v>2</v>
      </c>
      <c r="B201" s="132"/>
      <c r="C201" s="49" t="s">
        <v>204</v>
      </c>
      <c r="D201" s="59">
        <f>(3.65*6.11+1.13*3.21+2.59*3.95+3.5*3.95+3.5*3.95+3.5*3.81+0.91*1.36+3.35*2.14+1.84*1.84+2.21*1+2.04*1+1.3*2.06+1.52*2.44+4.19*1.07+2.44*1.52+1.22*1.99+3.65*1.2)*10.764</f>
        <v>1233.2659248</v>
      </c>
      <c r="E201" s="50">
        <v>0</v>
      </c>
      <c r="F201" s="50">
        <f>D201*(($F$149)+1)+(IF(E201&lt;101,E201,IF(E201&lt;201,E201/2,IF(E201&lt;=301,E201/3,E201/4))))</f>
        <v>1911.5621834400001</v>
      </c>
      <c r="G201" s="135"/>
      <c r="H201" s="136"/>
      <c r="I201" s="34"/>
      <c r="J201" s="82">
        <f>37600000/F201</f>
        <v>19669.776021795937</v>
      </c>
      <c r="N201" s="34"/>
    </row>
    <row r="202" spans="1:14" s="51" customFormat="1" x14ac:dyDescent="0.25">
      <c r="A202" s="131">
        <f t="shared" si="19"/>
        <v>3</v>
      </c>
      <c r="B202" s="132"/>
      <c r="C202" s="49" t="s">
        <v>205</v>
      </c>
      <c r="D202" s="59">
        <f>(3.35*6.83+1.22*4.32+2.44*3.58+3.05*3.96+3.35*3.58+1.5*0.38+0.9*1.14+4.1*3.33+1.37*1.83+2.6*1.52+1.52*2.44+2.44*1.37+7.14*0.99+3.35*1.22)*10.764</f>
        <v>1085.7905135999999</v>
      </c>
      <c r="E202" s="50">
        <v>0</v>
      </c>
      <c r="F202" s="50">
        <f>D202*(($F$149)+1)+(IF(E202&lt;101,E202,IF(E202&lt;201,E202/2,IF(E202&lt;=301,E202/3,E202/4))))</f>
        <v>1682.9752960799999</v>
      </c>
      <c r="G202" s="135"/>
      <c r="H202" s="136"/>
      <c r="I202" s="34"/>
      <c r="J202" s="83">
        <f>34300000/F202</f>
        <v>20380.572477737402</v>
      </c>
      <c r="N202" s="34"/>
    </row>
    <row r="203" spans="1:14" s="51" customFormat="1" x14ac:dyDescent="0.25">
      <c r="A203" s="131">
        <f t="shared" si="19"/>
        <v>4</v>
      </c>
      <c r="B203" s="132"/>
      <c r="C203" s="49" t="s">
        <v>205</v>
      </c>
      <c r="D203" s="59">
        <f>(3.35*6.83+0.85*4.32+2.44*3.58+3.05*3.96+3.5*3.56+4.1*3.35+2.45*1.37+2.6*1.37+1.58*1.37+1.68*1.37+7.96*0.97+1.37*2.44+3.35*1.22)*10.764</f>
        <v>1077.4376495999998</v>
      </c>
      <c r="E203" s="50">
        <v>0</v>
      </c>
      <c r="F203" s="50">
        <f>D203*(($F$149)+1)+(IF(E203&lt;101,E203,IF(E203&lt;201,E203/2,IF(E203&lt;=301,E203/3,E203/4))))</f>
        <v>1670.0283568799996</v>
      </c>
      <c r="G203" s="153"/>
      <c r="H203" s="154"/>
      <c r="I203" s="51">
        <f>1</f>
        <v>1</v>
      </c>
      <c r="J203" s="34"/>
    </row>
    <row r="204" spans="1:14" s="51" customFormat="1" ht="15.75" customHeight="1" x14ac:dyDescent="0.25">
      <c r="A204" s="128" t="s">
        <v>233</v>
      </c>
      <c r="B204" s="129"/>
      <c r="C204" s="129"/>
      <c r="D204" s="129"/>
      <c r="E204" s="129"/>
      <c r="F204" s="129"/>
      <c r="G204" s="129"/>
      <c r="H204" s="130"/>
      <c r="I204" s="34"/>
      <c r="J204" s="34"/>
      <c r="N204" s="34"/>
    </row>
    <row r="205" spans="1:14" s="51" customFormat="1" x14ac:dyDescent="0.25">
      <c r="A205" s="131">
        <v>1</v>
      </c>
      <c r="B205" s="132"/>
      <c r="C205" s="49" t="s">
        <v>203</v>
      </c>
      <c r="D205" s="59">
        <f>(3.4*6.26+2.59*3.95+3.5*3.66+0.91*1.52+3.2*3.95+1.73*1+3.5*2.13+2.44*1.37+1.92*1+1.22*2.06+2.12*1.84+3.4*1.2)*10.764</f>
        <v>896.52817800000003</v>
      </c>
      <c r="E205" s="73">
        <v>0</v>
      </c>
      <c r="F205" s="73">
        <f>D205*(($F$149)+1)+(IF(E205&lt;101,E205,IF(E205&lt;201,E205/2,IF(E205&lt;=301,E205/3,E205/4))))</f>
        <v>1389.6186759</v>
      </c>
      <c r="G205" s="133" t="str">
        <f>A204</f>
        <v>13th Floor for Residential (Part Refuge Area)</v>
      </c>
      <c r="H205" s="134"/>
      <c r="I205" s="34"/>
      <c r="N205" s="34"/>
    </row>
    <row r="206" spans="1:14" s="51" customFormat="1" x14ac:dyDescent="0.25">
      <c r="A206" s="131">
        <f t="shared" ref="A206:A208" si="20">A205+1</f>
        <v>2</v>
      </c>
      <c r="B206" s="132"/>
      <c r="C206" s="49" t="s">
        <v>204</v>
      </c>
      <c r="D206" s="59">
        <f>(3.65*6.11+1.13*3.21+2.59*3.95+3.5*3.95+3.5*3.95+3.5*3.81+0.91*1.36+3.35*2.14+1.84*1.84+2.21*1+2.04*1+1.3*2.06+1.52*2.44+4.19*1.07+2.44*1.52+1.22*1.99+3.65*1.2)*10.764</f>
        <v>1233.2659248</v>
      </c>
      <c r="E206" s="73">
        <v>0</v>
      </c>
      <c r="F206" s="73">
        <f>D206*(($F$149)+1)+(IF(E206&lt;101,E206,IF(E206&lt;201,E206/2,IF(E206&lt;=301,E206/3,E206/4))))</f>
        <v>1911.5621834400001</v>
      </c>
      <c r="G206" s="135"/>
      <c r="H206" s="136"/>
      <c r="I206" s="34"/>
      <c r="N206" s="34"/>
    </row>
    <row r="207" spans="1:14" s="51" customFormat="1" x14ac:dyDescent="0.25">
      <c r="A207" s="131">
        <f t="shared" si="20"/>
        <v>3</v>
      </c>
      <c r="B207" s="132"/>
      <c r="C207" s="49" t="s">
        <v>205</v>
      </c>
      <c r="D207" s="59">
        <f>(3.35*6.83+1.22*4.32+2.44*3.58+3.05*3.96+3.35*3.58+1.5*0.38+0.9*1.14+4.1*3.33+1.37*1.83+2.6*1.52+1.52*2.44+2.44*1.37+7.14*0.99+3.35*1.22)*10.764</f>
        <v>1085.7905135999999</v>
      </c>
      <c r="E207" s="73">
        <v>0</v>
      </c>
      <c r="F207" s="73">
        <f>D207*(($F$149)+1)+(IF(E207&lt;101,E207,IF(E207&lt;201,E207/2,IF(E207&lt;=301,E207/3,E207/4))))</f>
        <v>1682.9752960799999</v>
      </c>
      <c r="G207" s="135"/>
      <c r="H207" s="136"/>
      <c r="I207" s="34"/>
      <c r="N207" s="34"/>
    </row>
    <row r="208" spans="1:14" s="51" customFormat="1" x14ac:dyDescent="0.25">
      <c r="A208" s="131">
        <f t="shared" si="20"/>
        <v>4</v>
      </c>
      <c r="B208" s="132"/>
      <c r="C208" s="141" t="s">
        <v>201</v>
      </c>
      <c r="D208" s="142"/>
      <c r="E208" s="142"/>
      <c r="F208" s="143"/>
      <c r="G208" s="153"/>
      <c r="H208" s="154"/>
      <c r="I208" s="51">
        <f>1</f>
        <v>1</v>
      </c>
      <c r="J208" s="82">
        <f>28000000/F203</f>
        <v>16766.182373280473</v>
      </c>
    </row>
    <row r="209" spans="1:14" s="51" customFormat="1" ht="15.75" customHeight="1" x14ac:dyDescent="0.25">
      <c r="A209" s="128" t="s">
        <v>234</v>
      </c>
      <c r="B209" s="129"/>
      <c r="C209" s="129"/>
      <c r="D209" s="129"/>
      <c r="E209" s="129"/>
      <c r="F209" s="129"/>
      <c r="G209" s="129"/>
      <c r="H209" s="130"/>
      <c r="I209" s="34"/>
      <c r="J209" s="34"/>
      <c r="N209" s="34"/>
    </row>
    <row r="210" spans="1:14" s="51" customFormat="1" x14ac:dyDescent="0.25">
      <c r="A210" s="131">
        <v>1</v>
      </c>
      <c r="B210" s="132"/>
      <c r="C210" s="49" t="s">
        <v>203</v>
      </c>
      <c r="D210" s="59">
        <f>(3.4*6.26+2.59*3.95+3.5*3.66+0.91*1.52+3.2*3.95+1.73*1+3.5*2.13+2.44*1.37+1.92*1+1.22*2.06+2.12*1.84+3.4*1.2)*10.764</f>
        <v>896.52817800000003</v>
      </c>
      <c r="E210" s="73">
        <v>0</v>
      </c>
      <c r="F210" s="73">
        <f>D210*(($F$149)+1)+(IF(E210&lt;101,E210,IF(E210&lt;201,E210/2,IF(E210&lt;=301,E210/3,E210/4))))</f>
        <v>1389.6186759</v>
      </c>
      <c r="G210" s="133" t="str">
        <f>A209</f>
        <v>20th Floor for Residential (Part Refuge Area)</v>
      </c>
      <c r="H210" s="134"/>
      <c r="I210" s="34"/>
      <c r="N210" s="34"/>
    </row>
    <row r="211" spans="1:14" s="51" customFormat="1" x14ac:dyDescent="0.25">
      <c r="A211" s="131">
        <f t="shared" ref="A211:A213" si="21">A210+1</f>
        <v>2</v>
      </c>
      <c r="B211" s="132"/>
      <c r="C211" s="49" t="s">
        <v>204</v>
      </c>
      <c r="D211" s="59">
        <f>(3.65*6.11+1.13*3.21+2.59*3.95+3.5*3.95+3.5*3.95+3.5*3.81+0.91*1.36+3.35*2.14+1.84*1.84+2.21*1+2.04*1+1.3*2.06+1.52*2.44+4.19*1.07+2.44*1.52+1.22*1.99+3.65*1.2)*10.764</f>
        <v>1233.2659248</v>
      </c>
      <c r="E211" s="73">
        <v>0</v>
      </c>
      <c r="F211" s="73">
        <f>D211*(($F$149)+1)+(IF(E211&lt;101,E211,IF(E211&lt;201,E211/2,IF(E211&lt;=301,E211/3,E211/4))))</f>
        <v>1911.5621834400001</v>
      </c>
      <c r="G211" s="135"/>
      <c r="H211" s="136"/>
      <c r="I211" s="34"/>
      <c r="N211" s="34"/>
    </row>
    <row r="212" spans="1:14" s="51" customFormat="1" x14ac:dyDescent="0.25">
      <c r="A212" s="131">
        <f t="shared" si="21"/>
        <v>3</v>
      </c>
      <c r="B212" s="132"/>
      <c r="C212" s="49" t="s">
        <v>205</v>
      </c>
      <c r="D212" s="59">
        <f>(3.35*6.83+1.22*4.32+2.44*3.58+3.05*3.96+3.35*3.58+1.5*0.38+0.9*1.14+4.1*3.33+1.37*1.83+2.6*1.52+1.52*2.44+2.44*1.37+7.14*0.99+3.35*1.22)*10.764</f>
        <v>1085.7905135999999</v>
      </c>
      <c r="E212" s="73">
        <v>0</v>
      </c>
      <c r="F212" s="73">
        <f>D212*(($F$149)+1)+(IF(E212&lt;101,E212,IF(E212&lt;201,E212/2,IF(E212&lt;=301,E212/3,E212/4))))</f>
        <v>1682.9752960799999</v>
      </c>
      <c r="G212" s="135"/>
      <c r="H212" s="136"/>
      <c r="I212" s="34"/>
      <c r="N212" s="34"/>
    </row>
    <row r="213" spans="1:14" s="51" customFormat="1" x14ac:dyDescent="0.25">
      <c r="A213" s="131">
        <f t="shared" si="21"/>
        <v>4</v>
      </c>
      <c r="B213" s="132"/>
      <c r="C213" s="141" t="s">
        <v>201</v>
      </c>
      <c r="D213" s="142"/>
      <c r="E213" s="142"/>
      <c r="F213" s="143"/>
      <c r="G213" s="153"/>
      <c r="H213" s="154"/>
      <c r="I213" s="51">
        <f>1</f>
        <v>1</v>
      </c>
      <c r="J213" s="34"/>
    </row>
    <row r="214" spans="1:14" s="51" customFormat="1" ht="15.75" customHeight="1" x14ac:dyDescent="0.25">
      <c r="A214" s="128" t="s">
        <v>235</v>
      </c>
      <c r="B214" s="129"/>
      <c r="C214" s="129"/>
      <c r="D214" s="129"/>
      <c r="E214" s="129"/>
      <c r="F214" s="129"/>
      <c r="G214" s="129"/>
      <c r="H214" s="130"/>
      <c r="I214" s="34"/>
      <c r="J214" s="34"/>
      <c r="N214" s="34"/>
    </row>
    <row r="215" spans="1:14" s="51" customFormat="1" x14ac:dyDescent="0.25">
      <c r="A215" s="131">
        <v>1</v>
      </c>
      <c r="B215" s="132"/>
      <c r="C215" s="49" t="s">
        <v>203</v>
      </c>
      <c r="D215" s="59">
        <f>(3.4*6.26+2.59*3.95+3.5*3.66+0.91*1.52+3.2*3.95+1.73*1+3.5*2.13+2.44*1.37+1.92*1+1.22*2.06+2.12*1.84+3.4*1.2)*10.764</f>
        <v>896.52817800000003</v>
      </c>
      <c r="E215" s="73">
        <v>0</v>
      </c>
      <c r="F215" s="73">
        <f>D215*(($F$149)+1)+(IF(E215&lt;101,E215,IF(E215&lt;201,E215/2,IF(E215&lt;=301,E215/3,E215/4))))</f>
        <v>1389.6186759</v>
      </c>
      <c r="G215" s="133" t="str">
        <f>A214</f>
        <v>22nd Floor</v>
      </c>
      <c r="H215" s="134"/>
      <c r="I215" s="34"/>
      <c r="N215" s="34"/>
    </row>
    <row r="216" spans="1:14" s="51" customFormat="1" x14ac:dyDescent="0.25">
      <c r="A216" s="131">
        <f t="shared" ref="A216:A217" si="22">A215+1</f>
        <v>2</v>
      </c>
      <c r="B216" s="132"/>
      <c r="C216" s="49" t="s">
        <v>204</v>
      </c>
      <c r="D216" s="59">
        <f>(3.65*6.11+1.13*3.21+2.59*3.95+3.5*3.95+3.5*3.95+3.5*3.81+0.91*1.36+3.35*2.14+1.84*1.84+2.21*1+2.04*1+1.3*2.06+1.52*2.44+4.19*1.07+2.44*1.52+1.22*1.99+3.65*1.2)*10.764</f>
        <v>1233.2659248</v>
      </c>
      <c r="E216" s="73">
        <v>0</v>
      </c>
      <c r="F216" s="73">
        <f>D216*(($F$149)+1)+(IF(E216&lt;101,E216,IF(E216&lt;201,E216/2,IF(E216&lt;=301,E216/3,E216/4))))</f>
        <v>1911.5621834400001</v>
      </c>
      <c r="G216" s="135"/>
      <c r="H216" s="136"/>
      <c r="I216" s="34"/>
      <c r="N216" s="34"/>
    </row>
    <row r="217" spans="1:14" s="51" customFormat="1" x14ac:dyDescent="0.25">
      <c r="A217" s="131">
        <f t="shared" si="22"/>
        <v>3</v>
      </c>
      <c r="B217" s="132"/>
      <c r="C217" s="49" t="s">
        <v>241</v>
      </c>
      <c r="D217" s="59">
        <f>(5.4*8.05+1.22*3.33+1.45*5.3+2.44*3.58+1.82*2.44+4.1*3.18+3.05*4.31+3.05*4.31+3.65*5.43+2.44*3.58+4.1*3.35+2.75*1.37+2.13*1.37+1.13*1.37+0.7*0.6+2.15*2.6+1.52*2.44+1.1*0.97+6.51*0.97+3.35*3.25+1.5*1.06+0.9*1.14+2.44*1.37+1.85*0.68+2.6*1.52+1.37*1.83+8.36*0.99+6.85*1.24)*10.764</f>
        <v>2332.3467492</v>
      </c>
      <c r="E217" s="73">
        <v>0</v>
      </c>
      <c r="F217" s="73">
        <f>D217*(($F$149)+1)+(IF(E217&lt;101,E217,IF(E217&lt;201,E217/2,IF(E217&lt;=301,E217/3,E217/4))))</f>
        <v>3615.1374612600002</v>
      </c>
      <c r="G217" s="135"/>
      <c r="H217" s="136"/>
      <c r="I217" s="51">
        <f>1</f>
        <v>1</v>
      </c>
      <c r="J217" s="34"/>
    </row>
    <row r="218" spans="1:14" s="51" customFormat="1" ht="15.75" customHeight="1" x14ac:dyDescent="0.25">
      <c r="A218" s="144" t="s">
        <v>237</v>
      </c>
      <c r="B218" s="145"/>
      <c r="C218" s="145"/>
      <c r="D218" s="145"/>
      <c r="E218" s="145"/>
      <c r="F218" s="145"/>
      <c r="G218" s="145"/>
      <c r="H218" s="146"/>
      <c r="I218" s="34"/>
      <c r="J218" s="34"/>
      <c r="N218" s="34"/>
    </row>
    <row r="219" spans="1:14" s="51" customFormat="1" x14ac:dyDescent="0.25">
      <c r="A219" s="151">
        <v>1</v>
      </c>
      <c r="B219" s="152"/>
      <c r="C219" s="79" t="s">
        <v>203</v>
      </c>
      <c r="D219" s="80">
        <f>(3.4*6.26+2.59*3.95+3.5*3.66+0.91*1.52+3.2*3.95+1.73*1+3.5*2.13+2.44*1.37+1.92*1+1.22*2.06+2.12*1.84+3.4*1.2)*10.764</f>
        <v>896.52817800000003</v>
      </c>
      <c r="E219" s="81">
        <v>0</v>
      </c>
      <c r="F219" s="81">
        <f>D219*(($F$149)+1)+(IF(E219&lt;101,E219,IF(E219&lt;201,E219/2,IF(E219&lt;=301,E219/3,E219/4))))</f>
        <v>1389.6186759</v>
      </c>
      <c r="G219" s="147" t="str">
        <f>A218</f>
        <v>23rd Floor</v>
      </c>
      <c r="H219" s="148"/>
      <c r="I219" s="34"/>
      <c r="N219" s="34"/>
    </row>
    <row r="220" spans="1:14" s="51" customFormat="1" x14ac:dyDescent="0.25">
      <c r="A220" s="151">
        <f t="shared" ref="A220:A221" si="23">A219+1</f>
        <v>2</v>
      </c>
      <c r="B220" s="152"/>
      <c r="C220" s="79" t="s">
        <v>204</v>
      </c>
      <c r="D220" s="80">
        <f>(3.65*6.11+1.13*3.21+2.59*3.95+3.5*3.95+3.5*3.95+3.5*3.81+0.91*1.36+3.35*2.14+1.84*1.84+2.21*1+2.04*1+1.3*2.06+1.52*2.44+4.19*1.07+2.44*1.52+1.22*1.99+3.65*1.2)*10.764</f>
        <v>1233.2659248</v>
      </c>
      <c r="E220" s="81">
        <v>0</v>
      </c>
      <c r="F220" s="81">
        <f>D220*(($F$149)+1)+(IF(E220&lt;101,E220,IF(E220&lt;201,E220/2,IF(E220&lt;=301,E220/3,E220/4))))</f>
        <v>1911.5621834400001</v>
      </c>
      <c r="G220" s="149"/>
      <c r="H220" s="150"/>
      <c r="I220" s="34"/>
      <c r="N220" s="34"/>
    </row>
    <row r="221" spans="1:14" s="51" customFormat="1" x14ac:dyDescent="0.25">
      <c r="A221" s="151">
        <f t="shared" si="23"/>
        <v>3</v>
      </c>
      <c r="B221" s="152"/>
      <c r="C221" s="79" t="s">
        <v>241</v>
      </c>
      <c r="D221" s="80">
        <f>(5.4*8.05+1.22*3.33+1.45*5.3+2.44*3.58+1.82*2.44+4.1*3.18+3.05*4.31+3.05*4.31+3.65*5.43+2.44*3.58+4.1*3.35+2.75*1.37+2.13*1.37+1.13*1.37+0.7*0.6+2.15*2.6+1.52*2.44+1.1*0.97+6.51*0.97+3.35*3.25+1.5*1.06+0.9*1.14+2.44*1.37+1.85*0.68+2.6*1.52+1.37*1.83+8.36*0.99+6.85*1.24)*10.764</f>
        <v>2332.3467492</v>
      </c>
      <c r="E221" s="81">
        <v>0</v>
      </c>
      <c r="F221" s="81">
        <f>D221*(($F$149)+1)+(IF(E221&lt;101,E221,IF(E221&lt;201,E221/2,IF(E221&lt;=301,E221/3,E221/4))))</f>
        <v>3615.1374612600002</v>
      </c>
      <c r="G221" s="149"/>
      <c r="H221" s="150"/>
      <c r="I221" s="51">
        <f>2</f>
        <v>2</v>
      </c>
      <c r="J221" s="34"/>
    </row>
    <row r="222" spans="1:14" s="51" customFormat="1" ht="15.75" customHeight="1" x14ac:dyDescent="0.25">
      <c r="A222" s="128" t="s">
        <v>255</v>
      </c>
      <c r="B222" s="129"/>
      <c r="C222" s="129"/>
      <c r="D222" s="129"/>
      <c r="E222" s="129"/>
      <c r="F222" s="129"/>
      <c r="G222" s="129"/>
      <c r="H222" s="130"/>
      <c r="I222" s="34"/>
      <c r="J222" s="34"/>
      <c r="N222" s="34"/>
    </row>
    <row r="223" spans="1:14" s="51" customFormat="1" x14ac:dyDescent="0.25">
      <c r="A223" s="131">
        <v>1</v>
      </c>
      <c r="B223" s="132"/>
      <c r="C223" s="49" t="s">
        <v>203</v>
      </c>
      <c r="D223" s="59">
        <f>(3.4*6.26+2.59*3.95+3.5*3.66+0.91*1.52+3.2*3.95+1.73*1+3.5*2.13+2.44*1.37+1.92*1+1.22*2.06+2.12*1.84+3.4*1.2)*10.764</f>
        <v>896.52817800000003</v>
      </c>
      <c r="E223" s="73">
        <v>0</v>
      </c>
      <c r="F223" s="73">
        <f>D223*(($F$149)+1)+(IF(E223&lt;101,E223,IF(E223&lt;201,E223/2,IF(E223&lt;=301,E223/3,E223/4))))</f>
        <v>1389.6186759</v>
      </c>
      <c r="G223" s="133" t="str">
        <f>A222</f>
        <v>24th &amp; 25th Floor</v>
      </c>
      <c r="H223" s="134"/>
      <c r="I223" s="34"/>
      <c r="N223" s="34"/>
    </row>
    <row r="224" spans="1:14" s="51" customFormat="1" x14ac:dyDescent="0.25">
      <c r="A224" s="131">
        <f t="shared" ref="A224:A225" si="24">A223+1</f>
        <v>2</v>
      </c>
      <c r="B224" s="132"/>
      <c r="C224" s="49" t="s">
        <v>204</v>
      </c>
      <c r="D224" s="59">
        <f>(3.65*6.11+1.13*3.21+2.59*3.95+3.5*3.95+3.5*3.95+3.5*3.81+0.91*1.36+3.35*2.14+1.84*1.84+2.21*1+2.04*1+1.3*2.06+1.52*2.44+4.19*1.07+2.44*1.52+1.22*1.99+3.65*1.2)*10.764</f>
        <v>1233.2659248</v>
      </c>
      <c r="E224" s="73">
        <v>0</v>
      </c>
      <c r="F224" s="73">
        <f>D224*(($F$149)+1)+(IF(E224&lt;101,E224,IF(E224&lt;201,E224/2,IF(E224&lt;=301,E224/3,E224/4))))</f>
        <v>1911.5621834400001</v>
      </c>
      <c r="G224" s="135"/>
      <c r="H224" s="136"/>
      <c r="I224" s="34"/>
      <c r="N224" s="34"/>
    </row>
    <row r="225" spans="1:14" s="51" customFormat="1" x14ac:dyDescent="0.25">
      <c r="A225" s="131">
        <f t="shared" si="24"/>
        <v>3</v>
      </c>
      <c r="B225" s="132"/>
      <c r="C225" s="49" t="s">
        <v>241</v>
      </c>
      <c r="D225" s="59">
        <f>(5.4*8.05+1.22*3.33+1.45*5.3+2.44*3.58+1.82*2.44+4.1*3.18+3.05*4.31+3.05*4.31+3.65*5.43+2.44*3.58+4.1*3.35+2.75*1.37+2.13*1.37+1.13*1.37+0.7*0.6+2.15*2.6+1.52*2.44+1.1*0.97+6.51*0.97+3.35*3.25+1.5*1.06+0.9*1.14+2.44*1.37+1.85*0.68+2.6*1.52+1.37*1.83+8.36*0.99+6.85*1.24)*10.764</f>
        <v>2332.3467492</v>
      </c>
      <c r="E225" s="73">
        <v>0</v>
      </c>
      <c r="F225" s="73">
        <f>D225*(($F$149)+1)+(IF(E225&lt;101,E225,IF(E225&lt;201,E225/2,IF(E225&lt;=301,E225/3,E225/4))))</f>
        <v>3615.1374612600002</v>
      </c>
      <c r="G225" s="135"/>
      <c r="H225" s="136"/>
      <c r="I225" s="51">
        <f>1</f>
        <v>1</v>
      </c>
      <c r="J225" s="34"/>
    </row>
    <row r="226" spans="1:14" s="51" customFormat="1" ht="15.75" customHeight="1" x14ac:dyDescent="0.25">
      <c r="A226" s="128" t="s">
        <v>238</v>
      </c>
      <c r="B226" s="129"/>
      <c r="C226" s="129"/>
      <c r="D226" s="129"/>
      <c r="E226" s="129"/>
      <c r="F226" s="129"/>
      <c r="G226" s="129"/>
      <c r="H226" s="130"/>
      <c r="I226" s="34"/>
      <c r="J226" s="34"/>
      <c r="N226" s="34"/>
    </row>
    <row r="227" spans="1:14" s="51" customFormat="1" x14ac:dyDescent="0.25">
      <c r="A227" s="131">
        <v>1</v>
      </c>
      <c r="B227" s="132"/>
      <c r="C227" s="49" t="s">
        <v>203</v>
      </c>
      <c r="D227" s="59">
        <f>(3.4*6.26+2.59*3.95+3.5*3.66+0.91*1.52+3.2*3.95+1.73*1+3.5*2.13+2.44*1.37+1.92*1+1.22*2.06+2.12*1.84+3.4*1.2)*10.764</f>
        <v>896.52817800000003</v>
      </c>
      <c r="E227" s="73">
        <v>0</v>
      </c>
      <c r="F227" s="73">
        <f>D227*(($F$149)+1)+(IF(E227&lt;101,E227,IF(E227&lt;201,E227/2,IF(E227&lt;=301,E227/3,E227/4))))</f>
        <v>1389.6186759</v>
      </c>
      <c r="G227" s="133" t="str">
        <f>A226</f>
        <v>26th Floor</v>
      </c>
      <c r="H227" s="134"/>
      <c r="I227" s="34"/>
      <c r="N227" s="34"/>
    </row>
    <row r="228" spans="1:14" s="51" customFormat="1" x14ac:dyDescent="0.25">
      <c r="A228" s="131">
        <f t="shared" ref="A228:A229" si="25">A227+1</f>
        <v>2</v>
      </c>
      <c r="B228" s="132"/>
      <c r="C228" s="49" t="s">
        <v>204</v>
      </c>
      <c r="D228" s="59">
        <f>(3.65*6.11+1.13*3.21+2.59*3.95+3.5*3.95+3.5*3.95+3.5*3.81+0.91*1.36+3.35*2.14+1.84*1.84+2.21*1+2.04*1+1.3*2.06+1.52*2.44+4.19*1.07+2.44*1.52+1.22*1.99+3.65*1.2)*10.764</f>
        <v>1233.2659248</v>
      </c>
      <c r="E228" s="73">
        <v>0</v>
      </c>
      <c r="F228" s="73">
        <f>D228*(($F$149)+1)+(IF(E228&lt;101,E228,IF(E228&lt;201,E228/2,IF(E228&lt;=301,E228/3,E228/4))))</f>
        <v>1911.5621834400001</v>
      </c>
      <c r="G228" s="135"/>
      <c r="H228" s="136"/>
      <c r="I228" s="34">
        <f>5.06*8.05+0.85*4.32+1.79*3.73+2.44*3.58+1.67*2.44+4.1*3.18+3.62*4.31+3.57*4.31+4.1*3.35+1.41*1.37+2*1.37+2.44*3.58+2.78*3.25+1.18*0.68+3.52*1.37+1.6*0.68+2.6*1.52+1.67*2.44+2.36*3.48+2.98*3.2+2.08*2.08+0.37*1.37+1.05*0.71+2.15*0.97+2.45*1.37+5.66*0.97+6.85*1.24</f>
        <v>201.58889999999997</v>
      </c>
      <c r="J228" s="51">
        <f>2.21*4.8+1.57*2.65+1.43*0.94+3.05*4.31+3.35*3.93+1.5*0.38+0.9*1.14+4.1*3.18+2.44*4.15+2.44*3.58+2.44*1.37+2.6*1.52+1.52*2.44+1.52*3.01+10.15*0.99</f>
        <v>101.5462</v>
      </c>
      <c r="N228" s="34"/>
    </row>
    <row r="229" spans="1:14" s="51" customFormat="1" ht="47.25" x14ac:dyDescent="0.25">
      <c r="A229" s="131">
        <f t="shared" si="25"/>
        <v>3</v>
      </c>
      <c r="B229" s="132"/>
      <c r="C229" s="49" t="s">
        <v>256</v>
      </c>
      <c r="D229" s="59">
        <f>((5.06*8.05+0.85*4.32+1.79*3.73+2.44*3.58+1.67*2.44+4.1*3.18+3.62*4.31+3.57*4.31+4.1*3.35+1.41*1.37+2*1.37+2.44*3.58+2.78*3.25+1.18*0.68+3.52*1.37+1.6*0.68+2.6*1.52+1.67*2.44+2.36*3.48+2.98*3.2+2.08*2.08+0.37*1.37+1.05*0.71+2.15*0.97+2.45*1.37+5.66*0.97+6.85*1.24)+(2.21*4.8+1.57*2.65+1.43*0.94+3.05*4.31+3.35*3.93+1.5*0.38+0.9*1.14+4.1*3.18+2.44*4.15+2.44*3.58+2.44*1.37+2.6*1.52+1.52*2.44+1.52*3.01+10.15*0.99))*10.764</f>
        <v>3262.9462163999992</v>
      </c>
      <c r="E229" s="73">
        <v>0</v>
      </c>
      <c r="F229" s="73">
        <f>D229*(($F$149)+1)+(IF(E229&lt;101,E229,IF(E229&lt;201,E229/2,IF(E229&lt;=301,E229/3,E229/4))))</f>
        <v>5057.5666354199993</v>
      </c>
      <c r="G229" s="135"/>
      <c r="H229" s="136"/>
      <c r="I229" s="51">
        <f>1</f>
        <v>1</v>
      </c>
      <c r="J229" s="34"/>
    </row>
    <row r="230" spans="1:14" s="51" customFormat="1" ht="15.75" customHeight="1" x14ac:dyDescent="0.25">
      <c r="A230" s="128" t="s">
        <v>239</v>
      </c>
      <c r="B230" s="129"/>
      <c r="C230" s="129"/>
      <c r="D230" s="129"/>
      <c r="E230" s="129"/>
      <c r="F230" s="129"/>
      <c r="G230" s="129"/>
      <c r="H230" s="130"/>
      <c r="I230" s="34"/>
      <c r="J230" s="34"/>
      <c r="N230" s="34"/>
    </row>
    <row r="231" spans="1:14" s="51" customFormat="1" x14ac:dyDescent="0.25">
      <c r="A231" s="131">
        <v>1</v>
      </c>
      <c r="B231" s="132"/>
      <c r="C231" s="49" t="s">
        <v>203</v>
      </c>
      <c r="D231" s="59">
        <f>(3.4*6.26+2.59*3.95+3.5*3.66+0.91*1.52+3.2*3.95+1.73*1+3.5*2.13+2.44*1.37+1.92*1+1.22*2.06+2.12*1.84+3.4*1.2)*10.764</f>
        <v>896.52817800000003</v>
      </c>
      <c r="E231" s="73">
        <v>0</v>
      </c>
      <c r="F231" s="73">
        <f>D231*(($F$149)+1)+(IF(E231&lt;101,E231,IF(E231&lt;201,E231/2,IF(E231&lt;=301,E231/3,E231/4))))</f>
        <v>1389.6186759</v>
      </c>
      <c r="G231" s="133" t="str">
        <f>A230</f>
        <v>27th Floor for Residential (Part Refuge Area)</v>
      </c>
      <c r="H231" s="134"/>
      <c r="I231" s="34"/>
      <c r="N231" s="34"/>
    </row>
    <row r="232" spans="1:14" s="51" customFormat="1" x14ac:dyDescent="0.25">
      <c r="A232" s="131">
        <f t="shared" ref="A232" si="26">A231+1</f>
        <v>2</v>
      </c>
      <c r="B232" s="132"/>
      <c r="C232" s="49" t="s">
        <v>204</v>
      </c>
      <c r="D232" s="59">
        <f>(3.65*6.11+1.13*3.21+2.59*3.95+3.5*3.95+3.5*3.95+3.5*3.81+0.91*1.36+3.35*2.14+1.84*1.84+2.21*1+2.04*1+1.3*2.06+1.52*2.44+4.19*1.07+2.44*1.52+1.22*1.99+3.65*1.2)*10.764</f>
        <v>1233.2659248</v>
      </c>
      <c r="E232" s="73">
        <v>0</v>
      </c>
      <c r="F232" s="73">
        <f>D232*(($F$149)+1)+(IF(E232&lt;101,E232,IF(E232&lt;201,E232/2,IF(E232&lt;=301,E232/3,E232/4))))</f>
        <v>1911.5621834400001</v>
      </c>
      <c r="G232" s="135"/>
      <c r="H232" s="136"/>
      <c r="I232" s="34">
        <f>5.06*8.05+0.85*4.32+1.79*3.73+2.44*3.58+1.67*2.44+4.1*3.18+3.62*4.31+3.57*4.31+4.1*3.35+1.41*1.37+2*1.37+2.44*3.58+2.78*3.25+1.18*0.68+3.52*1.37+1.6*0.68+2.6*1.52+1.67*2.44+2.36*3.48+2.98*3.2+2.08*2.08+0.37*1.37+1.05*0.71+2.15*0.97+2.45*1.37+5.66*0.97+6.85*1.24</f>
        <v>201.58889999999997</v>
      </c>
      <c r="J232" s="51">
        <f>2.21*4.8+1.57*2.65+1.43*0.94+3.05*4.31+3.35*3.93+1.5*0.38+0.9*1.14+4.1*3.18+2.44*4.15+2.44*3.58+2.44*1.37+2.6*1.52+1.52*2.44+1.52*3.01+10.15*0.99</f>
        <v>101.5462</v>
      </c>
      <c r="N232" s="34"/>
    </row>
    <row r="233" spans="1:14" s="51" customFormat="1" x14ac:dyDescent="0.25">
      <c r="A233" s="131" t="s">
        <v>240</v>
      </c>
      <c r="B233" s="132"/>
      <c r="C233" s="141" t="s">
        <v>201</v>
      </c>
      <c r="D233" s="142"/>
      <c r="E233" s="142"/>
      <c r="F233" s="143"/>
      <c r="G233" s="135"/>
      <c r="H233" s="136"/>
      <c r="I233" s="34">
        <f>5.06*8.05+0.85*4.32+1.79*3.73+2.44*3.58+1.67*2.44+4.1*3.18+3.62*4.31+3.57*4.31+4.1*3.35+1.41*1.37+2*1.37+2.44*3.58+2.78*3.25+1.18*0.68+3.52*1.37+1.6*0.68+2.6*1.52+1.67*2.44+2.36*3.48+2.98*3.2+2.08*2.08+0.37*1.37+1.05*0.71+2.15*0.97+2.45*1.37+5.66*0.97+6.85*1.24</f>
        <v>201.58889999999997</v>
      </c>
      <c r="J233" s="51">
        <f>2.21*4.8+1.57*2.65+1.43*0.94+3.05*4.31+3.35*3.93+1.5*0.38+0.9*1.14+4.1*3.18+2.44*4.15+2.44*3.58+2.44*1.37+2.6*1.52+1.52*2.44+1.52*3.01+10.15*0.99</f>
        <v>101.5462</v>
      </c>
      <c r="N233" s="34"/>
    </row>
    <row r="234" spans="1:14" s="51" customFormat="1" x14ac:dyDescent="0.25">
      <c r="A234" s="131">
        <f>A232+1</f>
        <v>3</v>
      </c>
      <c r="B234" s="132"/>
      <c r="C234" s="125" t="s">
        <v>257</v>
      </c>
      <c r="D234" s="126"/>
      <c r="E234" s="126"/>
      <c r="F234" s="127"/>
      <c r="G234" s="135"/>
      <c r="H234" s="136"/>
      <c r="I234" s="51">
        <f>1</f>
        <v>1</v>
      </c>
      <c r="J234" s="34"/>
    </row>
    <row r="235" spans="1:14" s="51" customFormat="1" ht="15.75" customHeight="1" x14ac:dyDescent="0.25">
      <c r="A235" s="128" t="s">
        <v>243</v>
      </c>
      <c r="B235" s="129"/>
      <c r="C235" s="129"/>
      <c r="D235" s="129"/>
      <c r="E235" s="129"/>
      <c r="F235" s="129"/>
      <c r="G235" s="129"/>
      <c r="H235" s="130"/>
      <c r="I235" s="34"/>
      <c r="J235" s="34"/>
      <c r="N235" s="34"/>
    </row>
    <row r="236" spans="1:14" s="51" customFormat="1" x14ac:dyDescent="0.25">
      <c r="A236" s="131">
        <v>1</v>
      </c>
      <c r="B236" s="132"/>
      <c r="C236" s="49" t="s">
        <v>203</v>
      </c>
      <c r="D236" s="59">
        <f>(3.4*6.26+2.59*3.95+3.5*3.66+0.91*1.52+3.2*3.95+1.73*1+3.5*2.13+2.44*1.37+1.92*1+1.22*2.06+2.12*1.84+3.4*1.2)*10.764</f>
        <v>896.52817800000003</v>
      </c>
      <c r="E236" s="73">
        <v>0</v>
      </c>
      <c r="F236" s="73">
        <f>D236*(($F$149)+1)+(IF(E236&lt;101,E236,IF(E236&lt;201,E236/2,IF(E236&lt;=301,E236/3,E236/4))))</f>
        <v>1389.6186759</v>
      </c>
      <c r="G236" s="133" t="str">
        <f>A235</f>
        <v>28th Floor</v>
      </c>
      <c r="H236" s="134"/>
      <c r="I236" s="34"/>
      <c r="N236" s="34"/>
    </row>
    <row r="237" spans="1:14" s="51" customFormat="1" x14ac:dyDescent="0.25">
      <c r="A237" s="131">
        <f t="shared" ref="A237:A238" si="27">A236+1</f>
        <v>2</v>
      </c>
      <c r="B237" s="132"/>
      <c r="C237" s="49" t="s">
        <v>204</v>
      </c>
      <c r="D237" s="59">
        <f>(3.65*6.11+1.13*3.21+2.59*3.95+3.5*3.95+3.5*3.95+3.5*3.81+0.91*1.36+3.35*2.14+1.84*1.84+2.21*1+2.04*1+1.3*2.06+1.52*2.44+4.19*1.07+2.44*1.52+1.22*1.99+3.65*1.2)*10.764</f>
        <v>1233.2659248</v>
      </c>
      <c r="E237" s="73">
        <v>0</v>
      </c>
      <c r="F237" s="73">
        <f>D237*(($F$149)+1)+(IF(E237&lt;101,E237,IF(E237&lt;201,E237/2,IF(E237&lt;=301,E237/3,E237/4))))</f>
        <v>1911.5621834400001</v>
      </c>
      <c r="G237" s="135"/>
      <c r="H237" s="136"/>
      <c r="I237" s="34"/>
      <c r="N237" s="34"/>
    </row>
    <row r="238" spans="1:14" s="51" customFormat="1" x14ac:dyDescent="0.25">
      <c r="A238" s="131">
        <f t="shared" si="27"/>
        <v>3</v>
      </c>
      <c r="B238" s="132"/>
      <c r="C238" s="49" t="s">
        <v>241</v>
      </c>
      <c r="D238" s="59">
        <f>(5.4*8.05+1.22*3.33+1.45*5.3+2.44*3.58+1.82*2.44+4.1*3.18+3.05*4.31+3.05*4.31+3.65*5.43+2.44*3.58+4.1*3.35+2.75*1.37+2.13*1.37+1.13*1.37+0.7*0.6+2.15*2.6+1.52*2.44+1.1*0.97+6.51*0.97+3.35*3.25+1.5*1.06+0.9*1.14+2.44*1.37+1.85*0.68+2.6*1.52+1.37*1.83+8.36*0.99+6.85*1.24)*10.764</f>
        <v>2332.3467492</v>
      </c>
      <c r="E238" s="73">
        <v>0</v>
      </c>
      <c r="F238" s="73">
        <f>D238*(($F$149)+1)+(IF(E238&lt;101,E238,IF(E238&lt;201,E238/2,IF(E238&lt;=301,E238/3,E238/4))))</f>
        <v>3615.1374612600002</v>
      </c>
      <c r="G238" s="135"/>
      <c r="H238" s="136"/>
      <c r="I238" s="51">
        <f>1</f>
        <v>1</v>
      </c>
      <c r="J238" s="34"/>
    </row>
    <row r="239" spans="1:14" s="51" customFormat="1" ht="15.75" customHeight="1" x14ac:dyDescent="0.25">
      <c r="A239" s="128" t="s">
        <v>244</v>
      </c>
      <c r="B239" s="129"/>
      <c r="C239" s="129"/>
      <c r="D239" s="129"/>
      <c r="E239" s="129"/>
      <c r="F239" s="129"/>
      <c r="G239" s="129"/>
      <c r="H239" s="130"/>
      <c r="I239" s="34"/>
      <c r="J239" s="34"/>
      <c r="N239" s="34"/>
    </row>
    <row r="240" spans="1:14" s="51" customFormat="1" x14ac:dyDescent="0.25">
      <c r="A240" s="131">
        <v>1</v>
      </c>
      <c r="B240" s="132"/>
      <c r="C240" s="49" t="s">
        <v>203</v>
      </c>
      <c r="D240" s="59">
        <f>(3.4*6.26+2.59*3.95+3.5*3.66+0.91*1.52+3.2*3.95+1.73*1+3.5*2.13+2.44*1.37+1.92*1+1.22*2.06+2.12*1.84+3.4*1.2)*10.764</f>
        <v>896.52817800000003</v>
      </c>
      <c r="E240" s="73">
        <v>0</v>
      </c>
      <c r="F240" s="73">
        <f>D240*(($F$149)+1)+(IF(E240&lt;101,E240,IF(E240&lt;201,E240/2,IF(E240&lt;=301,E240/3,E240/4))))</f>
        <v>1389.6186759</v>
      </c>
      <c r="G240" s="133" t="str">
        <f>A239</f>
        <v>29th Floor</v>
      </c>
      <c r="H240" s="134"/>
      <c r="I240" s="34"/>
      <c r="N240" s="34"/>
    </row>
    <row r="241" spans="1:14" s="51" customFormat="1" x14ac:dyDescent="0.25">
      <c r="A241" s="131">
        <f t="shared" ref="A241:A242" si="28">A240+1</f>
        <v>2</v>
      </c>
      <c r="B241" s="132"/>
      <c r="C241" s="49" t="s">
        <v>204</v>
      </c>
      <c r="D241" s="59">
        <f>(3.65*6.11+1.13*3.21+2.59*3.95+3.5*3.95+3.5*3.95+3.5*3.81+0.91*1.36+3.35*2.14+1.84*1.84+2.21*1+2.04*1+1.3*2.06+1.52*2.44+4.19*1.07+2.44*1.52+1.22*1.99+3.65*1.2)*10.764</f>
        <v>1233.2659248</v>
      </c>
      <c r="E241" s="73">
        <v>0</v>
      </c>
      <c r="F241" s="73">
        <f>D241*(($F$149)+1)+(IF(E241&lt;101,E241,IF(E241&lt;201,E241/2,IF(E241&lt;=301,E241/3,E241/4))))</f>
        <v>1911.5621834400001</v>
      </c>
      <c r="G241" s="135"/>
      <c r="H241" s="136"/>
      <c r="I241" s="34"/>
      <c r="N241" s="34"/>
    </row>
    <row r="242" spans="1:14" s="51" customFormat="1" x14ac:dyDescent="0.25">
      <c r="A242" s="131">
        <f t="shared" si="28"/>
        <v>3</v>
      </c>
      <c r="B242" s="132"/>
      <c r="C242" s="49" t="s">
        <v>241</v>
      </c>
      <c r="D242" s="59">
        <f>(5.4*8.05+1.22*3.33+1.45*5.3+2.44*3.58+1.82*2.44+4.1*3.18+3.05*4.31+3.05*4.31+3.65*5.43+2.44*3.58+4.1*3.35+2.75*1.37+2.13*1.37+1.13*1.37+0.7*0.6+2.15*2.6+1.52*2.44+1.1*0.97+6.51*0.97+3.35*3.25+1.5*1.06+0.9*1.14+2.44*1.37+1.85*0.68+2.6*1.52+1.37*1.83+8.36*0.99+6.85*1.24)*10.764</f>
        <v>2332.3467492</v>
      </c>
      <c r="E242" s="73">
        <v>0</v>
      </c>
      <c r="F242" s="73">
        <f>D242*(($F$149)+1)+(IF(E242&lt;101,E242,IF(E242&lt;201,E242/2,IF(E242&lt;=301,E242/3,E242/4))))</f>
        <v>3615.1374612600002</v>
      </c>
      <c r="G242" s="135"/>
      <c r="H242" s="136"/>
      <c r="I242" s="51">
        <f>1</f>
        <v>1</v>
      </c>
      <c r="J242" s="34"/>
    </row>
    <row r="243" spans="1:14" s="51" customFormat="1" ht="15.75" customHeight="1" x14ac:dyDescent="0.25">
      <c r="A243" s="128" t="s">
        <v>247</v>
      </c>
      <c r="B243" s="129"/>
      <c r="C243" s="129"/>
      <c r="D243" s="129"/>
      <c r="E243" s="129"/>
      <c r="F243" s="129"/>
      <c r="G243" s="129"/>
      <c r="H243" s="130"/>
      <c r="I243" s="34"/>
      <c r="J243" s="34"/>
      <c r="N243" s="34"/>
    </row>
    <row r="244" spans="1:14" s="51" customFormat="1" x14ac:dyDescent="0.25">
      <c r="A244" s="131">
        <v>1</v>
      </c>
      <c r="B244" s="132"/>
      <c r="C244" s="49" t="s">
        <v>248</v>
      </c>
      <c r="D244" s="125" t="s">
        <v>249</v>
      </c>
      <c r="E244" s="126"/>
      <c r="F244" s="127"/>
      <c r="G244" s="133" t="str">
        <f>A243</f>
        <v>30th Floor For Residential (Part Terrace Area)</v>
      </c>
      <c r="H244" s="134"/>
      <c r="I244" s="34"/>
      <c r="N244" s="34"/>
    </row>
    <row r="245" spans="1:14" s="51" customFormat="1" x14ac:dyDescent="0.25">
      <c r="A245" s="131">
        <f t="shared" ref="A245:A246" si="29">A244+1</f>
        <v>2</v>
      </c>
      <c r="B245" s="132"/>
      <c r="C245" s="49" t="s">
        <v>241</v>
      </c>
      <c r="D245" s="59">
        <f>(3.65*6.11+1.13*3.21+2.59*3.95+1.3*2.06+2.04*1+2.21*1+2.89*1.84+3.5*3.95+3.8*3.35+2.75*1.6+1.07*0.84+4.19*1.07+3.35*2.14+1.22*1.99+1.52*2.44+2.44*1.52+3.5*3.81+0.91*1.36+3.5*3.95+(3.65*1.2))*10.764</f>
        <v>1448.1239759999999</v>
      </c>
      <c r="E245" s="73">
        <v>0</v>
      </c>
      <c r="F245" s="73">
        <f>D245*(($F$149)+1)+(IF(E245&lt;101,E245,IF(E245&lt;201,E245/2,IF(E245&lt;=301,E245/3,E245/4))))</f>
        <v>2244.5921627999996</v>
      </c>
      <c r="G245" s="135"/>
      <c r="H245" s="136"/>
      <c r="I245" s="34"/>
      <c r="N245" s="34"/>
    </row>
    <row r="246" spans="1:14" s="33" customFormat="1" x14ac:dyDescent="0.25">
      <c r="A246" s="131">
        <f t="shared" si="29"/>
        <v>3</v>
      </c>
      <c r="B246" s="132"/>
      <c r="C246" s="49" t="s">
        <v>241</v>
      </c>
      <c r="D246" s="59">
        <f>(5.4*8.05+1.22*3.33+1.45*5.3+2.44*3.58+1.82*2.44+4.1*3.18+3.05*4.31+3.05*4.31+3.65*5.43+2.44*3.58+4.1*3.35+2.75*1.37+2.13*1.37+1.13*1.37+0.7*0.6+2.15*2.6+1.52*2.44+1.1*0.97+6.51*0.97+3.35*3.25+1.5*1.06+0.9*1.14+2.44*1.37+1.85*0.68+2.6*1.52+1.37*1.83+8.36*0.99+6.85*1.24)*10.764</f>
        <v>2332.3467492</v>
      </c>
      <c r="E246" s="73">
        <v>0</v>
      </c>
      <c r="F246" s="73">
        <f>D246*(($F$149)+1)+(IF(E246&lt;101,E246,IF(E246&lt;201,E246/2,IF(E246&lt;=301,E246/3,E246/4))))</f>
        <v>3615.1374612600002</v>
      </c>
      <c r="G246" s="135"/>
      <c r="H246" s="136"/>
    </row>
    <row r="247" spans="1:14" s="58" customFormat="1" x14ac:dyDescent="0.25">
      <c r="A247" s="140" t="s">
        <v>68</v>
      </c>
      <c r="B247" s="140"/>
      <c r="C247" s="140"/>
      <c r="D247" s="140"/>
      <c r="E247" s="140"/>
      <c r="F247" s="140"/>
      <c r="G247" s="140"/>
      <c r="H247" s="140"/>
    </row>
    <row r="248" spans="1:14" s="33" customFormat="1" x14ac:dyDescent="0.25">
      <c r="A248" s="57" t="s">
        <v>154</v>
      </c>
      <c r="B248" s="84" t="s">
        <v>269</v>
      </c>
      <c r="C248" s="85"/>
      <c r="D248" s="85"/>
      <c r="E248" s="85"/>
      <c r="F248" s="85"/>
      <c r="G248" s="85"/>
      <c r="H248" s="86"/>
    </row>
    <row r="249" spans="1:14" s="33" customFormat="1" x14ac:dyDescent="0.25">
      <c r="A249" s="43" t="s">
        <v>154</v>
      </c>
      <c r="B249" s="84" t="str">
        <f>(IF(F148="Saleable area Loading :","We have considered Saleable area of Flats as per our Calculation.","We considered Saleable area of Flat as per Builder area Sheet."))</f>
        <v>We have considered Saleable area of Flats as per our Calculation.</v>
      </c>
      <c r="C249" s="85"/>
      <c r="D249" s="85"/>
      <c r="E249" s="85"/>
      <c r="F249" s="85"/>
      <c r="G249" s="85"/>
      <c r="H249" s="86"/>
    </row>
    <row r="250" spans="1:14" s="33" customFormat="1" x14ac:dyDescent="0.25">
      <c r="A250" s="43" t="s">
        <v>154</v>
      </c>
      <c r="B250" s="84" t="str">
        <f>(IF(F124="Saleable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0" s="85"/>
      <c r="D250" s="85"/>
      <c r="E250" s="85"/>
      <c r="F250" s="85"/>
      <c r="G250" s="85"/>
      <c r="H250" s="86"/>
    </row>
    <row r="251" spans="1:14" s="33" customFormat="1" x14ac:dyDescent="0.25">
      <c r="A251" s="43" t="s">
        <v>154</v>
      </c>
      <c r="B251" s="137" t="s">
        <v>124</v>
      </c>
      <c r="C251" s="138"/>
      <c r="D251" s="138"/>
      <c r="E251" s="138"/>
      <c r="F251" s="138"/>
      <c r="G251" s="138"/>
      <c r="H251" s="139"/>
    </row>
    <row r="252" spans="1:14" s="33" customFormat="1" x14ac:dyDescent="0.25">
      <c r="A252" s="43" t="s">
        <v>154</v>
      </c>
      <c r="B252" s="84" t="s">
        <v>265</v>
      </c>
      <c r="C252" s="85"/>
      <c r="D252" s="85"/>
      <c r="E252" s="85"/>
      <c r="F252" s="85"/>
      <c r="G252" s="85"/>
      <c r="H252" s="86"/>
    </row>
    <row r="253" spans="1:14" s="33" customFormat="1" x14ac:dyDescent="0.25">
      <c r="A253" s="43" t="s">
        <v>154</v>
      </c>
      <c r="B253" s="137" t="s">
        <v>153</v>
      </c>
      <c r="C253" s="138"/>
      <c r="D253" s="138"/>
      <c r="E253" s="138"/>
      <c r="F253" s="138"/>
      <c r="G253" s="138"/>
      <c r="H253" s="139"/>
    </row>
    <row r="254" spans="1:14" s="33" customFormat="1" x14ac:dyDescent="0.25">
      <c r="A254" s="43" t="s">
        <v>154</v>
      </c>
      <c r="B254" s="137" t="s">
        <v>125</v>
      </c>
      <c r="C254" s="138"/>
      <c r="D254" s="138"/>
      <c r="E254" s="138"/>
      <c r="F254" s="138"/>
      <c r="G254" s="138"/>
      <c r="H254" s="139"/>
    </row>
    <row r="255" spans="1:14" s="33" customFormat="1" ht="32.25" customHeight="1" x14ac:dyDescent="0.25">
      <c r="A255" s="43" t="s">
        <v>154</v>
      </c>
      <c r="B255" s="137" t="s">
        <v>155</v>
      </c>
      <c r="C255" s="138"/>
      <c r="D255" s="138"/>
      <c r="E255" s="138"/>
      <c r="F255" s="138"/>
      <c r="G255" s="138"/>
      <c r="H255" s="139"/>
    </row>
    <row r="256" spans="1:14" s="33" customFormat="1" x14ac:dyDescent="0.25">
      <c r="A256" s="43" t="s">
        <v>154</v>
      </c>
      <c r="B256" s="137" t="s">
        <v>126</v>
      </c>
      <c r="C256" s="138"/>
      <c r="D256" s="138"/>
      <c r="E256" s="138"/>
      <c r="F256" s="138"/>
      <c r="G256" s="138"/>
      <c r="H256" s="139"/>
    </row>
    <row r="257" spans="1:8" s="33" customFormat="1" ht="15.75" customHeight="1" x14ac:dyDescent="0.25">
      <c r="A257" s="57" t="s">
        <v>154</v>
      </c>
      <c r="B257" s="84" t="s">
        <v>264</v>
      </c>
      <c r="C257" s="85"/>
      <c r="D257" s="85"/>
      <c r="E257" s="85"/>
      <c r="F257" s="85"/>
      <c r="G257" s="85"/>
      <c r="H257" s="86"/>
    </row>
    <row r="258" spans="1:8" x14ac:dyDescent="0.25">
      <c r="A258" s="57" t="s">
        <v>154</v>
      </c>
      <c r="B258" s="84" t="s">
        <v>263</v>
      </c>
      <c r="C258" s="85"/>
      <c r="D258" s="85"/>
      <c r="E258" s="85"/>
      <c r="F258" s="85"/>
      <c r="G258" s="85"/>
      <c r="H258" s="86"/>
    </row>
    <row r="259" spans="1:8" ht="36.75" customHeight="1" x14ac:dyDescent="0.25">
      <c r="A259" s="57" t="s">
        <v>154</v>
      </c>
      <c r="B259" s="84" t="s">
        <v>267</v>
      </c>
      <c r="C259" s="85"/>
      <c r="D259" s="85"/>
      <c r="E259" s="85"/>
      <c r="F259" s="85"/>
      <c r="G259" s="85"/>
      <c r="H259" s="86"/>
    </row>
    <row r="260" spans="1:8" x14ac:dyDescent="0.25">
      <c r="A260" s="217" t="s">
        <v>61</v>
      </c>
      <c r="B260" s="217"/>
      <c r="C260" s="217"/>
      <c r="D260" s="217"/>
      <c r="E260" s="217"/>
      <c r="F260" s="217"/>
      <c r="G260" s="217"/>
      <c r="H260" s="217"/>
    </row>
    <row r="261" spans="1:8" ht="15.75" customHeight="1" x14ac:dyDescent="0.25">
      <c r="A261" s="108" t="s">
        <v>62</v>
      </c>
      <c r="B261" s="108"/>
      <c r="C261" s="108"/>
      <c r="D261" s="108"/>
      <c r="E261" s="108"/>
      <c r="F261" s="108"/>
      <c r="G261" s="108"/>
      <c r="H261" s="108"/>
    </row>
    <row r="262" spans="1:8" x14ac:dyDescent="0.25">
      <c r="A262" s="240" t="s">
        <v>63</v>
      </c>
      <c r="B262" s="240"/>
      <c r="C262" s="240"/>
      <c r="D262" s="240"/>
      <c r="E262" s="240"/>
      <c r="F262" s="240"/>
      <c r="G262" s="240"/>
      <c r="H262" s="240"/>
    </row>
    <row r="263" spans="1:8" x14ac:dyDescent="0.25">
      <c r="A263" s="108" t="s">
        <v>64</v>
      </c>
      <c r="B263" s="108"/>
      <c r="C263" s="108"/>
      <c r="D263" s="108"/>
      <c r="E263" s="108"/>
      <c r="F263" s="108"/>
      <c r="G263" s="108"/>
      <c r="H263" s="108"/>
    </row>
    <row r="264" spans="1:8" x14ac:dyDescent="0.25">
      <c r="A264" s="108" t="s">
        <v>65</v>
      </c>
      <c r="B264" s="108"/>
      <c r="C264" s="108"/>
      <c r="D264" s="108"/>
      <c r="E264" s="108"/>
      <c r="F264" s="108"/>
      <c r="G264" s="108"/>
      <c r="H264" s="108"/>
    </row>
    <row r="265" spans="1:8" x14ac:dyDescent="0.25">
      <c r="A265" s="108" t="s">
        <v>127</v>
      </c>
      <c r="B265" s="108"/>
      <c r="C265" s="108"/>
      <c r="D265" s="108"/>
      <c r="E265" s="108"/>
      <c r="F265" s="108"/>
      <c r="G265" s="108"/>
      <c r="H265" s="108"/>
    </row>
    <row r="266" spans="1:8" x14ac:dyDescent="0.25">
      <c r="A266" s="110" t="s">
        <v>128</v>
      </c>
      <c r="B266" s="110"/>
      <c r="C266" s="110"/>
      <c r="D266" s="110"/>
      <c r="E266" s="110"/>
      <c r="F266" s="110"/>
      <c r="G266" s="110"/>
      <c r="H266" s="110"/>
    </row>
    <row r="267" spans="1:8" x14ac:dyDescent="0.25">
      <c r="A267" s="216" t="s">
        <v>76</v>
      </c>
      <c r="B267" s="216"/>
      <c r="C267" s="216" t="s">
        <v>271</v>
      </c>
      <c r="D267" s="216"/>
      <c r="E267" s="216" t="s">
        <v>105</v>
      </c>
      <c r="F267" s="216"/>
      <c r="G267" s="216" t="s">
        <v>270</v>
      </c>
      <c r="H267" s="216"/>
    </row>
    <row r="268" spans="1:8" x14ac:dyDescent="0.25">
      <c r="A268" s="215" t="s">
        <v>78</v>
      </c>
      <c r="B268" s="215"/>
      <c r="C268" s="215"/>
      <c r="D268" s="215"/>
      <c r="E268" s="215"/>
      <c r="F268" s="215"/>
      <c r="G268" s="215"/>
      <c r="H268" s="215"/>
    </row>
    <row r="269" spans="1:8" x14ac:dyDescent="0.25">
      <c r="A269" s="215"/>
      <c r="B269" s="215"/>
      <c r="C269" s="215"/>
      <c r="D269" s="215"/>
      <c r="E269" s="215"/>
      <c r="F269" s="215"/>
      <c r="G269" s="215"/>
      <c r="H269" s="215"/>
    </row>
    <row r="270" spans="1:8" x14ac:dyDescent="0.25">
      <c r="A270" s="215"/>
      <c r="B270" s="215"/>
      <c r="C270" s="215"/>
      <c r="D270" s="215"/>
      <c r="E270" s="215"/>
      <c r="F270" s="215"/>
      <c r="G270" s="215"/>
      <c r="H270" s="215"/>
    </row>
    <row r="271" spans="1:8" x14ac:dyDescent="0.25">
      <c r="A271" s="215"/>
      <c r="B271" s="215"/>
      <c r="C271" s="215"/>
      <c r="D271" s="215"/>
      <c r="E271" s="215"/>
      <c r="F271" s="215"/>
      <c r="G271" s="215"/>
      <c r="H271" s="215"/>
    </row>
    <row r="272" spans="1:8" x14ac:dyDescent="0.25">
      <c r="A272" s="36" t="s">
        <v>66</v>
      </c>
      <c r="B272" s="37"/>
      <c r="C272" s="37"/>
      <c r="D272" s="36" t="str">
        <f>E8</f>
        <v>Vikas 11</v>
      </c>
      <c r="F272" s="37"/>
      <c r="G272" s="37"/>
      <c r="H272" s="37"/>
    </row>
    <row r="273" spans="1:8" x14ac:dyDescent="0.25">
      <c r="A273" s="37"/>
      <c r="B273" s="37"/>
      <c r="C273" s="37"/>
      <c r="D273" s="37"/>
      <c r="E273" s="37"/>
      <c r="F273" s="37"/>
      <c r="G273" s="37"/>
      <c r="H273" s="37"/>
    </row>
    <row r="274" spans="1:8" ht="15" customHeight="1" x14ac:dyDescent="0.25">
      <c r="A274" s="37"/>
      <c r="B274" s="37"/>
      <c r="C274" s="37"/>
      <c r="D274" s="37"/>
      <c r="E274" s="37"/>
      <c r="F274" s="37"/>
      <c r="G274" s="37"/>
      <c r="H274" s="37"/>
    </row>
    <row r="309" spans="1:1" ht="15.75" customHeight="1" x14ac:dyDescent="0.25"/>
    <row r="311" spans="1:1" x14ac:dyDescent="0.25">
      <c r="A311" s="39" t="s">
        <v>166</v>
      </c>
    </row>
    <row r="355" spans="1:1" x14ac:dyDescent="0.25">
      <c r="A355" s="39" t="s">
        <v>67</v>
      </c>
    </row>
  </sheetData>
  <mergeCells count="441">
    <mergeCell ref="I11:L11"/>
    <mergeCell ref="A265:H265"/>
    <mergeCell ref="A262:H262"/>
    <mergeCell ref="A205:B205"/>
    <mergeCell ref="A117:B117"/>
    <mergeCell ref="D148:D149"/>
    <mergeCell ref="E148:E149"/>
    <mergeCell ref="G148:H149"/>
    <mergeCell ref="C124:C125"/>
    <mergeCell ref="A158:B158"/>
    <mergeCell ref="A159:B159"/>
    <mergeCell ref="A160:B160"/>
    <mergeCell ref="G158:H160"/>
    <mergeCell ref="A139:B139"/>
    <mergeCell ref="C155:F155"/>
    <mergeCell ref="A157:H157"/>
    <mergeCell ref="B148:B149"/>
    <mergeCell ref="A154:B154"/>
    <mergeCell ref="A126:H126"/>
    <mergeCell ref="A129:H129"/>
    <mergeCell ref="E124:E125"/>
    <mergeCell ref="G124:H125"/>
    <mergeCell ref="A122:H122"/>
    <mergeCell ref="A78:B78"/>
    <mergeCell ref="F98:H98"/>
    <mergeCell ref="A109:E109"/>
    <mergeCell ref="F109:H109"/>
    <mergeCell ref="A219:B219"/>
    <mergeCell ref="A155:B155"/>
    <mergeCell ref="A156:B156"/>
    <mergeCell ref="A215:B215"/>
    <mergeCell ref="A134:B134"/>
    <mergeCell ref="A135:B135"/>
    <mergeCell ref="A136:B136"/>
    <mergeCell ref="A217:B217"/>
    <mergeCell ref="A133:B133"/>
    <mergeCell ref="A147:H147"/>
    <mergeCell ref="A148:A149"/>
    <mergeCell ref="A206:B206"/>
    <mergeCell ref="A207:B207"/>
    <mergeCell ref="A105:E105"/>
    <mergeCell ref="A100:E100"/>
    <mergeCell ref="A97:E97"/>
    <mergeCell ref="F101:H101"/>
    <mergeCell ref="A102:E102"/>
    <mergeCell ref="A127:H127"/>
    <mergeCell ref="F97:H97"/>
    <mergeCell ref="G50:H50"/>
    <mergeCell ref="A51:B52"/>
    <mergeCell ref="A121:B121"/>
    <mergeCell ref="C121:D121"/>
    <mergeCell ref="E121:F121"/>
    <mergeCell ref="G121:H121"/>
    <mergeCell ref="E42:H42"/>
    <mergeCell ref="A42:D42"/>
    <mergeCell ref="C49:E49"/>
    <mergeCell ref="C52:E52"/>
    <mergeCell ref="G52:H52"/>
    <mergeCell ref="G49:H49"/>
    <mergeCell ref="G51:H51"/>
    <mergeCell ref="D57:H57"/>
    <mergeCell ref="C50:E50"/>
    <mergeCell ref="A55:B55"/>
    <mergeCell ref="C55:E55"/>
    <mergeCell ref="A50:B50"/>
    <mergeCell ref="A56:H56"/>
    <mergeCell ref="A57:C57"/>
    <mergeCell ref="A58:C58"/>
    <mergeCell ref="D58:H58"/>
    <mergeCell ref="G55:H55"/>
    <mergeCell ref="C53:E53"/>
    <mergeCell ref="G53:H53"/>
    <mergeCell ref="C54:E54"/>
    <mergeCell ref="G54:H54"/>
    <mergeCell ref="F108:H108"/>
    <mergeCell ref="F106:H106"/>
    <mergeCell ref="A212:B212"/>
    <mergeCell ref="A123:H123"/>
    <mergeCell ref="G113:H113"/>
    <mergeCell ref="A107:E107"/>
    <mergeCell ref="C114:D114"/>
    <mergeCell ref="E114:F114"/>
    <mergeCell ref="B124:B125"/>
    <mergeCell ref="A124:A125"/>
    <mergeCell ref="C148:C149"/>
    <mergeCell ref="C120:D120"/>
    <mergeCell ref="A153:H153"/>
    <mergeCell ref="A211:B211"/>
    <mergeCell ref="F107:H107"/>
    <mergeCell ref="E113:F113"/>
    <mergeCell ref="A113:B113"/>
    <mergeCell ref="A208:B208"/>
    <mergeCell ref="A132:B132"/>
    <mergeCell ref="A59:C59"/>
    <mergeCell ref="F100:H100"/>
    <mergeCell ref="A268:H271"/>
    <mergeCell ref="A267:B267"/>
    <mergeCell ref="E267:F267"/>
    <mergeCell ref="C267:D267"/>
    <mergeCell ref="G267:H267"/>
    <mergeCell ref="A112:H112"/>
    <mergeCell ref="A110:E110"/>
    <mergeCell ref="F110:H110"/>
    <mergeCell ref="A111:E111"/>
    <mergeCell ref="F111:H111"/>
    <mergeCell ref="A204:H204"/>
    <mergeCell ref="A118:B118"/>
    <mergeCell ref="A213:B213"/>
    <mergeCell ref="A263:H263"/>
    <mergeCell ref="A116:H116"/>
    <mergeCell ref="A266:H266"/>
    <mergeCell ref="A264:H264"/>
    <mergeCell ref="A260:H260"/>
    <mergeCell ref="A261:H261"/>
    <mergeCell ref="E117:F117"/>
    <mergeCell ref="B256:H256"/>
    <mergeCell ref="B254:H254"/>
    <mergeCell ref="B250:H250"/>
    <mergeCell ref="A225:B22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4:H34"/>
    <mergeCell ref="F33:H33"/>
    <mergeCell ref="A37:H37"/>
    <mergeCell ref="A36:B36"/>
    <mergeCell ref="C36:E36"/>
    <mergeCell ref="A41:D41"/>
    <mergeCell ref="E41:H41"/>
    <mergeCell ref="A40:H40"/>
    <mergeCell ref="A62:C62"/>
    <mergeCell ref="A63:C63"/>
    <mergeCell ref="D62:H62"/>
    <mergeCell ref="D63:H63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9:H59"/>
    <mergeCell ref="A49:B49"/>
    <mergeCell ref="C51:E51"/>
    <mergeCell ref="D61:H61"/>
    <mergeCell ref="A53:B54"/>
    <mergeCell ref="A38:B38"/>
    <mergeCell ref="C38:H38"/>
    <mergeCell ref="A45:D45"/>
    <mergeCell ref="A80:B80"/>
    <mergeCell ref="C118:D118"/>
    <mergeCell ref="E118:F118"/>
    <mergeCell ref="G118:H118"/>
    <mergeCell ref="F104:H104"/>
    <mergeCell ref="A98:E98"/>
    <mergeCell ref="E73:F82"/>
    <mergeCell ref="G73:H82"/>
    <mergeCell ref="A81:B81"/>
    <mergeCell ref="A82:B82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F102:H102"/>
    <mergeCell ref="A108:E108"/>
    <mergeCell ref="G120:H120"/>
    <mergeCell ref="A115:B115"/>
    <mergeCell ref="C115:D115"/>
    <mergeCell ref="E115:F115"/>
    <mergeCell ref="G115:H115"/>
    <mergeCell ref="A119:B119"/>
    <mergeCell ref="C119:D119"/>
    <mergeCell ref="E119:F119"/>
    <mergeCell ref="G119:H119"/>
    <mergeCell ref="G117:H117"/>
    <mergeCell ref="G114:H114"/>
    <mergeCell ref="F105:H105"/>
    <mergeCell ref="C113:D113"/>
    <mergeCell ref="A120:B120"/>
    <mergeCell ref="E120:F120"/>
    <mergeCell ref="A114:B114"/>
    <mergeCell ref="C117:D117"/>
    <mergeCell ref="A128:H128"/>
    <mergeCell ref="A39:B39"/>
    <mergeCell ref="C39:H39"/>
    <mergeCell ref="B255:H255"/>
    <mergeCell ref="A48:B48"/>
    <mergeCell ref="C48:H48"/>
    <mergeCell ref="B253:H253"/>
    <mergeCell ref="F99:H99"/>
    <mergeCell ref="A99:E99"/>
    <mergeCell ref="D124:D125"/>
    <mergeCell ref="A101:E101"/>
    <mergeCell ref="A130:B130"/>
    <mergeCell ref="A131:B131"/>
    <mergeCell ref="A103:E103"/>
    <mergeCell ref="F103:H103"/>
    <mergeCell ref="A104:E104"/>
    <mergeCell ref="A106:E106"/>
    <mergeCell ref="G154:H156"/>
    <mergeCell ref="A191:H191"/>
    <mergeCell ref="A145:B145"/>
    <mergeCell ref="A140:B140"/>
    <mergeCell ref="A141:B141"/>
    <mergeCell ref="A142:B142"/>
    <mergeCell ref="A137:B137"/>
    <mergeCell ref="B258:H258"/>
    <mergeCell ref="A199:H199"/>
    <mergeCell ref="A200:B200"/>
    <mergeCell ref="G200:H203"/>
    <mergeCell ref="A201:B201"/>
    <mergeCell ref="A202:B202"/>
    <mergeCell ref="A203:B203"/>
    <mergeCell ref="A196:B196"/>
    <mergeCell ref="A197:B197"/>
    <mergeCell ref="A198:B198"/>
    <mergeCell ref="G195:H198"/>
    <mergeCell ref="C198:F198"/>
    <mergeCell ref="G205:H208"/>
    <mergeCell ref="C208:F208"/>
    <mergeCell ref="A209:H209"/>
    <mergeCell ref="A210:B210"/>
    <mergeCell ref="G210:H213"/>
    <mergeCell ref="C213:F213"/>
    <mergeCell ref="A227:B227"/>
    <mergeCell ref="A243:H243"/>
    <mergeCell ref="A244:B244"/>
    <mergeCell ref="G244:H246"/>
    <mergeCell ref="A245:B245"/>
    <mergeCell ref="C234:F234"/>
    <mergeCell ref="A193:H193"/>
    <mergeCell ref="A194:H194"/>
    <mergeCell ref="A195:B195"/>
    <mergeCell ref="A146:B146"/>
    <mergeCell ref="G130:H146"/>
    <mergeCell ref="A151:H151"/>
    <mergeCell ref="A152:H152"/>
    <mergeCell ref="A150:H150"/>
    <mergeCell ref="A143:B143"/>
    <mergeCell ref="A144:B144"/>
    <mergeCell ref="A169:H169"/>
    <mergeCell ref="A170:B170"/>
    <mergeCell ref="G170:H171"/>
    <mergeCell ref="A171:B171"/>
    <mergeCell ref="A172:H172"/>
    <mergeCell ref="A173:B173"/>
    <mergeCell ref="G173:H174"/>
    <mergeCell ref="A174:B174"/>
    <mergeCell ref="A161:H161"/>
    <mergeCell ref="A162:B162"/>
    <mergeCell ref="G162:H164"/>
    <mergeCell ref="A163:B163"/>
    <mergeCell ref="C163:F163"/>
    <mergeCell ref="A138:B138"/>
    <mergeCell ref="A164:B164"/>
    <mergeCell ref="A165:H165"/>
    <mergeCell ref="A166:B166"/>
    <mergeCell ref="G166:H168"/>
    <mergeCell ref="A167:B167"/>
    <mergeCell ref="C167:F167"/>
    <mergeCell ref="A168:B168"/>
    <mergeCell ref="A175:H175"/>
    <mergeCell ref="A176:B176"/>
    <mergeCell ref="G176:H177"/>
    <mergeCell ref="A177:B177"/>
    <mergeCell ref="A178:H178"/>
    <mergeCell ref="A179:B179"/>
    <mergeCell ref="G179:H180"/>
    <mergeCell ref="A180:B180"/>
    <mergeCell ref="A181:H181"/>
    <mergeCell ref="A182:B182"/>
    <mergeCell ref="G182:H184"/>
    <mergeCell ref="A184:B184"/>
    <mergeCell ref="A183:B183"/>
    <mergeCell ref="C183:F183"/>
    <mergeCell ref="A185:H185"/>
    <mergeCell ref="A186:B186"/>
    <mergeCell ref="G186:H187"/>
    <mergeCell ref="A187:B187"/>
    <mergeCell ref="A188:H188"/>
    <mergeCell ref="A189:B189"/>
    <mergeCell ref="G189:H190"/>
    <mergeCell ref="A190:B190"/>
    <mergeCell ref="A192:H192"/>
    <mergeCell ref="C187:F187"/>
    <mergeCell ref="A230:H230"/>
    <mergeCell ref="A231:B231"/>
    <mergeCell ref="G231:H234"/>
    <mergeCell ref="A232:B232"/>
    <mergeCell ref="A234:B234"/>
    <mergeCell ref="A233:B233"/>
    <mergeCell ref="C233:F233"/>
    <mergeCell ref="A214:H214"/>
    <mergeCell ref="G215:H217"/>
    <mergeCell ref="A216:B216"/>
    <mergeCell ref="A218:H218"/>
    <mergeCell ref="G219:H221"/>
    <mergeCell ref="G223:H225"/>
    <mergeCell ref="A226:H226"/>
    <mergeCell ref="G227:H229"/>
    <mergeCell ref="A228:B228"/>
    <mergeCell ref="A229:B229"/>
    <mergeCell ref="A220:B220"/>
    <mergeCell ref="A221:B221"/>
    <mergeCell ref="A222:H222"/>
    <mergeCell ref="A223:B223"/>
    <mergeCell ref="A224:B224"/>
    <mergeCell ref="B257:H257"/>
    <mergeCell ref="D244:F244"/>
    <mergeCell ref="A235:H235"/>
    <mergeCell ref="A236:B236"/>
    <mergeCell ref="G236:H238"/>
    <mergeCell ref="A237:B237"/>
    <mergeCell ref="A238:B238"/>
    <mergeCell ref="A239:H239"/>
    <mergeCell ref="A240:B240"/>
    <mergeCell ref="G240:H242"/>
    <mergeCell ref="A241:B241"/>
    <mergeCell ref="A242:B242"/>
    <mergeCell ref="B251:H251"/>
    <mergeCell ref="B252:H252"/>
    <mergeCell ref="A247:H247"/>
    <mergeCell ref="B248:H248"/>
    <mergeCell ref="B249:H249"/>
    <mergeCell ref="A246:B246"/>
    <mergeCell ref="G87:H96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B259:H259"/>
    <mergeCell ref="D60:H60"/>
    <mergeCell ref="A60:C61"/>
    <mergeCell ref="A83:B83"/>
    <mergeCell ref="C83:H83"/>
    <mergeCell ref="A85:B85"/>
    <mergeCell ref="C85:H85"/>
    <mergeCell ref="A86:B86"/>
    <mergeCell ref="E86:F86"/>
    <mergeCell ref="G86:H86"/>
    <mergeCell ref="A76:B76"/>
    <mergeCell ref="E72:F72"/>
    <mergeCell ref="A65:C65"/>
    <mergeCell ref="D65:H65"/>
    <mergeCell ref="A68:C68"/>
    <mergeCell ref="D68:H68"/>
    <mergeCell ref="A66:C66"/>
    <mergeCell ref="D66:H66"/>
    <mergeCell ref="A67:C67"/>
    <mergeCell ref="D67:H67"/>
    <mergeCell ref="A73:B73"/>
    <mergeCell ref="G72:H72"/>
    <mergeCell ref="A87:B87"/>
    <mergeCell ref="E87:F96"/>
  </mergeCells>
  <dataValidations count="8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E124:E125" xr:uid="{00000000-0002-0000-0000-000003000000}">
      <formula1>"Attached Loft area,Attached Terrace area,Attached Mezzanine area"</formula1>
    </dataValidation>
    <dataValidation type="list" allowBlank="1" showInputMessage="1" showErrorMessage="1" sqref="F149 F125" xr:uid="{00000000-0002-0000-0000-000004000000}">
      <formula1>"45%,50%,55%,60%"</formula1>
    </dataValidation>
    <dataValidation type="list" allowBlank="1" showInputMessage="1" showErrorMessage="1" sqref="G267:H267" xr:uid="{00000000-0002-0000-0000-000005000000}">
      <formula1>"Gaurav Panchal,Saurav Panse, Shruti Fule,Pooja Kawale,Mansee Mohite,Anjali Kamble, Hitakshi Mhatre, Sachin Sawant"</formula1>
    </dataValidation>
    <dataValidation type="list" allowBlank="1" showInputMessage="1" showErrorMessage="1" sqref="F97:H97" xr:uid="{00000000-0002-0000-0000-000006000000}">
      <formula1>"On Saleable Area,On Builtup Area,On Carpet Area,On Plot Area"</formula1>
    </dataValidation>
    <dataValidation type="list" allowBlank="1" showInputMessage="1" showErrorMessage="1" sqref="F110:H110" xr:uid="{00000000-0002-0000-0000-000007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111" max="7" man="1"/>
    <brk id="147" max="7" man="1"/>
    <brk id="259" max="7" man="1"/>
    <brk id="271" max="7" man="1"/>
    <brk id="310" max="7" man="1"/>
    <brk id="354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9" sqref="C9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45" t="s">
        <v>106</v>
      </c>
      <c r="C3" s="245"/>
      <c r="D3" s="245"/>
      <c r="E3" s="245"/>
      <c r="F3" s="245"/>
      <c r="G3" s="245"/>
      <c r="H3" s="245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>
        <v>1233</v>
      </c>
      <c r="F5" s="7">
        <f>E5*1.6</f>
        <v>1972.8000000000002</v>
      </c>
      <c r="G5" s="7">
        <f>H5/F5</f>
        <v>14193.025141930249</v>
      </c>
      <c r="H5" s="8">
        <v>28000000</v>
      </c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/>
      <c r="C7" s="71" t="s">
        <v>223</v>
      </c>
      <c r="D7" s="5"/>
      <c r="E7" s="5">
        <v>230</v>
      </c>
      <c r="F7" s="7">
        <f t="shared" si="0"/>
        <v>368</v>
      </c>
      <c r="G7" s="7">
        <f t="shared" si="1"/>
        <v>21195.652173913044</v>
      </c>
      <c r="H7" s="8">
        <v>7800000</v>
      </c>
    </row>
    <row r="8" spans="1:9" x14ac:dyDescent="0.25">
      <c r="A8" s="2"/>
      <c r="B8" s="5"/>
      <c r="C8" s="72" t="s">
        <v>224</v>
      </c>
      <c r="D8" s="5"/>
      <c r="E8" s="5">
        <v>385</v>
      </c>
      <c r="F8" s="7">
        <f t="shared" si="0"/>
        <v>616</v>
      </c>
      <c r="G8" s="7">
        <f t="shared" si="1"/>
        <v>37337.662337662339</v>
      </c>
      <c r="H8" s="8">
        <v>23000000</v>
      </c>
    </row>
    <row r="9" spans="1:9" ht="15" customHeight="1" x14ac:dyDescent="0.25">
      <c r="A9" s="2"/>
      <c r="B9" s="5"/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2025-07-14T11:33:03Z</cp:lastPrinted>
  <dcterms:created xsi:type="dcterms:W3CDTF">2019-07-16T09:29:46Z</dcterms:created>
  <dcterms:modified xsi:type="dcterms:W3CDTF">2025-07-14T11:34:17Z</dcterms:modified>
</cp:coreProperties>
</file>