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FCF854B7-A433-4DA9-8912-8857D02F1E01}" xr6:coauthVersionLast="36" xr6:coauthVersionMax="36" xr10:uidLastSave="{00000000-0000-0000-0000-000000000000}"/>
  <bookViews>
    <workbookView xWindow="0" yWindow="0" windowWidth="20490" windowHeight="71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3" i="1" l="1"/>
  <c r="O172" i="1"/>
  <c r="K174" i="1"/>
  <c r="K173" i="1"/>
  <c r="K172" i="1"/>
  <c r="K171" i="1"/>
  <c r="K170" i="1"/>
  <c r="D425" i="1" l="1"/>
  <c r="F425" i="1" s="1"/>
  <c r="D424" i="1"/>
  <c r="F424" i="1" s="1"/>
  <c r="D423" i="1"/>
  <c r="F423" i="1" s="1"/>
  <c r="D422" i="1"/>
  <c r="F422" i="1" s="1"/>
  <c r="D421" i="1"/>
  <c r="F421" i="1" s="1"/>
  <c r="D420" i="1"/>
  <c r="F420" i="1" s="1"/>
  <c r="D335" i="1"/>
  <c r="F335" i="1" s="1"/>
  <c r="D334" i="1"/>
  <c r="F334" i="1" s="1"/>
  <c r="D333" i="1"/>
  <c r="F333" i="1" s="1"/>
  <c r="D331" i="1"/>
  <c r="F331" i="1" s="1"/>
  <c r="D330" i="1"/>
  <c r="F330" i="1" s="1"/>
  <c r="D329" i="1"/>
  <c r="F329" i="1" s="1"/>
  <c r="D245" i="1"/>
  <c r="F245" i="1" s="1"/>
  <c r="D244" i="1"/>
  <c r="F244" i="1" s="1"/>
  <c r="D241" i="1"/>
  <c r="F241" i="1" s="1"/>
  <c r="D240" i="1"/>
  <c r="F240" i="1" s="1"/>
  <c r="D327" i="1"/>
  <c r="F327" i="1" s="1"/>
  <c r="D326" i="1"/>
  <c r="F326" i="1" s="1"/>
  <c r="D325" i="1"/>
  <c r="F325" i="1" s="1"/>
  <c r="D324" i="1"/>
  <c r="F324" i="1" s="1"/>
  <c r="D323" i="1"/>
  <c r="F323" i="1" s="1"/>
  <c r="D322" i="1"/>
  <c r="F322" i="1" s="1"/>
  <c r="D321" i="1"/>
  <c r="F321" i="1" s="1"/>
  <c r="D418" i="1"/>
  <c r="F418" i="1" s="1"/>
  <c r="D417" i="1"/>
  <c r="F417" i="1" s="1"/>
  <c r="D416" i="1"/>
  <c r="F416" i="1" s="1"/>
  <c r="D415" i="1"/>
  <c r="F415" i="1" s="1"/>
  <c r="D414" i="1"/>
  <c r="F414" i="1" s="1"/>
  <c r="D413" i="1"/>
  <c r="F413" i="1" s="1"/>
  <c r="D412" i="1"/>
  <c r="F412" i="1" s="1"/>
  <c r="D174" i="1"/>
  <c r="F174" i="1" s="1"/>
  <c r="D173" i="1"/>
  <c r="F173" i="1" s="1"/>
  <c r="D188" i="1"/>
  <c r="F188" i="1" s="1"/>
  <c r="D187" i="1"/>
  <c r="F187" i="1" s="1"/>
  <c r="D181" i="1"/>
  <c r="F181" i="1" s="1"/>
  <c r="D180" i="1"/>
  <c r="F180" i="1" s="1"/>
  <c r="D195" i="1"/>
  <c r="F195" i="1" s="1"/>
  <c r="D194" i="1"/>
  <c r="F194" i="1" s="1"/>
  <c r="D202" i="1"/>
  <c r="F202" i="1" s="1"/>
  <c r="D201" i="1"/>
  <c r="F201" i="1" s="1"/>
  <c r="D209" i="1"/>
  <c r="F209" i="1" s="1"/>
  <c r="D208" i="1"/>
  <c r="F208" i="1" s="1"/>
  <c r="D216" i="1"/>
  <c r="F216" i="1" s="1"/>
  <c r="D215" i="1"/>
  <c r="F215" i="1" s="1"/>
  <c r="D223" i="1"/>
  <c r="F223" i="1" s="1"/>
  <c r="D222" i="1"/>
  <c r="F222" i="1" s="1"/>
  <c r="D230" i="1"/>
  <c r="F230" i="1" s="1"/>
  <c r="D229" i="1"/>
  <c r="F229" i="1" s="1"/>
  <c r="D236" i="1"/>
  <c r="F236" i="1" s="1"/>
  <c r="D238" i="1"/>
  <c r="F238" i="1" s="1"/>
  <c r="D237" i="1"/>
  <c r="F237" i="1" s="1"/>
  <c r="D235" i="1"/>
  <c r="F235" i="1" s="1"/>
  <c r="D234" i="1"/>
  <c r="F234" i="1" s="1"/>
  <c r="D233" i="1"/>
  <c r="F233" i="1" s="1"/>
  <c r="D410" i="1"/>
  <c r="F410" i="1" s="1"/>
  <c r="D409" i="1"/>
  <c r="F409" i="1" s="1"/>
  <c r="D408" i="1"/>
  <c r="F408" i="1" s="1"/>
  <c r="D407" i="1"/>
  <c r="F407" i="1" s="1"/>
  <c r="D406" i="1"/>
  <c r="F406" i="1" s="1"/>
  <c r="D405" i="1"/>
  <c r="F405" i="1" s="1"/>
  <c r="D404" i="1"/>
  <c r="F404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D231" i="1"/>
  <c r="F231" i="1" s="1"/>
  <c r="D228" i="1"/>
  <c r="F228" i="1" s="1"/>
  <c r="D227" i="1"/>
  <c r="F227" i="1" s="1"/>
  <c r="D226" i="1"/>
  <c r="F226" i="1" s="1"/>
  <c r="D401" i="1"/>
  <c r="F401" i="1" s="1"/>
  <c r="D400" i="1"/>
  <c r="F400" i="1" s="1"/>
  <c r="D399" i="1"/>
  <c r="F399" i="1" s="1"/>
  <c r="D398" i="1"/>
  <c r="F398" i="1" s="1"/>
  <c r="D397" i="1"/>
  <c r="F397" i="1" s="1"/>
  <c r="D396" i="1"/>
  <c r="F396" i="1" s="1"/>
  <c r="D311" i="1"/>
  <c r="F311" i="1" s="1"/>
  <c r="D310" i="1"/>
  <c r="F310" i="1" s="1"/>
  <c r="D309" i="1"/>
  <c r="F309" i="1" s="1"/>
  <c r="D307" i="1"/>
  <c r="F307" i="1" s="1"/>
  <c r="D306" i="1"/>
  <c r="F306" i="1" s="1"/>
  <c r="D305" i="1"/>
  <c r="F305" i="1" s="1"/>
  <c r="D224" i="1"/>
  <c r="F224" i="1" s="1"/>
  <c r="D220" i="1"/>
  <c r="F220" i="1" s="1"/>
  <c r="D219" i="1"/>
  <c r="F219" i="1" s="1"/>
  <c r="D394" i="1"/>
  <c r="F394" i="1" s="1"/>
  <c r="D393" i="1"/>
  <c r="F393" i="1" s="1"/>
  <c r="D392" i="1"/>
  <c r="F392" i="1" s="1"/>
  <c r="D391" i="1"/>
  <c r="F391" i="1" s="1"/>
  <c r="D390" i="1"/>
  <c r="F390" i="1" s="1"/>
  <c r="D389" i="1"/>
  <c r="F389" i="1" s="1"/>
  <c r="D388" i="1"/>
  <c r="F388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17" i="1"/>
  <c r="F217" i="1" s="1"/>
  <c r="D214" i="1"/>
  <c r="F214" i="1" s="1"/>
  <c r="D213" i="1"/>
  <c r="F213" i="1" s="1"/>
  <c r="D212" i="1"/>
  <c r="F212" i="1" s="1"/>
  <c r="D386" i="1"/>
  <c r="F386" i="1" s="1"/>
  <c r="D385" i="1"/>
  <c r="F385" i="1" s="1"/>
  <c r="D384" i="1"/>
  <c r="F384" i="1" s="1"/>
  <c r="D383" i="1"/>
  <c r="F383" i="1" s="1"/>
  <c r="D382" i="1"/>
  <c r="F382" i="1" s="1"/>
  <c r="D381" i="1"/>
  <c r="F381" i="1" s="1"/>
  <c r="D380" i="1"/>
  <c r="F380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3" i="1"/>
  <c r="F283" i="1" s="1"/>
  <c r="D282" i="1"/>
  <c r="F282" i="1" s="1"/>
  <c r="D281" i="1"/>
  <c r="F281" i="1" s="1"/>
  <c r="D210" i="1"/>
  <c r="F210" i="1" s="1"/>
  <c r="D207" i="1"/>
  <c r="F207" i="1" s="1"/>
  <c r="D206" i="1"/>
  <c r="F206" i="1" s="1"/>
  <c r="D205" i="1"/>
  <c r="F205" i="1" s="1"/>
  <c r="D377" i="1"/>
  <c r="F377" i="1" s="1"/>
  <c r="D376" i="1"/>
  <c r="F376" i="1" s="1"/>
  <c r="D375" i="1"/>
  <c r="F375" i="1" s="1"/>
  <c r="D374" i="1"/>
  <c r="F374" i="1" s="1"/>
  <c r="D373" i="1"/>
  <c r="F373" i="1" s="1"/>
  <c r="D372" i="1"/>
  <c r="F372" i="1" s="1"/>
  <c r="D287" i="1"/>
  <c r="F287" i="1" s="1"/>
  <c r="D286" i="1"/>
  <c r="F286" i="1" s="1"/>
  <c r="D285" i="1"/>
  <c r="F285" i="1" s="1"/>
  <c r="D203" i="1"/>
  <c r="F203" i="1" s="1"/>
  <c r="D199" i="1"/>
  <c r="F199" i="1" s="1"/>
  <c r="D198" i="1"/>
  <c r="F198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D364" i="1"/>
  <c r="F364" i="1" s="1"/>
  <c r="D279" i="1"/>
  <c r="F279" i="1" s="1"/>
  <c r="D278" i="1"/>
  <c r="F278" i="1" s="1"/>
  <c r="D277" i="1"/>
  <c r="F277" i="1" s="1"/>
  <c r="D276" i="1"/>
  <c r="F276" i="1" s="1"/>
  <c r="D275" i="1"/>
  <c r="F275" i="1" s="1"/>
  <c r="D274" i="1"/>
  <c r="F274" i="1" s="1"/>
  <c r="D273" i="1"/>
  <c r="F273" i="1" s="1"/>
  <c r="D196" i="1"/>
  <c r="F196" i="1" s="1"/>
  <c r="D193" i="1"/>
  <c r="F193" i="1" s="1"/>
  <c r="D192" i="1"/>
  <c r="F192" i="1" s="1"/>
  <c r="D191" i="1"/>
  <c r="F191" i="1" s="1"/>
  <c r="D360" i="1"/>
  <c r="F360" i="1" s="1"/>
  <c r="D359" i="1"/>
  <c r="F359" i="1" s="1"/>
  <c r="D358" i="1"/>
  <c r="F358" i="1" s="1"/>
  <c r="D357" i="1"/>
  <c r="F357" i="1" s="1"/>
  <c r="D356" i="1"/>
  <c r="F356" i="1" s="1"/>
  <c r="D267" i="1"/>
  <c r="F267" i="1" s="1"/>
  <c r="D271" i="1"/>
  <c r="F271" i="1" s="1"/>
  <c r="D270" i="1"/>
  <c r="F270" i="1" s="1"/>
  <c r="D269" i="1"/>
  <c r="F269" i="1" s="1"/>
  <c r="D266" i="1"/>
  <c r="F266" i="1" s="1"/>
  <c r="D265" i="1"/>
  <c r="F265" i="1" s="1"/>
  <c r="D189" i="1"/>
  <c r="F189" i="1" s="1"/>
  <c r="D185" i="1"/>
  <c r="F185" i="1" s="1"/>
  <c r="D178" i="1"/>
  <c r="F178" i="1" s="1"/>
  <c r="D171" i="1"/>
  <c r="F171" i="1" s="1"/>
  <c r="D184" i="1"/>
  <c r="F184" i="1" s="1"/>
  <c r="D354" i="1"/>
  <c r="F354" i="1" s="1"/>
  <c r="D353" i="1"/>
  <c r="F353" i="1" s="1"/>
  <c r="D352" i="1"/>
  <c r="F352" i="1" s="1"/>
  <c r="D350" i="1"/>
  <c r="F350" i="1" s="1"/>
  <c r="D348" i="1"/>
  <c r="F348" i="1" s="1"/>
  <c r="D263" i="1"/>
  <c r="F263" i="1" s="1"/>
  <c r="D262" i="1"/>
  <c r="F262" i="1" s="1"/>
  <c r="D261" i="1"/>
  <c r="F261" i="1" s="1"/>
  <c r="D259" i="1"/>
  <c r="F259" i="1" s="1"/>
  <c r="D258" i="1"/>
  <c r="F258" i="1" s="1"/>
  <c r="D257" i="1"/>
  <c r="F257" i="1" s="1"/>
  <c r="G138" i="1" l="1"/>
  <c r="G139" i="1"/>
  <c r="C139" i="1"/>
  <c r="E138" i="1"/>
  <c r="E139" i="1"/>
  <c r="D177" i="1" l="1"/>
  <c r="F177" i="1" s="1"/>
  <c r="D182" i="1"/>
  <c r="F182" i="1" s="1"/>
  <c r="D346" i="1"/>
  <c r="F346" i="1" s="1"/>
  <c r="D342" i="1"/>
  <c r="D255" i="1"/>
  <c r="F255" i="1" s="1"/>
  <c r="D254" i="1"/>
  <c r="F254" i="1" s="1"/>
  <c r="D253" i="1"/>
  <c r="F253" i="1" s="1"/>
  <c r="D249" i="1"/>
  <c r="D175" i="1"/>
  <c r="F175" i="1" s="1"/>
  <c r="N175" i="1" s="1"/>
  <c r="N174" i="1"/>
  <c r="N173" i="1"/>
  <c r="I173" i="1"/>
  <c r="N171" i="1"/>
  <c r="D170" i="1"/>
  <c r="D162" i="1"/>
  <c r="D157" i="1"/>
  <c r="D154" i="1"/>
  <c r="E41" i="1"/>
  <c r="F249" i="1" l="1"/>
  <c r="F342" i="1"/>
  <c r="F170" i="1"/>
  <c r="D361" i="1"/>
  <c r="F361" i="1" s="1"/>
  <c r="D351" i="1"/>
  <c r="F351" i="1" s="1"/>
  <c r="D349" i="1"/>
  <c r="F349" i="1" s="1"/>
  <c r="D345" i="1"/>
  <c r="F345" i="1" s="1"/>
  <c r="D344" i="1"/>
  <c r="F344" i="1" s="1"/>
  <c r="D343" i="1"/>
  <c r="F343" i="1" s="1"/>
  <c r="K335" i="1"/>
  <c r="K334" i="1"/>
  <c r="K333" i="1"/>
  <c r="K331" i="1"/>
  <c r="K330" i="1"/>
  <c r="K329" i="1"/>
  <c r="K327" i="1"/>
  <c r="K326" i="1"/>
  <c r="K325" i="1"/>
  <c r="K324" i="1"/>
  <c r="K323" i="1"/>
  <c r="K322" i="1"/>
  <c r="K321" i="1"/>
  <c r="K319" i="1"/>
  <c r="K318" i="1"/>
  <c r="K317" i="1"/>
  <c r="K316" i="1"/>
  <c r="K315" i="1"/>
  <c r="K314" i="1"/>
  <c r="K313" i="1"/>
  <c r="K311" i="1"/>
  <c r="K310" i="1"/>
  <c r="K309" i="1"/>
  <c r="K307" i="1"/>
  <c r="K306" i="1"/>
  <c r="K305" i="1"/>
  <c r="K303" i="1"/>
  <c r="K302" i="1"/>
  <c r="K301" i="1"/>
  <c r="K300" i="1"/>
  <c r="K299" i="1"/>
  <c r="K298" i="1"/>
  <c r="K297" i="1"/>
  <c r="K295" i="1"/>
  <c r="K294" i="1"/>
  <c r="K293" i="1"/>
  <c r="K292" i="1"/>
  <c r="K291" i="1"/>
  <c r="K290" i="1"/>
  <c r="K289" i="1"/>
  <c r="K286" i="1"/>
  <c r="K285" i="1"/>
  <c r="K283" i="1"/>
  <c r="K282" i="1"/>
  <c r="K279" i="1"/>
  <c r="K278" i="1"/>
  <c r="K273" i="1"/>
  <c r="D260" i="1"/>
  <c r="F260" i="1" s="1"/>
  <c r="D252" i="1"/>
  <c r="F252" i="1" s="1"/>
  <c r="L248" i="1"/>
  <c r="D243" i="1"/>
  <c r="F243" i="1" s="1"/>
  <c r="J243" i="1" s="1"/>
  <c r="D179" i="1"/>
  <c r="F179" i="1" s="1"/>
  <c r="D172" i="1"/>
  <c r="F172" i="1" s="1"/>
  <c r="N172" i="1" s="1"/>
  <c r="J155" i="1"/>
  <c r="K332" i="1"/>
  <c r="A330" i="1"/>
  <c r="A331" i="1" s="1"/>
  <c r="A332" i="1" s="1"/>
  <c r="A333" i="1" s="1"/>
  <c r="A334" i="1" s="1"/>
  <c r="A335" i="1" s="1"/>
  <c r="I329" i="1"/>
  <c r="G329" i="1"/>
  <c r="A421" i="1"/>
  <c r="A422" i="1" s="1"/>
  <c r="A423" i="1" s="1"/>
  <c r="A424" i="1" s="1"/>
  <c r="A425" i="1" s="1"/>
  <c r="A426" i="1" s="1"/>
  <c r="G420" i="1"/>
  <c r="A413" i="1"/>
  <c r="A414" i="1" s="1"/>
  <c r="A415" i="1" s="1"/>
  <c r="A416" i="1" s="1"/>
  <c r="A417" i="1" s="1"/>
  <c r="A418" i="1" s="1"/>
  <c r="G412" i="1"/>
  <c r="A405" i="1"/>
  <c r="A406" i="1" s="1"/>
  <c r="A407" i="1" s="1"/>
  <c r="A408" i="1" s="1"/>
  <c r="A409" i="1" s="1"/>
  <c r="A410" i="1" s="1"/>
  <c r="G404" i="1"/>
  <c r="A397" i="1"/>
  <c r="A398" i="1" s="1"/>
  <c r="A399" i="1" s="1"/>
  <c r="A400" i="1" s="1"/>
  <c r="A401" i="1" s="1"/>
  <c r="A402" i="1" s="1"/>
  <c r="G396" i="1"/>
  <c r="A389" i="1"/>
  <c r="A390" i="1" s="1"/>
  <c r="A391" i="1" s="1"/>
  <c r="A392" i="1" s="1"/>
  <c r="A393" i="1" s="1"/>
  <c r="A394" i="1" s="1"/>
  <c r="G388" i="1"/>
  <c r="A381" i="1"/>
  <c r="A382" i="1" s="1"/>
  <c r="A383" i="1" s="1"/>
  <c r="A384" i="1" s="1"/>
  <c r="A385" i="1" s="1"/>
  <c r="A386" i="1" s="1"/>
  <c r="G380" i="1"/>
  <c r="A373" i="1"/>
  <c r="A374" i="1" s="1"/>
  <c r="A375" i="1" s="1"/>
  <c r="A376" i="1" s="1"/>
  <c r="A377" i="1" s="1"/>
  <c r="A378" i="1" s="1"/>
  <c r="G372" i="1"/>
  <c r="A365" i="1"/>
  <c r="A366" i="1" s="1"/>
  <c r="A367" i="1" s="1"/>
  <c r="A368" i="1" s="1"/>
  <c r="A369" i="1" s="1"/>
  <c r="A370" i="1" s="1"/>
  <c r="G364" i="1"/>
  <c r="A357" i="1"/>
  <c r="A358" i="1" s="1"/>
  <c r="A359" i="1" s="1"/>
  <c r="A360" i="1" s="1"/>
  <c r="A361" i="1" s="1"/>
  <c r="A362" i="1" s="1"/>
  <c r="G356" i="1"/>
  <c r="A322" i="1"/>
  <c r="A323" i="1" s="1"/>
  <c r="A324" i="1" s="1"/>
  <c r="A325" i="1" s="1"/>
  <c r="A326" i="1" s="1"/>
  <c r="A327" i="1" s="1"/>
  <c r="I321" i="1"/>
  <c r="G321" i="1"/>
  <c r="A314" i="1"/>
  <c r="A315" i="1" s="1"/>
  <c r="A316" i="1" s="1"/>
  <c r="A317" i="1" s="1"/>
  <c r="A318" i="1" s="1"/>
  <c r="A319" i="1" s="1"/>
  <c r="I313" i="1"/>
  <c r="G313" i="1"/>
  <c r="K308" i="1"/>
  <c r="A306" i="1"/>
  <c r="A307" i="1" s="1"/>
  <c r="A308" i="1" s="1"/>
  <c r="A309" i="1" s="1"/>
  <c r="A310" i="1" s="1"/>
  <c r="A311" i="1" s="1"/>
  <c r="I305" i="1"/>
  <c r="G305" i="1"/>
  <c r="A298" i="1"/>
  <c r="A299" i="1" s="1"/>
  <c r="A300" i="1" s="1"/>
  <c r="A301" i="1" s="1"/>
  <c r="A302" i="1" s="1"/>
  <c r="A303" i="1" s="1"/>
  <c r="I297" i="1"/>
  <c r="G297" i="1"/>
  <c r="A290" i="1"/>
  <c r="A291" i="1" s="1"/>
  <c r="A292" i="1" s="1"/>
  <c r="A293" i="1" s="1"/>
  <c r="A294" i="1" s="1"/>
  <c r="A295" i="1" s="1"/>
  <c r="I289" i="1"/>
  <c r="G289" i="1"/>
  <c r="K287" i="1"/>
  <c r="K284" i="1"/>
  <c r="A282" i="1"/>
  <c r="A283" i="1" s="1"/>
  <c r="A284" i="1" s="1"/>
  <c r="A285" i="1" s="1"/>
  <c r="A286" i="1" s="1"/>
  <c r="A287" i="1" s="1"/>
  <c r="I281" i="1"/>
  <c r="G281" i="1"/>
  <c r="K281" i="1"/>
  <c r="K277" i="1"/>
  <c r="K276" i="1"/>
  <c r="K274" i="1"/>
  <c r="A274" i="1"/>
  <c r="A275" i="1" s="1"/>
  <c r="A276" i="1" s="1"/>
  <c r="A277" i="1" s="1"/>
  <c r="A278" i="1" s="1"/>
  <c r="A279" i="1" s="1"/>
  <c r="I273" i="1"/>
  <c r="G273" i="1"/>
  <c r="A241" i="1"/>
  <c r="A242" i="1" s="1"/>
  <c r="J240" i="1"/>
  <c r="I240" i="1"/>
  <c r="G240" i="1"/>
  <c r="J236" i="1"/>
  <c r="A234" i="1"/>
  <c r="A235" i="1" s="1"/>
  <c r="A236" i="1" s="1"/>
  <c r="A237" i="1" s="1"/>
  <c r="A238" i="1" s="1"/>
  <c r="J233" i="1"/>
  <c r="I233" i="1"/>
  <c r="G233" i="1"/>
  <c r="J229" i="1"/>
  <c r="A227" i="1"/>
  <c r="A228" i="1" s="1"/>
  <c r="A229" i="1" s="1"/>
  <c r="A230" i="1" s="1"/>
  <c r="A231" i="1" s="1"/>
  <c r="J226" i="1"/>
  <c r="I226" i="1"/>
  <c r="G226" i="1"/>
  <c r="J222" i="1"/>
  <c r="A220" i="1"/>
  <c r="A221" i="1" s="1"/>
  <c r="J219" i="1"/>
  <c r="I219" i="1"/>
  <c r="G219" i="1"/>
  <c r="G132" i="1" l="1"/>
  <c r="G133" i="1"/>
  <c r="E132" i="1"/>
  <c r="E134" i="1"/>
  <c r="G134" i="1"/>
  <c r="E133" i="1"/>
  <c r="N170" i="1"/>
  <c r="C138" i="1"/>
  <c r="C140" i="1" s="1"/>
  <c r="E140" i="1"/>
  <c r="K275" i="1"/>
  <c r="C132" i="1"/>
  <c r="C133" i="1"/>
  <c r="C134" i="1"/>
  <c r="G140" i="1"/>
  <c r="A243" i="1"/>
  <c r="A244" i="1" s="1"/>
  <c r="A245" i="1" s="1"/>
  <c r="A222" i="1"/>
  <c r="A223" i="1" s="1"/>
  <c r="A224" i="1" s="1"/>
  <c r="I204" i="1"/>
  <c r="J215" i="1"/>
  <c r="A213" i="1"/>
  <c r="A214" i="1" s="1"/>
  <c r="A215" i="1" s="1"/>
  <c r="A216" i="1" s="1"/>
  <c r="A217" i="1" s="1"/>
  <c r="J212" i="1"/>
  <c r="I212" i="1"/>
  <c r="G212" i="1"/>
  <c r="J208" i="1"/>
  <c r="A206" i="1"/>
  <c r="A207" i="1" s="1"/>
  <c r="A208" i="1" s="1"/>
  <c r="A209" i="1" s="1"/>
  <c r="A210" i="1" s="1"/>
  <c r="J205" i="1"/>
  <c r="I205" i="1"/>
  <c r="G205" i="1"/>
  <c r="J201" i="1"/>
  <c r="A199" i="1"/>
  <c r="A200" i="1" s="1"/>
  <c r="A201" i="1" s="1"/>
  <c r="A202" i="1" s="1"/>
  <c r="A203" i="1" s="1"/>
  <c r="J198" i="1"/>
  <c r="I198" i="1"/>
  <c r="G198" i="1"/>
  <c r="J194" i="1"/>
  <c r="A192" i="1"/>
  <c r="A193" i="1" s="1"/>
  <c r="A194" i="1" s="1"/>
  <c r="A195" i="1" s="1"/>
  <c r="A196" i="1" s="1"/>
  <c r="J191" i="1"/>
  <c r="I191" i="1"/>
  <c r="G191" i="1"/>
  <c r="J187" i="1"/>
  <c r="A185" i="1"/>
  <c r="A186" i="1" s="1"/>
  <c r="A187" i="1" s="1"/>
  <c r="A188" i="1" s="1"/>
  <c r="A189" i="1" s="1"/>
  <c r="J184" i="1"/>
  <c r="I184" i="1"/>
  <c r="G184" i="1"/>
  <c r="I172" i="1"/>
  <c r="I170" i="1"/>
  <c r="D163" i="1"/>
  <c r="D161" i="1"/>
  <c r="D160" i="1"/>
  <c r="D159" i="1"/>
  <c r="D158" i="1"/>
  <c r="D156" i="1"/>
  <c r="D155" i="1"/>
  <c r="D153" i="1"/>
  <c r="D152" i="1"/>
  <c r="D151" i="1"/>
  <c r="D150" i="1"/>
  <c r="D149" i="1"/>
  <c r="D148" i="1"/>
  <c r="E135" i="1" l="1"/>
  <c r="C135" i="1"/>
  <c r="G135" i="1"/>
  <c r="E128" i="1"/>
  <c r="C128" i="1"/>
  <c r="J180" i="1"/>
  <c r="K162" i="1"/>
  <c r="J249" i="1"/>
  <c r="J177" i="1"/>
  <c r="J250" i="1" l="1"/>
  <c r="L175" i="1"/>
  <c r="L173" i="1"/>
  <c r="K263" i="1"/>
  <c r="K262" i="1"/>
  <c r="K261" i="1"/>
  <c r="K260" i="1"/>
  <c r="K259" i="1"/>
  <c r="K258" i="1"/>
  <c r="K257" i="1"/>
  <c r="I149" i="1"/>
  <c r="C129" i="1" l="1"/>
  <c r="I265" i="1"/>
  <c r="G265" i="1"/>
  <c r="A349" i="1"/>
  <c r="A350" i="1" s="1"/>
  <c r="A351" i="1" s="1"/>
  <c r="A352" i="1" s="1"/>
  <c r="A353" i="1" s="1"/>
  <c r="A354" i="1" s="1"/>
  <c r="G348" i="1"/>
  <c r="A258" i="1"/>
  <c r="A259" i="1" s="1"/>
  <c r="A260" i="1" s="1"/>
  <c r="A261" i="1" s="1"/>
  <c r="A262" i="1" s="1"/>
  <c r="A263" i="1" s="1"/>
  <c r="I257" i="1"/>
  <c r="G257" i="1"/>
  <c r="A178" i="1"/>
  <c r="A179" i="1" s="1"/>
  <c r="A180" i="1" s="1"/>
  <c r="A181" i="1" s="1"/>
  <c r="A182" i="1" s="1"/>
  <c r="I177" i="1"/>
  <c r="G177" i="1"/>
  <c r="A250" i="1"/>
  <c r="A251" i="1" s="1"/>
  <c r="A252" i="1" s="1"/>
  <c r="A253" i="1" s="1"/>
  <c r="A254" i="1" s="1"/>
  <c r="A255" i="1" s="1"/>
  <c r="I249" i="1"/>
  <c r="G249" i="1"/>
  <c r="A341" i="1"/>
  <c r="A342" i="1" s="1"/>
  <c r="A343" i="1" s="1"/>
  <c r="A344" i="1" s="1"/>
  <c r="A345" i="1" s="1"/>
  <c r="A346" i="1" s="1"/>
  <c r="F159" i="1"/>
  <c r="F163" i="1"/>
  <c r="F161" i="1"/>
  <c r="F157" i="1"/>
  <c r="F162" i="1"/>
  <c r="F160" i="1"/>
  <c r="F158" i="1"/>
  <c r="F156" i="1"/>
  <c r="F155" i="1"/>
  <c r="F154" i="1"/>
  <c r="F153" i="1"/>
  <c r="F152" i="1"/>
  <c r="C141" i="1" l="1"/>
  <c r="E7" i="1"/>
  <c r="D64" i="1" l="1"/>
  <c r="E29" i="1"/>
  <c r="B429" i="1"/>
  <c r="B71" i="1"/>
  <c r="E24" i="1"/>
  <c r="E26" i="1" l="1"/>
  <c r="C14" i="1"/>
  <c r="E42" i="1" l="1"/>
  <c r="E43" i="1" s="1"/>
  <c r="A171" i="1" l="1"/>
  <c r="A172" i="1" s="1"/>
  <c r="A173" i="1" s="1"/>
  <c r="A174" i="1" s="1"/>
  <c r="A175" i="1" s="1"/>
  <c r="G170" i="1"/>
  <c r="F125" i="1" l="1"/>
  <c r="F149" i="1" l="1"/>
  <c r="F150" i="1"/>
  <c r="F151" i="1"/>
  <c r="F148" i="1"/>
  <c r="G128" i="1" l="1"/>
  <c r="G129" i="1" s="1"/>
  <c r="G141" i="1" s="1"/>
  <c r="E129" i="1"/>
  <c r="E141" i="1" s="1"/>
  <c r="B43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54" i="1"/>
  <c r="G340" i="1"/>
  <c r="A149" i="1"/>
  <c r="A150" i="1" s="1"/>
  <c r="A151" i="1" s="1"/>
  <c r="G148" i="1"/>
  <c r="B99" i="1"/>
  <c r="B85" i="1"/>
  <c r="D58" i="1"/>
  <c r="G49" i="1"/>
  <c r="C49" i="1"/>
  <c r="C50" i="1" s="1"/>
  <c r="E3" i="1"/>
  <c r="H99" i="1"/>
  <c r="H71" i="1"/>
  <c r="A152" i="1" l="1"/>
  <c r="A153" i="1" s="1"/>
  <c r="A154" i="1" s="1"/>
  <c r="A155" i="1" s="1"/>
  <c r="A156" i="1" s="1"/>
  <c r="D83" i="1"/>
  <c r="D81" i="1"/>
  <c r="D80" i="1"/>
  <c r="D79" i="1"/>
  <c r="D77" i="1"/>
  <c r="J70" i="1"/>
  <c r="D82" i="1"/>
  <c r="D78" i="1"/>
  <c r="J74" i="1"/>
  <c r="J75" i="1"/>
  <c r="C74" i="1" s="1"/>
  <c r="J73" i="1"/>
  <c r="J76" i="1"/>
  <c r="J98" i="1"/>
  <c r="J100" i="1" s="1"/>
  <c r="J102" i="1"/>
  <c r="D111" i="1"/>
  <c r="D109" i="1"/>
  <c r="D107" i="1"/>
  <c r="D105" i="1"/>
  <c r="J103" i="1"/>
  <c r="C102" i="1" s="1"/>
  <c r="J101" i="1"/>
  <c r="J104" i="1"/>
  <c r="D110" i="1"/>
  <c r="D108" i="1"/>
  <c r="D106" i="1"/>
  <c r="H85" i="1"/>
  <c r="D92" i="1" l="1"/>
  <c r="D93" i="1"/>
  <c r="J90" i="1"/>
  <c r="J91" i="1" s="1"/>
  <c r="J96" i="1" s="1"/>
  <c r="D94" i="1"/>
  <c r="J89" i="1"/>
  <c r="C88" i="1" s="1"/>
  <c r="D88" i="1" s="1"/>
  <c r="D91" i="1"/>
  <c r="J84" i="1"/>
  <c r="J86" i="1" s="1"/>
  <c r="J88" i="1"/>
  <c r="D95" i="1"/>
  <c r="D96" i="1"/>
  <c r="J87" i="1"/>
  <c r="D97" i="1"/>
  <c r="J77" i="1"/>
  <c r="J82" i="1" s="1"/>
  <c r="J105" i="1"/>
  <c r="J110" i="1" s="1"/>
  <c r="A157" i="1"/>
  <c r="A158" i="1" s="1"/>
  <c r="A159" i="1" s="1"/>
  <c r="A160" i="1" s="1"/>
  <c r="A161" i="1" s="1"/>
  <c r="A162" i="1" s="1"/>
  <c r="A163" i="1" s="1"/>
  <c r="J106" i="1"/>
  <c r="J107" i="1" s="1"/>
  <c r="J108" i="1" s="1"/>
  <c r="J109" i="1" s="1"/>
  <c r="J92" i="1"/>
  <c r="J93" i="1" s="1"/>
  <c r="J94" i="1" s="1"/>
  <c r="J95" i="1" s="1"/>
  <c r="J78" i="1"/>
  <c r="J79" i="1" s="1"/>
  <c r="J80" i="1" s="1"/>
  <c r="J81" i="1" s="1"/>
  <c r="D104" i="1"/>
  <c r="D102" i="1"/>
  <c r="D90" i="1"/>
  <c r="D76" i="1"/>
  <c r="J72" i="1"/>
  <c r="D74" i="1"/>
  <c r="J111" i="1" l="1"/>
  <c r="J83" i="1"/>
  <c r="J97" i="1"/>
  <c r="C103" i="1" l="1"/>
  <c r="E102" i="1" s="1"/>
  <c r="C75" i="1"/>
  <c r="G74" i="1" s="1"/>
  <c r="C89" i="1"/>
  <c r="J85" i="1" s="1"/>
  <c r="D103" i="1"/>
  <c r="I99" i="1" s="1"/>
  <c r="I100" i="1" s="1"/>
  <c r="G102" i="1"/>
  <c r="D68" i="1" s="1"/>
  <c r="D69" i="1" s="1"/>
  <c r="J99" i="1"/>
  <c r="D75" i="1" l="1"/>
  <c r="I71" i="1" s="1"/>
  <c r="I72" i="1" s="1"/>
  <c r="J71" i="1"/>
  <c r="E74" i="1"/>
  <c r="D89" i="1"/>
  <c r="I85" i="1" s="1"/>
  <c r="I86" i="1" s="1"/>
  <c r="G88" i="1"/>
  <c r="E88" i="1"/>
  <c r="I98" i="1"/>
  <c r="C100" i="1" s="1"/>
  <c r="F69" i="1"/>
  <c r="I70" i="1" l="1"/>
  <c r="C72" i="1" s="1"/>
  <c r="I84" i="1"/>
  <c r="C86" i="1" s="1"/>
</calcChain>
</file>

<file path=xl/sharedStrings.xml><?xml version="1.0" encoding="utf-8"?>
<sst xmlns="http://schemas.openxmlformats.org/spreadsheetml/2006/main" count="868" uniqueCount="271">
  <si>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</si>
  <si>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</si>
  <si>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</si>
  <si>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</si>
  <si>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</si>
  <si>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</si>
  <si>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</si>
  <si>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</si>
  <si>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</si>
  <si>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</si>
  <si>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</si>
  <si>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</si>
  <si>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</si>
  <si>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</si>
  <si>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</si>
  <si>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</si>
  <si>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</si>
  <si>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</si>
  <si>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</si>
  <si>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</si>
  <si>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</si>
  <si>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</si>
  <si>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</si>
  <si>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</si>
  <si>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</si>
  <si>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</si>
  <si>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</si>
  <si>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</si>
  <si>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</si>
  <si>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</si>
  <si>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</si>
  <si>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</si>
  <si>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</si>
  <si>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</si>
  <si>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</si>
  <si>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</si>
  <si>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</si>
  <si>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</si>
  <si>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</si>
  <si>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</si>
  <si>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</si>
  <si>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</si>
  <si>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</si>
  <si>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</si>
  <si>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</si>
  <si>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</si>
  <si>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</si>
  <si>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</si>
  <si>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</si>
  <si>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</si>
  <si>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</si>
  <si>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</si>
  <si>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</si>
  <si>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</si>
  <si>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</si>
  <si>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</si>
  <si>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</si>
  <si>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</si>
  <si>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</si>
  <si>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</si>
  <si>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</si>
  <si>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</si>
  <si>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</si>
  <si>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</si>
  <si>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</si>
  <si>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</si>
  <si>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</si>
  <si>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</si>
  <si>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</si>
  <si>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</si>
  <si>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</si>
  <si>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</si>
  <si>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</si>
  <si>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</si>
  <si>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</si>
  <si>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</si>
  <si>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</si>
  <si>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</si>
  <si>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</si>
  <si>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</si>
  <si>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</si>
  <si>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</si>
  <si>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</si>
  <si>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</si>
  <si>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</si>
  <si>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</si>
  <si>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</si>
  <si>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</si>
  <si>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</si>
  <si>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</si>
  <si>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</si>
  <si>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</si>
  <si>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</si>
  <si>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</si>
  <si>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</si>
  <si>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</si>
  <si>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</si>
  <si>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</si>
  <si>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</si>
  <si>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</si>
  <si>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</si>
  <si>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</si>
  <si>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</si>
  <si>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</si>
  <si>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</si>
  <si>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</si>
  <si>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</si>
  <si>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</si>
  <si>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</si>
  <si>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</si>
  <si>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</si>
  <si>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</si>
  <si>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</si>
  <si>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</si>
  <si>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</si>
  <si>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</si>
  <si>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</si>
  <si>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</si>
  <si>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</si>
  <si>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</si>
  <si>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</si>
  <si>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</si>
  <si>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</si>
  <si>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</si>
  <si>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</si>
  <si>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</si>
  <si>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</si>
  <si>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</si>
  <si>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</si>
  <si>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</si>
  <si>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</si>
  <si>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</si>
  <si>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</si>
  <si>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</si>
  <si>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</si>
  <si>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</si>
  <si>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</si>
  <si>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</si>
  <si>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</si>
  <si>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</si>
  <si>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</si>
  <si>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</si>
  <si>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</si>
  <si>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</si>
  <si>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</si>
  <si>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</si>
  <si>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</si>
  <si>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</si>
  <si>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</si>
  <si>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</si>
  <si>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</si>
  <si>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</si>
  <si>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</si>
  <si>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</si>
  <si>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</si>
  <si>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</si>
  <si>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</si>
  <si>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</si>
  <si>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</si>
  <si>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</si>
  <si>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</si>
  <si>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</si>
  <si>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</si>
  <si>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</si>
  <si>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</si>
  <si>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</si>
  <si>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</si>
  <si>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</si>
  <si>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</si>
  <si>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</si>
  <si>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</si>
  <si>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</si>
  <si>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Laukik Development Corporation</t>
  </si>
  <si>
    <t>Vastu Luxuria</t>
  </si>
  <si>
    <t>P51700050802</t>
  </si>
  <si>
    <t>Thane</t>
  </si>
  <si>
    <t>Kalyan</t>
  </si>
  <si>
    <t>2.6 KM from Dombivli Railway Station</t>
  </si>
  <si>
    <t>Dombivli (East)</t>
  </si>
  <si>
    <t>Internal Road</t>
  </si>
  <si>
    <t>Nandivali Panchanand</t>
  </si>
  <si>
    <t>Survey No</t>
  </si>
  <si>
    <t>Kalyan Dombivli Municipal Corporation (KDMC)</t>
  </si>
  <si>
    <t>As per RERA - 31/12/2028</t>
  </si>
  <si>
    <t>Wing A + B</t>
  </si>
  <si>
    <t>Shop</t>
  </si>
  <si>
    <t>Wing C</t>
  </si>
  <si>
    <t>1st &amp; 2nd Podium Floor For Parking</t>
  </si>
  <si>
    <t>Wing A</t>
  </si>
  <si>
    <t>1BHK</t>
  </si>
  <si>
    <t>2BHK</t>
  </si>
  <si>
    <t>Wing B</t>
  </si>
  <si>
    <t>Refuge Area</t>
  </si>
  <si>
    <t>03 Wings</t>
  </si>
  <si>
    <t>39/1, 39/2/A, 39/2/B, 39/3, 39/4/A, 39/4/B, 39/4/C, 39/4/D, 39/5/A</t>
  </si>
  <si>
    <t>Wing A, B &amp; C</t>
  </si>
  <si>
    <t>Approved Plans, CC, Builder Saleable Area, Cost Sheet</t>
  </si>
  <si>
    <t>Terrace Garden, Yoga/Meditation Area, Sit Out Area, Skating Rink, Jogging Track, Children's Play Area, Amphitheatre, Gymnasium, Indoor Games, Reception Area etc.</t>
  </si>
  <si>
    <t>Sale</t>
  </si>
  <si>
    <t>Mhada</t>
  </si>
  <si>
    <t>-</t>
  </si>
  <si>
    <t>C Wing = Gr/St + 3P + 2nd to 26th Floor</t>
  </si>
  <si>
    <t>A Wing = Gr/St + 3P + 2nd to 3rd Floor
B &amp; C Wing  = Gr/St + 3P + 2nd to 18th Floor</t>
  </si>
  <si>
    <t>Ave. St Road</t>
  </si>
  <si>
    <t>In the provided approved floor plan &amp; CC Wing B (1st to 3rd floor &amp; 4th floor part) is given for Mhada area. But in the approved floor plan which flat is sale and which flat is mhada is not mentioned on 4th floor.</t>
  </si>
  <si>
    <t>Sale Flats - 238, Mhada Flats - 26, Sale Shops - 16</t>
  </si>
  <si>
    <t>6500 to 7000</t>
  </si>
  <si>
    <t>OC 3L</t>
  </si>
  <si>
    <t>Rate 7700 + 4L Park by Bhargav cost sheet on mail  on 28/02/2025</t>
  </si>
  <si>
    <t>Recommended Rates / Other charges of the Property have been revised on 07/11/2023 &amp; 28/02/2025.</t>
  </si>
  <si>
    <t xml:space="preserve">Wing A, B &amp; C = Gr/St + 2P + 1st to 25th Floor
</t>
  </si>
  <si>
    <t>KDMCC/RB/2025/APL/00147</t>
  </si>
  <si>
    <t>Ground Floor For Commercial, Electrical Meter Room cum Panel Room, Fire Control Room  &amp; Parking</t>
  </si>
  <si>
    <t>1st Floor For Residential</t>
  </si>
  <si>
    <t>2nd Floor</t>
  </si>
  <si>
    <t>3rd Floor (Part Refuge Area)</t>
  </si>
  <si>
    <t>4th to 6th Floor</t>
  </si>
  <si>
    <t>7th, 11th &amp; 15th Floor (Part Refuge Area)</t>
  </si>
  <si>
    <t>8th to 10th, 12th to 14th &amp; 16th Floor</t>
  </si>
  <si>
    <t>17th &amp; 18th Floor</t>
  </si>
  <si>
    <t>20th Floor</t>
  </si>
  <si>
    <t>21st, 22nd, 24th &amp; 25th Floor</t>
  </si>
  <si>
    <t>23rd Floor (Part Refuge Area)</t>
  </si>
  <si>
    <t>Driver's Room</t>
  </si>
  <si>
    <t>Fitness Center</t>
  </si>
  <si>
    <t>1.5BHK</t>
  </si>
  <si>
    <t>19th Floor (Part Refuge Area)</t>
  </si>
  <si>
    <t>Ground Floor For Electrical Meter Room cum Panel Room, Fire Control Room &amp; Parking</t>
  </si>
  <si>
    <t>Parking</t>
  </si>
  <si>
    <t>Creche Room &amp; Society Office</t>
  </si>
  <si>
    <t xml:space="preserve">Wing A </t>
  </si>
  <si>
    <t xml:space="preserve">Wing B </t>
  </si>
  <si>
    <t xml:space="preserve">Wing C </t>
  </si>
  <si>
    <t>As per layout</t>
  </si>
  <si>
    <t>Other Plot</t>
  </si>
  <si>
    <t xml:space="preserve">Wing A = Gr/St + 2P + 1st to 25th Floor
</t>
  </si>
  <si>
    <t xml:space="preserve">Wing B = Gr/St + 2P + 1st to 25th Floor
</t>
  </si>
  <si>
    <t xml:space="preserve">Wing C = Gr/St + 2P + 1st to 25th Floor
</t>
  </si>
  <si>
    <t>We considered Gross carpet area = Net carpet + Dry Balcony + E.P Area.</t>
  </si>
  <si>
    <t xml:space="preserve">Details of Commercial &amp; Residential in Building   </t>
  </si>
  <si>
    <t>19.200833,73.091991</t>
  </si>
  <si>
    <t>https://maps.app.goo.gl/9kNpaPrpyCdjprD88</t>
  </si>
  <si>
    <t>Mauli Aashray</t>
  </si>
  <si>
    <t xml:space="preserve">Building </t>
  </si>
  <si>
    <t>24.00 Mt.W Road</t>
  </si>
  <si>
    <t>9 Mt. W Road</t>
  </si>
  <si>
    <t>Residential Area Details : (Sale Flat)</t>
  </si>
  <si>
    <t>Residential Area Details : (Mhada Flat)</t>
  </si>
  <si>
    <t>Commercial Area Details : (Sale Shop)</t>
  </si>
  <si>
    <t>1st Floor For Residential &amp; Part Creche Room, Society Office &amp; Parking</t>
  </si>
  <si>
    <t>1st Floor For Residential, Part Driver's Room &amp; Fitness Center</t>
  </si>
  <si>
    <t>We have given Valuation for Sale Flats and Shops only.</t>
  </si>
  <si>
    <t>Sale Flats - 451, Mhada Flats - 27, Sale Shops - 16</t>
  </si>
  <si>
    <t>Building Details Floor Wise</t>
  </si>
  <si>
    <r>
      <t xml:space="preserve">Flat No.
</t>
    </r>
    <r>
      <rPr>
        <b/>
        <sz val="11"/>
        <rFont val="Times New Roman"/>
        <family val="1"/>
      </rPr>
      <t>(Approved Plan)</t>
    </r>
  </si>
  <si>
    <t>We have updated latest approved CC &amp; plans on 16/04/2025</t>
  </si>
  <si>
    <t xml:space="preserve">Builder Saleable Area, </t>
  </si>
  <si>
    <t>Approved Plans, CC &amp; Cost Sheet</t>
  </si>
  <si>
    <t>FIRE/HQ/KDMC/OW/2021/E-68</t>
  </si>
  <si>
    <t>Wing A1, A2, A3 = Gr/St + 2P + 1st to 28th Floor (Height 89.60 Mtrs)</t>
  </si>
  <si>
    <t>We have updated EC &amp; Fire Noc (on 21/04/2025)</t>
  </si>
  <si>
    <t xml:space="preserve">Fire NOC No
Valid Up to: </t>
  </si>
  <si>
    <t>SIA/MH/MIS/266702/2022</t>
  </si>
  <si>
    <t>Plot Area = 16477.23 Sq.m
Total Builtup Area = 76609.74
Wing A, B &amp; C = Gr + 3 PO + 26 Floors ( Height 87.55 Mtrs)</t>
  </si>
  <si>
    <t xml:space="preserve">Environment Clearance No
Valid Up to: </t>
  </si>
  <si>
    <t>Nomenclature of the wings as per approved plan (Wing A, B &amp; C) &amp; as per Fire NOC (Wing A1, A2 &amp; A3) are does not match.</t>
  </si>
  <si>
    <t>Bhargav verbal +100 RS ON 09/06/2025</t>
  </si>
  <si>
    <t>Mr. Prathamesh 7678093286</t>
  </si>
  <si>
    <t>Construction work is in process at the time of Visit.</t>
  </si>
  <si>
    <t>Gaurav Panchal</t>
  </si>
  <si>
    <t>Krishna Kambli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</si>
</sst>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7" xfId="0" applyFont="1" applyFill="1" applyBorder="1"/>
    <xf numFmtId="0" fontId="26" fillId="0" borderId="28" xfId="0" applyFont="1" applyBorder="1"/>
    <xf numFmtId="0" fontId="26" fillId="0" borderId="1" xfId="0" applyFont="1" applyBorder="1"/>
    <xf numFmtId="0" fontId="26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25" fillId="2" borderId="13" xfId="0" applyFont="1" applyFill="1" applyBorder="1"/>
    <xf numFmtId="0" fontId="26" fillId="0" borderId="9" xfId="0" applyFont="1" applyBorder="1"/>
    <xf numFmtId="16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9" fontId="13" fillId="0" borderId="14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13" fillId="0" borderId="3" xfId="0" applyNumberFormat="1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" fontId="13" fillId="0" borderId="29" xfId="0" applyNumberFormat="1" applyFont="1" applyBorder="1" applyAlignment="1" applyProtection="1">
      <alignment horizontal="center" vertical="center" wrapText="1"/>
      <protection locked="0"/>
    </xf>
    <xf numFmtId="1" fontId="13" fillId="0" borderId="30" xfId="0" applyNumberFormat="1" applyFont="1" applyBorder="1" applyAlignment="1" applyProtection="1">
      <alignment horizontal="center" vertical="center" wrapText="1"/>
      <protection locked="0"/>
    </xf>
    <xf numFmtId="1" fontId="13" fillId="0" borderId="30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" fontId="7" fillId="0" borderId="0" xfId="1" applyNumberFormat="1" applyFont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1" fontId="28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15" xfId="1" applyNumberFormat="1" applyFont="1" applyBorder="1" applyAlignment="1" applyProtection="1">
      <alignment horizontal="center" vertical="top" wrapText="1"/>
      <protection locked="0"/>
    </xf>
    <xf numFmtId="1" fontId="13" fillId="0" borderId="16" xfId="1" applyNumberFormat="1" applyFont="1" applyBorder="1" applyAlignment="1" applyProtection="1">
      <alignment horizontal="center" vertical="top" wrapText="1"/>
      <protection locked="0"/>
    </xf>
    <xf numFmtId="1" fontId="13" fillId="0" borderId="17" xfId="1" applyNumberFormat="1" applyFont="1" applyBorder="1" applyAlignment="1" applyProtection="1">
      <alignment horizontal="center" vertical="top" wrapText="1"/>
      <protection locked="0"/>
    </xf>
    <xf numFmtId="1" fontId="13" fillId="0" borderId="18" xfId="1" applyNumberFormat="1" applyFont="1" applyBorder="1" applyAlignment="1" applyProtection="1">
      <alignment horizontal="center"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19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138169</xdr:colOff>
      <xdr:row>14</xdr:row>
      <xdr:rowOff>6962</xdr:rowOff>
    </xdr:from>
    <xdr:to>
      <xdr:col>14</xdr:col>
      <xdr:colOff>23264</xdr:colOff>
      <xdr:row>19</xdr:row>
      <xdr:rowOff>48395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4694" y="3893162"/>
          <a:ext cx="4847620" cy="1041558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</xdr:colOff>
      <xdr:row>539</xdr:row>
      <xdr:rowOff>17319</xdr:rowOff>
    </xdr:from>
    <xdr:to>
      <xdr:col>6</xdr:col>
      <xdr:colOff>758542</xdr:colOff>
      <xdr:row>555</xdr:row>
      <xdr:rowOff>70774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9318" y="62163614"/>
          <a:ext cx="4888929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9</xdr:col>
      <xdr:colOff>479586</xdr:colOff>
      <xdr:row>550</xdr:row>
      <xdr:rowOff>175295</xdr:rowOff>
    </xdr:from>
    <xdr:to>
      <xdr:col>16</xdr:col>
      <xdr:colOff>101317</xdr:colOff>
      <xdr:row>567</xdr:row>
      <xdr:rowOff>28725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8128161" y="113379920"/>
          <a:ext cx="4850956" cy="3253855"/>
          <a:chOff x="793911" y="112408370"/>
          <a:chExt cx="4850956" cy="325385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93911" y="112408370"/>
            <a:ext cx="4850956" cy="3253855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 rot="18611683">
            <a:off x="2987386" y="113802102"/>
            <a:ext cx="522144" cy="648566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8</xdr:col>
      <xdr:colOff>745436</xdr:colOff>
      <xdr:row>453</xdr:row>
      <xdr:rowOff>107677</xdr:rowOff>
    </xdr:from>
    <xdr:to>
      <xdr:col>9</xdr:col>
      <xdr:colOff>503475</xdr:colOff>
      <xdr:row>455</xdr:row>
      <xdr:rowOff>84253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263849" y="57406764"/>
          <a:ext cx="917604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9</xdr:col>
      <xdr:colOff>506714</xdr:colOff>
      <xdr:row>453</xdr:row>
      <xdr:rowOff>82829</xdr:rowOff>
    </xdr:from>
    <xdr:to>
      <xdr:col>10</xdr:col>
      <xdr:colOff>662318</xdr:colOff>
      <xdr:row>455</xdr:row>
      <xdr:rowOff>36524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8184692" y="57381916"/>
          <a:ext cx="917604" cy="3512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790300</xdr:colOff>
      <xdr:row>458</xdr:row>
      <xdr:rowOff>110868</xdr:rowOff>
    </xdr:to>
    <xdr:sp macro="" textlink="">
      <xdr:nvSpPr>
        <xdr:cNvPr id="18" name="TextBox 13">
          <a:extLst>
            <a:ext uri="{FF2B5EF4-FFF2-40B4-BE49-F238E27FC236}">
              <a16:creationId xmlns:a16="http://schemas.microsoft.com/office/drawing/2014/main" id="{826B9611-FED9-48B3-AD77-BC6EDF90DB59}"/>
            </a:ext>
          </a:extLst>
        </xdr:cNvPr>
        <xdr:cNvSpPr txBox="1"/>
      </xdr:nvSpPr>
      <xdr:spPr>
        <a:xfrm>
          <a:off x="8032750" y="57188100"/>
          <a:ext cx="790300" cy="307718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/>
            <a:t>Wing A</a:t>
          </a:r>
          <a:endParaRPr lang="en-IN" sz="1400" b="1"/>
        </a:p>
      </xdr:txBody>
    </xdr:sp>
    <xdr:clientData/>
  </xdr:twoCellAnchor>
  <xdr:twoCellAnchor editAs="oneCell">
    <xdr:from>
      <xdr:col>9</xdr:col>
      <xdr:colOff>542925</xdr:colOff>
      <xdr:row>11</xdr:row>
      <xdr:rowOff>285750</xdr:rowOff>
    </xdr:from>
    <xdr:to>
      <xdr:col>16</xdr:col>
      <xdr:colOff>485129</xdr:colOff>
      <xdr:row>14</xdr:row>
      <xdr:rowOff>114177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91500" y="2895600"/>
          <a:ext cx="5171429" cy="980952"/>
        </a:xfrm>
        <a:prstGeom prst="rect">
          <a:avLst/>
        </a:prstGeom>
      </xdr:spPr>
    </xdr:pic>
    <xdr:clientData/>
  </xdr:twoCellAnchor>
  <xdr:twoCellAnchor editAs="oneCell">
    <xdr:from>
      <xdr:col>10</xdr:col>
      <xdr:colOff>584947</xdr:colOff>
      <xdr:row>42</xdr:row>
      <xdr:rowOff>96373</xdr:rowOff>
    </xdr:from>
    <xdr:to>
      <xdr:col>14</xdr:col>
      <xdr:colOff>245437</xdr:colOff>
      <xdr:row>54</xdr:row>
      <xdr:rowOff>83037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00565" y="9867902"/>
          <a:ext cx="2708490" cy="2817719"/>
        </a:xfrm>
        <a:prstGeom prst="rect">
          <a:avLst/>
        </a:prstGeom>
      </xdr:spPr>
    </xdr:pic>
    <xdr:clientData/>
  </xdr:twoCellAnchor>
  <xdr:twoCellAnchor>
    <xdr:from>
      <xdr:col>9</xdr:col>
      <xdr:colOff>314326</xdr:colOff>
      <xdr:row>451</xdr:row>
      <xdr:rowOff>66675</xdr:rowOff>
    </xdr:from>
    <xdr:to>
      <xdr:col>17</xdr:col>
      <xdr:colOff>78065</xdr:colOff>
      <xdr:row>490</xdr:row>
      <xdr:rowOff>161925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962901" y="93478350"/>
          <a:ext cx="5602564" cy="7886700"/>
          <a:chOff x="742951" y="92182950"/>
          <a:chExt cx="5602564" cy="7953374"/>
        </a:xfrm>
      </xdr:grpSpPr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742951" y="92182950"/>
            <a:ext cx="5602564" cy="7953374"/>
            <a:chOff x="742951" y="91773375"/>
            <a:chExt cx="5602564" cy="7953374"/>
          </a:xfrm>
        </xdr:grpSpPr>
        <xdr:pic>
          <xdr:nvPicPr>
            <xdr:cNvPr id="27" name="Picture 26" descr="https://vsjcllp.vsjadon.com/upload/insp-226645-928.jpg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1807" y="91773375"/>
              <a:ext cx="2437594" cy="32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26645-925.jpg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65395" y="97807387"/>
              <a:ext cx="1439147" cy="191288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29" descr="https://vsjcllp.vsjadon.com/upload/insp-226645-845.jpg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52476" y="97804339"/>
              <a:ext cx="1439147" cy="191288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26645-1525.jpg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97364" y="97813864"/>
              <a:ext cx="2548151" cy="191288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 descr="https://vsjcllp.vsjadon.com/upload/insp-226645-847.jpg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46469" y="91773375"/>
              <a:ext cx="2427469" cy="32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26645-877.jpg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57519" y="95184145"/>
              <a:ext cx="1888031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742951" y="96164400"/>
              <a:ext cx="81915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A</a:t>
              </a:r>
            </a:p>
          </xdr:txBody>
        </xdr:sp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 txBox="1"/>
          </xdr:nvSpPr>
          <xdr:spPr>
            <a:xfrm>
              <a:off x="2266951" y="91830525"/>
              <a:ext cx="81915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B</a:t>
              </a:r>
            </a:p>
          </xdr:txBody>
        </xdr:sp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1181101" y="92259150"/>
              <a:ext cx="81915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C</a:t>
              </a:r>
            </a:p>
          </xdr:txBody>
        </xdr:sp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819151" y="92602050"/>
              <a:ext cx="81915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A</a:t>
              </a:r>
            </a:p>
          </xdr:txBody>
        </xdr:sp>
        <xdr:cxnSp macro="">
          <xdr:nvCxnSpPr>
            <xdr:cNvPr id="43" name="Straight Arrow Connector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CxnSpPr/>
          </xdr:nvCxnSpPr>
          <xdr:spPr>
            <a:xfrm flipH="1">
              <a:off x="3162302" y="95430975"/>
              <a:ext cx="171448" cy="257175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2914651" y="95183325"/>
              <a:ext cx="81915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B</a:t>
              </a:r>
            </a:p>
          </xdr:txBody>
        </xdr:sp>
        <xdr:cxnSp macro="">
          <xdr:nvCxnSpPr>
            <xdr:cNvPr id="49" name="Straight Arrow Connector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CxnSpPr/>
          </xdr:nvCxnSpPr>
          <xdr:spPr>
            <a:xfrm flipH="1">
              <a:off x="2590802" y="92097225"/>
              <a:ext cx="171448" cy="257175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Straight Arrow Connector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CxnSpPr>
              <a:stCxn id="40" idx="2"/>
            </xdr:cNvCxnSpPr>
          </xdr:nvCxnSpPr>
          <xdr:spPr>
            <a:xfrm>
              <a:off x="1590676" y="92573475"/>
              <a:ext cx="180976" cy="285750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" name="Straight Arrow Connector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CxnSpPr/>
          </xdr:nvCxnSpPr>
          <xdr:spPr>
            <a:xfrm>
              <a:off x="990601" y="92897325"/>
              <a:ext cx="180976" cy="285750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31" name="Picture 30" descr="https://vsjcllp.vsjadon.com/upload/insp-226645-843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13753" y="95584195"/>
            <a:ext cx="3356888" cy="25200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13</xdr:col>
      <xdr:colOff>209551</xdr:colOff>
      <xdr:row>452</xdr:row>
      <xdr:rowOff>85725</xdr:rowOff>
    </xdr:from>
    <xdr:to>
      <xdr:col>14</xdr:col>
      <xdr:colOff>190501</xdr:colOff>
      <xdr:row>454</xdr:row>
      <xdr:rowOff>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820401" y="93697425"/>
          <a:ext cx="819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C</a:t>
          </a:r>
        </a:p>
      </xdr:txBody>
    </xdr:sp>
    <xdr:clientData/>
  </xdr:twoCellAnchor>
  <xdr:twoCellAnchor>
    <xdr:from>
      <xdr:col>14</xdr:col>
      <xdr:colOff>68037</xdr:colOff>
      <xdr:row>470</xdr:row>
      <xdr:rowOff>104775</xdr:rowOff>
    </xdr:from>
    <xdr:to>
      <xdr:col>15</xdr:col>
      <xdr:colOff>225879</xdr:colOff>
      <xdr:row>472</xdr:row>
      <xdr:rowOff>19050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1517087" y="97307400"/>
          <a:ext cx="815067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B</a:t>
          </a:r>
        </a:p>
      </xdr:txBody>
    </xdr:sp>
    <xdr:clientData/>
  </xdr:twoCellAnchor>
  <xdr:twoCellAnchor>
    <xdr:from>
      <xdr:col>13</xdr:col>
      <xdr:colOff>619126</xdr:colOff>
      <xdr:row>454</xdr:row>
      <xdr:rowOff>0</xdr:rowOff>
    </xdr:from>
    <xdr:to>
      <xdr:col>14</xdr:col>
      <xdr:colOff>57152</xdr:colOff>
      <xdr:row>455</xdr:row>
      <xdr:rowOff>190500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stCxn id="38" idx="2"/>
        </xdr:cNvCxnSpPr>
      </xdr:nvCxnSpPr>
      <xdr:spPr>
        <a:xfrm>
          <a:off x="11229976" y="94011750"/>
          <a:ext cx="276226" cy="3905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85726</xdr:colOff>
      <xdr:row>451</xdr:row>
      <xdr:rowOff>38100</xdr:rowOff>
    </xdr:from>
    <xdr:to>
      <xdr:col>15</xdr:col>
      <xdr:colOff>247651</xdr:colOff>
      <xdr:row>452</xdr:row>
      <xdr:rowOff>152400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1534776" y="93449775"/>
          <a:ext cx="819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B</a:t>
          </a:r>
        </a:p>
      </xdr:txBody>
    </xdr:sp>
    <xdr:clientData/>
  </xdr:twoCellAnchor>
  <xdr:twoCellAnchor>
    <xdr:from>
      <xdr:col>14</xdr:col>
      <xdr:colOff>314326</xdr:colOff>
      <xdr:row>452</xdr:row>
      <xdr:rowOff>66675</xdr:rowOff>
    </xdr:from>
    <xdr:to>
      <xdr:col>14</xdr:col>
      <xdr:colOff>457202</xdr:colOff>
      <xdr:row>453</xdr:row>
      <xdr:rowOff>152400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11763376" y="93678375"/>
          <a:ext cx="142876" cy="2857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261938</xdr:colOff>
      <xdr:row>496</xdr:row>
      <xdr:rowOff>171451</xdr:rowOff>
    </xdr:from>
    <xdr:to>
      <xdr:col>7</xdr:col>
      <xdr:colOff>642937</xdr:colOff>
      <xdr:row>523</xdr:row>
      <xdr:rowOff>95251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/>
      </xdr:nvGrpSpPr>
      <xdr:grpSpPr>
        <a:xfrm>
          <a:off x="261938" y="102574726"/>
          <a:ext cx="6038849" cy="5324475"/>
          <a:chOff x="762000" y="100383975"/>
          <a:chExt cx="4285714" cy="3647619"/>
        </a:xfrm>
      </xdr:grpSpPr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762000" y="100383975"/>
            <a:ext cx="4285714" cy="364761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2066925" y="101688900"/>
            <a:ext cx="1162050" cy="4286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3248026" y="101650800"/>
            <a:ext cx="876300" cy="47625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65" name="Rectangl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 rot="5400000">
            <a:off x="3781426" y="101003100"/>
            <a:ext cx="876300" cy="47625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67" name="TextBox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2143126" y="102079425"/>
            <a:ext cx="81915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A</a:t>
            </a:r>
          </a:p>
        </xdr:txBody>
      </xdr:sp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/>
        </xdr:nvSpPr>
        <xdr:spPr>
          <a:xfrm>
            <a:off x="3333751" y="102098475"/>
            <a:ext cx="81915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B</a:t>
            </a:r>
          </a:p>
        </xdr:txBody>
      </xdr:sp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 txBox="1"/>
        </xdr:nvSpPr>
        <xdr:spPr>
          <a:xfrm rot="5400000">
            <a:off x="4200526" y="101126926"/>
            <a:ext cx="81915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C</a:t>
            </a:r>
          </a:p>
        </xdr:txBody>
      </xdr:sp>
    </xdr:grpSp>
    <xdr:clientData/>
  </xdr:twoCellAnchor>
  <xdr:twoCellAnchor editAs="oneCell">
    <xdr:from>
      <xdr:col>8</xdr:col>
      <xdr:colOff>495300</xdr:colOff>
      <xdr:row>127</xdr:row>
      <xdr:rowOff>133350</xdr:rowOff>
    </xdr:from>
    <xdr:to>
      <xdr:col>15</xdr:col>
      <xdr:colOff>733586</xdr:colOff>
      <xdr:row>138</xdr:row>
      <xdr:rowOff>190500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83506" y="25906879"/>
          <a:ext cx="5874845" cy="2298327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556</xdr:row>
      <xdr:rowOff>47625</xdr:rowOff>
    </xdr:from>
    <xdr:to>
      <xdr:col>7</xdr:col>
      <xdr:colOff>189857</xdr:colOff>
      <xdr:row>571</xdr:row>
      <xdr:rowOff>66298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704850" y="114452400"/>
          <a:ext cx="5142857" cy="3019048"/>
          <a:chOff x="704850" y="112404525"/>
          <a:chExt cx="5142857" cy="3019048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704850" y="112404525"/>
            <a:ext cx="5142857" cy="30190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09850" y="113156999"/>
            <a:ext cx="771525" cy="1028701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114300</xdr:colOff>
      <xdr:row>454</xdr:row>
      <xdr:rowOff>114300</xdr:rowOff>
    </xdr:from>
    <xdr:to>
      <xdr:col>7</xdr:col>
      <xdr:colOff>733425</xdr:colOff>
      <xdr:row>491</xdr:row>
      <xdr:rowOff>95250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B4324C4E-1CAA-4FCC-AEE0-8BFF45742578}"/>
            </a:ext>
          </a:extLst>
        </xdr:cNvPr>
        <xdr:cNvGrpSpPr/>
      </xdr:nvGrpSpPr>
      <xdr:grpSpPr>
        <a:xfrm>
          <a:off x="114300" y="94126050"/>
          <a:ext cx="6276975" cy="7372350"/>
          <a:chOff x="516610" y="455937"/>
          <a:chExt cx="5866647" cy="6802726"/>
        </a:xfrm>
      </xdr:grpSpPr>
      <xdr:grpSp>
        <xdr:nvGrpSpPr>
          <xdr:cNvPr id="51" name="Group 50">
            <a:extLst>
              <a:ext uri="{FF2B5EF4-FFF2-40B4-BE49-F238E27FC236}">
                <a16:creationId xmlns:a16="http://schemas.microsoft.com/office/drawing/2014/main" id="{00E93C21-4D92-4B62-94F2-5259BE157D08}"/>
              </a:ext>
            </a:extLst>
          </xdr:cNvPr>
          <xdr:cNvGrpSpPr/>
        </xdr:nvGrpSpPr>
        <xdr:grpSpPr>
          <a:xfrm>
            <a:off x="516610" y="455937"/>
            <a:ext cx="5866647" cy="6802726"/>
            <a:chOff x="516610" y="455937"/>
            <a:chExt cx="5866647" cy="6802726"/>
          </a:xfrm>
        </xdr:grpSpPr>
        <xdr:pic>
          <xdr:nvPicPr>
            <xdr:cNvPr id="71" name="Picture 70">
              <a:extLst>
                <a:ext uri="{FF2B5EF4-FFF2-40B4-BE49-F238E27FC236}">
                  <a16:creationId xmlns:a16="http://schemas.microsoft.com/office/drawing/2014/main" id="{4FCA495B-D20E-4938-B7EF-B2A7FCDF64E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27042" y="455937"/>
              <a:ext cx="3596667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A7373496-D0DB-4DD5-A891-439E60228B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4562" y="455937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3" name="Picture 72">
              <a:extLst>
                <a:ext uri="{FF2B5EF4-FFF2-40B4-BE49-F238E27FC236}">
                  <a16:creationId xmlns:a16="http://schemas.microsoft.com/office/drawing/2014/main" id="{D8E085CA-E8A0-4BAD-9EF8-0E82BB4844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31156" y="331730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4" name="Picture 73">
              <a:extLst>
                <a:ext uri="{FF2B5EF4-FFF2-40B4-BE49-F238E27FC236}">
                  <a16:creationId xmlns:a16="http://schemas.microsoft.com/office/drawing/2014/main" id="{5B22B349-6B8B-4ADF-86EA-C9F1DA0D20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6610" y="331730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5" name="Picture 74">
              <a:extLst>
                <a:ext uri="{FF2B5EF4-FFF2-40B4-BE49-F238E27FC236}">
                  <a16:creationId xmlns:a16="http://schemas.microsoft.com/office/drawing/2014/main" id="{5AAE440D-209D-494F-BF48-9FF8E2DE28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45702" y="3317300"/>
              <a:ext cx="263755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6" name="Picture 75">
              <a:extLst>
                <a:ext uri="{FF2B5EF4-FFF2-40B4-BE49-F238E27FC236}">
                  <a16:creationId xmlns:a16="http://schemas.microsoft.com/office/drawing/2014/main" id="{F7942496-E16D-4020-AC92-F2780771EC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17481" y="5458663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7" name="Picture 76">
              <a:extLst>
                <a:ext uri="{FF2B5EF4-FFF2-40B4-BE49-F238E27FC236}">
                  <a16:creationId xmlns:a16="http://schemas.microsoft.com/office/drawing/2014/main" id="{406C59DD-96C8-4AC2-B11B-FD3C88E33E7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14609" y="5458663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4" name="TextBox 25">
            <a:extLst>
              <a:ext uri="{FF2B5EF4-FFF2-40B4-BE49-F238E27FC236}">
                <a16:creationId xmlns:a16="http://schemas.microsoft.com/office/drawing/2014/main" id="{E51C0C74-7CE1-41EC-9AA3-CFA8BC1AB042}"/>
              </a:ext>
            </a:extLst>
          </xdr:cNvPr>
          <xdr:cNvSpPr txBox="1"/>
        </xdr:nvSpPr>
        <xdr:spPr>
          <a:xfrm>
            <a:off x="1117481" y="663388"/>
            <a:ext cx="1260281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800" b="1">
                <a:solidFill>
                  <a:srgbClr val="FF0000"/>
                </a:solidFill>
              </a:rPr>
              <a:t>Wing A</a:t>
            </a:r>
            <a:endParaRPr lang="en-IN" sz="2800" b="1">
              <a:solidFill>
                <a:srgbClr val="FF0000"/>
              </a:solidFill>
            </a:endParaRPr>
          </a:p>
        </xdr:txBody>
      </xdr:sp>
      <xdr:sp macro="" textlink="">
        <xdr:nvSpPr>
          <xdr:cNvPr id="56" name="TextBox 26">
            <a:extLst>
              <a:ext uri="{FF2B5EF4-FFF2-40B4-BE49-F238E27FC236}">
                <a16:creationId xmlns:a16="http://schemas.microsoft.com/office/drawing/2014/main" id="{C35B6BF1-5495-4E15-A7F1-89362FC9E1A3}"/>
              </a:ext>
            </a:extLst>
          </xdr:cNvPr>
          <xdr:cNvSpPr txBox="1"/>
        </xdr:nvSpPr>
        <xdr:spPr>
          <a:xfrm>
            <a:off x="4324562" y="568449"/>
            <a:ext cx="1260281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 C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59" name="TextBox 27">
            <a:extLst>
              <a:ext uri="{FF2B5EF4-FFF2-40B4-BE49-F238E27FC236}">
                <a16:creationId xmlns:a16="http://schemas.microsoft.com/office/drawing/2014/main" id="{4FE384FB-244B-42EF-9809-EF58AD25F9AC}"/>
              </a:ext>
            </a:extLst>
          </xdr:cNvPr>
          <xdr:cNvSpPr txBox="1"/>
        </xdr:nvSpPr>
        <xdr:spPr>
          <a:xfrm>
            <a:off x="770061" y="4774080"/>
            <a:ext cx="976549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</a:t>
            </a:r>
            <a:r>
              <a:rPr lang="en-US" sz="2800" b="1">
                <a:solidFill>
                  <a:srgbClr val="FF0000"/>
                </a:solidFill>
              </a:rPr>
              <a:t> </a:t>
            </a:r>
            <a:r>
              <a:rPr lang="en-US" sz="2000" b="1">
                <a:solidFill>
                  <a:srgbClr val="FF0000"/>
                </a:solidFill>
              </a:rPr>
              <a:t>A</a:t>
            </a:r>
            <a:endParaRPr lang="en-IN" sz="2800" b="1">
              <a:solidFill>
                <a:srgbClr val="FF0000"/>
              </a:solidFill>
            </a:endParaRPr>
          </a:p>
        </xdr:txBody>
      </xdr:sp>
      <xdr:sp macro="" textlink="">
        <xdr:nvSpPr>
          <xdr:cNvPr id="60" name="TextBox 28">
            <a:extLst>
              <a:ext uri="{FF2B5EF4-FFF2-40B4-BE49-F238E27FC236}">
                <a16:creationId xmlns:a16="http://schemas.microsoft.com/office/drawing/2014/main" id="{45CBDCC1-F106-46E1-BABE-6F84DD5F7464}"/>
              </a:ext>
            </a:extLst>
          </xdr:cNvPr>
          <xdr:cNvSpPr txBox="1"/>
        </xdr:nvSpPr>
        <xdr:spPr>
          <a:xfrm>
            <a:off x="629206" y="3155937"/>
            <a:ext cx="976549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</a:t>
            </a:r>
            <a:r>
              <a:rPr lang="en-US" sz="2800" b="1">
                <a:solidFill>
                  <a:srgbClr val="FF0000"/>
                </a:solidFill>
              </a:rPr>
              <a:t> </a:t>
            </a:r>
            <a:r>
              <a:rPr lang="en-US" sz="2000" b="1">
                <a:solidFill>
                  <a:srgbClr val="FF0000"/>
                </a:solidFill>
              </a:rPr>
              <a:t>B</a:t>
            </a:r>
            <a:endParaRPr lang="en-IN" sz="2800" b="1">
              <a:solidFill>
                <a:srgbClr val="FF0000"/>
              </a:solidFill>
            </a:endParaRPr>
          </a:p>
        </xdr:txBody>
      </xdr:sp>
      <xdr:sp macro="" textlink="">
        <xdr:nvSpPr>
          <xdr:cNvPr id="64" name="TextBox 29">
            <a:extLst>
              <a:ext uri="{FF2B5EF4-FFF2-40B4-BE49-F238E27FC236}">
                <a16:creationId xmlns:a16="http://schemas.microsoft.com/office/drawing/2014/main" id="{392A3F49-FD88-4752-AF76-650C14160A9D}"/>
              </a:ext>
            </a:extLst>
          </xdr:cNvPr>
          <xdr:cNvSpPr txBox="1"/>
        </xdr:nvSpPr>
        <xdr:spPr>
          <a:xfrm>
            <a:off x="2738486" y="3156296"/>
            <a:ext cx="976549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</a:t>
            </a:r>
            <a:r>
              <a:rPr lang="en-US" sz="2800" b="1">
                <a:solidFill>
                  <a:srgbClr val="FF0000"/>
                </a:solidFill>
              </a:rPr>
              <a:t> </a:t>
            </a:r>
            <a:r>
              <a:rPr lang="en-US" sz="2000" b="1">
                <a:solidFill>
                  <a:srgbClr val="FF0000"/>
                </a:solidFill>
              </a:rPr>
              <a:t>B</a:t>
            </a:r>
            <a:endParaRPr lang="en-IN" sz="2800" b="1">
              <a:solidFill>
                <a:srgbClr val="FF0000"/>
              </a:solidFill>
            </a:endParaRPr>
          </a:p>
        </xdr:txBody>
      </xdr:sp>
      <xdr:sp macro="" textlink="">
        <xdr:nvSpPr>
          <xdr:cNvPr id="66" name="TextBox 30">
            <a:extLst>
              <a:ext uri="{FF2B5EF4-FFF2-40B4-BE49-F238E27FC236}">
                <a16:creationId xmlns:a16="http://schemas.microsoft.com/office/drawing/2014/main" id="{F6BC4B84-A4B3-410C-9B1B-B0D796CF80AE}"/>
              </a:ext>
            </a:extLst>
          </xdr:cNvPr>
          <xdr:cNvSpPr txBox="1"/>
        </xdr:nvSpPr>
        <xdr:spPr>
          <a:xfrm>
            <a:off x="5406708" y="1642897"/>
            <a:ext cx="976549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</a:t>
            </a:r>
            <a:r>
              <a:rPr lang="en-US" sz="2800" b="1">
                <a:solidFill>
                  <a:srgbClr val="FF0000"/>
                </a:solidFill>
              </a:rPr>
              <a:t> </a:t>
            </a:r>
            <a:r>
              <a:rPr lang="en-US" sz="2000" b="1">
                <a:solidFill>
                  <a:srgbClr val="FF0000"/>
                </a:solidFill>
              </a:rPr>
              <a:t>B</a:t>
            </a:r>
            <a:endParaRPr lang="en-IN" sz="28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9kNpaPrpyCdjprD8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38"/>
  <sheetViews>
    <sheetView tabSelected="1" view="pageBreakPreview" zoomScaleNormal="100" zoomScaleSheetLayoutView="100" workbookViewId="0">
      <selection activeCell="J6" sqref="J6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5703125" style="40" customWidth="1"/>
    <col min="4" max="4" width="14.140625" style="40" customWidth="1"/>
    <col min="5" max="7" width="11.570312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5703125" style="21" customWidth="1"/>
    <col min="17" max="247" width="9.140625" style="21"/>
    <col min="248" max="248" width="8.5703125" style="21" customWidth="1"/>
    <col min="249" max="249" width="9.85546875" style="21" customWidth="1"/>
    <col min="250" max="250" width="14.42578125" style="21" customWidth="1"/>
    <col min="251" max="251" width="7.425781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5703125" style="21" customWidth="1"/>
    <col min="505" max="505" width="9.85546875" style="21" customWidth="1"/>
    <col min="506" max="506" width="14.42578125" style="21" customWidth="1"/>
    <col min="507" max="507" width="7.425781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5703125" style="21" customWidth="1"/>
    <col min="761" max="761" width="9.85546875" style="21" customWidth="1"/>
    <col min="762" max="762" width="14.42578125" style="21" customWidth="1"/>
    <col min="763" max="763" width="7.425781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5703125" style="21" customWidth="1"/>
    <col min="1017" max="1017" width="9.85546875" style="21" customWidth="1"/>
    <col min="1018" max="1018" width="14.42578125" style="21" customWidth="1"/>
    <col min="1019" max="1019" width="7.425781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5703125" style="21" customWidth="1"/>
    <col min="1273" max="1273" width="9.85546875" style="21" customWidth="1"/>
    <col min="1274" max="1274" width="14.42578125" style="21" customWidth="1"/>
    <col min="1275" max="1275" width="7.425781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5703125" style="21" customWidth="1"/>
    <col min="1529" max="1529" width="9.85546875" style="21" customWidth="1"/>
    <col min="1530" max="1530" width="14.42578125" style="21" customWidth="1"/>
    <col min="1531" max="1531" width="7.425781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5703125" style="21" customWidth="1"/>
    <col min="1785" max="1785" width="9.85546875" style="21" customWidth="1"/>
    <col min="1786" max="1786" width="14.42578125" style="21" customWidth="1"/>
    <col min="1787" max="1787" width="7.425781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5703125" style="21" customWidth="1"/>
    <col min="2041" max="2041" width="9.85546875" style="21" customWidth="1"/>
    <col min="2042" max="2042" width="14.42578125" style="21" customWidth="1"/>
    <col min="2043" max="2043" width="7.425781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5703125" style="21" customWidth="1"/>
    <col min="2297" max="2297" width="9.85546875" style="21" customWidth="1"/>
    <col min="2298" max="2298" width="14.42578125" style="21" customWidth="1"/>
    <col min="2299" max="2299" width="7.425781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5703125" style="21" customWidth="1"/>
    <col min="2553" max="2553" width="9.85546875" style="21" customWidth="1"/>
    <col min="2554" max="2554" width="14.42578125" style="21" customWidth="1"/>
    <col min="2555" max="2555" width="7.425781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5703125" style="21" customWidth="1"/>
    <col min="2809" max="2809" width="9.85546875" style="21" customWidth="1"/>
    <col min="2810" max="2810" width="14.42578125" style="21" customWidth="1"/>
    <col min="2811" max="2811" width="7.425781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5703125" style="21" customWidth="1"/>
    <col min="3065" max="3065" width="9.85546875" style="21" customWidth="1"/>
    <col min="3066" max="3066" width="14.42578125" style="21" customWidth="1"/>
    <col min="3067" max="3067" width="7.425781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5703125" style="21" customWidth="1"/>
    <col min="3321" max="3321" width="9.85546875" style="21" customWidth="1"/>
    <col min="3322" max="3322" width="14.42578125" style="21" customWidth="1"/>
    <col min="3323" max="3323" width="7.425781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5703125" style="21" customWidth="1"/>
    <col min="3577" max="3577" width="9.85546875" style="21" customWidth="1"/>
    <col min="3578" max="3578" width="14.42578125" style="21" customWidth="1"/>
    <col min="3579" max="3579" width="7.425781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5703125" style="21" customWidth="1"/>
    <col min="3833" max="3833" width="9.85546875" style="21" customWidth="1"/>
    <col min="3834" max="3834" width="14.42578125" style="21" customWidth="1"/>
    <col min="3835" max="3835" width="7.425781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5703125" style="21" customWidth="1"/>
    <col min="4089" max="4089" width="9.85546875" style="21" customWidth="1"/>
    <col min="4090" max="4090" width="14.42578125" style="21" customWidth="1"/>
    <col min="4091" max="4091" width="7.425781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5703125" style="21" customWidth="1"/>
    <col min="4345" max="4345" width="9.85546875" style="21" customWidth="1"/>
    <col min="4346" max="4346" width="14.42578125" style="21" customWidth="1"/>
    <col min="4347" max="4347" width="7.425781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5703125" style="21" customWidth="1"/>
    <col min="4601" max="4601" width="9.85546875" style="21" customWidth="1"/>
    <col min="4602" max="4602" width="14.42578125" style="21" customWidth="1"/>
    <col min="4603" max="4603" width="7.425781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5703125" style="21" customWidth="1"/>
    <col min="4857" max="4857" width="9.85546875" style="21" customWidth="1"/>
    <col min="4858" max="4858" width="14.42578125" style="21" customWidth="1"/>
    <col min="4859" max="4859" width="7.425781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5703125" style="21" customWidth="1"/>
    <col min="5113" max="5113" width="9.85546875" style="21" customWidth="1"/>
    <col min="5114" max="5114" width="14.42578125" style="21" customWidth="1"/>
    <col min="5115" max="5115" width="7.425781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5703125" style="21" customWidth="1"/>
    <col min="5369" max="5369" width="9.85546875" style="21" customWidth="1"/>
    <col min="5370" max="5370" width="14.42578125" style="21" customWidth="1"/>
    <col min="5371" max="5371" width="7.425781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5703125" style="21" customWidth="1"/>
    <col min="5625" max="5625" width="9.85546875" style="21" customWidth="1"/>
    <col min="5626" max="5626" width="14.42578125" style="21" customWidth="1"/>
    <col min="5627" max="5627" width="7.425781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5703125" style="21" customWidth="1"/>
    <col min="5881" max="5881" width="9.85546875" style="21" customWidth="1"/>
    <col min="5882" max="5882" width="14.42578125" style="21" customWidth="1"/>
    <col min="5883" max="5883" width="7.425781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5703125" style="21" customWidth="1"/>
    <col min="6137" max="6137" width="9.85546875" style="21" customWidth="1"/>
    <col min="6138" max="6138" width="14.42578125" style="21" customWidth="1"/>
    <col min="6139" max="6139" width="7.425781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5703125" style="21" customWidth="1"/>
    <col min="6393" max="6393" width="9.85546875" style="21" customWidth="1"/>
    <col min="6394" max="6394" width="14.42578125" style="21" customWidth="1"/>
    <col min="6395" max="6395" width="7.425781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5703125" style="21" customWidth="1"/>
    <col min="6649" max="6649" width="9.85546875" style="21" customWidth="1"/>
    <col min="6650" max="6650" width="14.42578125" style="21" customWidth="1"/>
    <col min="6651" max="6651" width="7.425781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5703125" style="21" customWidth="1"/>
    <col min="6905" max="6905" width="9.85546875" style="21" customWidth="1"/>
    <col min="6906" max="6906" width="14.42578125" style="21" customWidth="1"/>
    <col min="6907" max="6907" width="7.425781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5703125" style="21" customWidth="1"/>
    <col min="7161" max="7161" width="9.85546875" style="21" customWidth="1"/>
    <col min="7162" max="7162" width="14.42578125" style="21" customWidth="1"/>
    <col min="7163" max="7163" width="7.425781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5703125" style="21" customWidth="1"/>
    <col min="7417" max="7417" width="9.85546875" style="21" customWidth="1"/>
    <col min="7418" max="7418" width="14.42578125" style="21" customWidth="1"/>
    <col min="7419" max="7419" width="7.425781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5703125" style="21" customWidth="1"/>
    <col min="7673" max="7673" width="9.85546875" style="21" customWidth="1"/>
    <col min="7674" max="7674" width="14.42578125" style="21" customWidth="1"/>
    <col min="7675" max="7675" width="7.425781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5703125" style="21" customWidth="1"/>
    <col min="7929" max="7929" width="9.85546875" style="21" customWidth="1"/>
    <col min="7930" max="7930" width="14.42578125" style="21" customWidth="1"/>
    <col min="7931" max="7931" width="7.425781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5703125" style="21" customWidth="1"/>
    <col min="8185" max="8185" width="9.85546875" style="21" customWidth="1"/>
    <col min="8186" max="8186" width="14.42578125" style="21" customWidth="1"/>
    <col min="8187" max="8187" width="7.425781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5703125" style="21" customWidth="1"/>
    <col min="8441" max="8441" width="9.85546875" style="21" customWidth="1"/>
    <col min="8442" max="8442" width="14.42578125" style="21" customWidth="1"/>
    <col min="8443" max="8443" width="7.425781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5703125" style="21" customWidth="1"/>
    <col min="8697" max="8697" width="9.85546875" style="21" customWidth="1"/>
    <col min="8698" max="8698" width="14.42578125" style="21" customWidth="1"/>
    <col min="8699" max="8699" width="7.425781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5703125" style="21" customWidth="1"/>
    <col min="8953" max="8953" width="9.85546875" style="21" customWidth="1"/>
    <col min="8954" max="8954" width="14.42578125" style="21" customWidth="1"/>
    <col min="8955" max="8955" width="7.425781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5703125" style="21" customWidth="1"/>
    <col min="9209" max="9209" width="9.85546875" style="21" customWidth="1"/>
    <col min="9210" max="9210" width="14.42578125" style="21" customWidth="1"/>
    <col min="9211" max="9211" width="7.425781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5703125" style="21" customWidth="1"/>
    <col min="9465" max="9465" width="9.85546875" style="21" customWidth="1"/>
    <col min="9466" max="9466" width="14.42578125" style="21" customWidth="1"/>
    <col min="9467" max="9467" width="7.425781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5703125" style="21" customWidth="1"/>
    <col min="9721" max="9721" width="9.85546875" style="21" customWidth="1"/>
    <col min="9722" max="9722" width="14.42578125" style="21" customWidth="1"/>
    <col min="9723" max="9723" width="7.425781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5703125" style="21" customWidth="1"/>
    <col min="9977" max="9977" width="9.85546875" style="21" customWidth="1"/>
    <col min="9978" max="9978" width="14.42578125" style="21" customWidth="1"/>
    <col min="9979" max="9979" width="7.425781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5703125" style="21" customWidth="1"/>
    <col min="10233" max="10233" width="9.85546875" style="21" customWidth="1"/>
    <col min="10234" max="10234" width="14.42578125" style="21" customWidth="1"/>
    <col min="10235" max="10235" width="7.425781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5703125" style="21" customWidth="1"/>
    <col min="10489" max="10489" width="9.85546875" style="21" customWidth="1"/>
    <col min="10490" max="10490" width="14.42578125" style="21" customWidth="1"/>
    <col min="10491" max="10491" width="7.425781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5703125" style="21" customWidth="1"/>
    <col min="10745" max="10745" width="9.85546875" style="21" customWidth="1"/>
    <col min="10746" max="10746" width="14.42578125" style="21" customWidth="1"/>
    <col min="10747" max="10747" width="7.425781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5703125" style="21" customWidth="1"/>
    <col min="11001" max="11001" width="9.85546875" style="21" customWidth="1"/>
    <col min="11002" max="11002" width="14.42578125" style="21" customWidth="1"/>
    <col min="11003" max="11003" width="7.425781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5703125" style="21" customWidth="1"/>
    <col min="11257" max="11257" width="9.85546875" style="21" customWidth="1"/>
    <col min="11258" max="11258" width="14.42578125" style="21" customWidth="1"/>
    <col min="11259" max="11259" width="7.425781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5703125" style="21" customWidth="1"/>
    <col min="11513" max="11513" width="9.85546875" style="21" customWidth="1"/>
    <col min="11514" max="11514" width="14.42578125" style="21" customWidth="1"/>
    <col min="11515" max="11515" width="7.425781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5703125" style="21" customWidth="1"/>
    <col min="11769" max="11769" width="9.85546875" style="21" customWidth="1"/>
    <col min="11770" max="11770" width="14.42578125" style="21" customWidth="1"/>
    <col min="11771" max="11771" width="7.425781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5703125" style="21" customWidth="1"/>
    <col min="12025" max="12025" width="9.85546875" style="21" customWidth="1"/>
    <col min="12026" max="12026" width="14.42578125" style="21" customWidth="1"/>
    <col min="12027" max="12027" width="7.425781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5703125" style="21" customWidth="1"/>
    <col min="12281" max="12281" width="9.85546875" style="21" customWidth="1"/>
    <col min="12282" max="12282" width="14.42578125" style="21" customWidth="1"/>
    <col min="12283" max="12283" width="7.425781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5703125" style="21" customWidth="1"/>
    <col min="12537" max="12537" width="9.85546875" style="21" customWidth="1"/>
    <col min="12538" max="12538" width="14.42578125" style="21" customWidth="1"/>
    <col min="12539" max="12539" width="7.425781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5703125" style="21" customWidth="1"/>
    <col min="12793" max="12793" width="9.85546875" style="21" customWidth="1"/>
    <col min="12794" max="12794" width="14.42578125" style="21" customWidth="1"/>
    <col min="12795" max="12795" width="7.425781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5703125" style="21" customWidth="1"/>
    <col min="13049" max="13049" width="9.85546875" style="21" customWidth="1"/>
    <col min="13050" max="13050" width="14.42578125" style="21" customWidth="1"/>
    <col min="13051" max="13051" width="7.425781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5703125" style="21" customWidth="1"/>
    <col min="13305" max="13305" width="9.85546875" style="21" customWidth="1"/>
    <col min="13306" max="13306" width="14.42578125" style="21" customWidth="1"/>
    <col min="13307" max="13307" width="7.425781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5703125" style="21" customWidth="1"/>
    <col min="13561" max="13561" width="9.85546875" style="21" customWidth="1"/>
    <col min="13562" max="13562" width="14.42578125" style="21" customWidth="1"/>
    <col min="13563" max="13563" width="7.425781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5703125" style="21" customWidth="1"/>
    <col min="13817" max="13817" width="9.85546875" style="21" customWidth="1"/>
    <col min="13818" max="13818" width="14.42578125" style="21" customWidth="1"/>
    <col min="13819" max="13819" width="7.425781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5703125" style="21" customWidth="1"/>
    <col min="14073" max="14073" width="9.85546875" style="21" customWidth="1"/>
    <col min="14074" max="14074" width="14.42578125" style="21" customWidth="1"/>
    <col min="14075" max="14075" width="7.425781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5703125" style="21" customWidth="1"/>
    <col min="14329" max="14329" width="9.85546875" style="21" customWidth="1"/>
    <col min="14330" max="14330" width="14.42578125" style="21" customWidth="1"/>
    <col min="14331" max="14331" width="7.425781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5703125" style="21" customWidth="1"/>
    <col min="14585" max="14585" width="9.85546875" style="21" customWidth="1"/>
    <col min="14586" max="14586" width="14.42578125" style="21" customWidth="1"/>
    <col min="14587" max="14587" width="7.425781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5703125" style="21" customWidth="1"/>
    <col min="14841" max="14841" width="9.85546875" style="21" customWidth="1"/>
    <col min="14842" max="14842" width="14.42578125" style="21" customWidth="1"/>
    <col min="14843" max="14843" width="7.425781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5703125" style="21" customWidth="1"/>
    <col min="15097" max="15097" width="9.85546875" style="21" customWidth="1"/>
    <col min="15098" max="15098" width="14.42578125" style="21" customWidth="1"/>
    <col min="15099" max="15099" width="7.425781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5703125" style="21" customWidth="1"/>
    <col min="15353" max="15353" width="9.85546875" style="21" customWidth="1"/>
    <col min="15354" max="15354" width="14.42578125" style="21" customWidth="1"/>
    <col min="15355" max="15355" width="7.425781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5703125" style="21" customWidth="1"/>
    <col min="15609" max="15609" width="9.85546875" style="21" customWidth="1"/>
    <col min="15610" max="15610" width="14.42578125" style="21" customWidth="1"/>
    <col min="15611" max="15611" width="7.425781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5703125" style="21" customWidth="1"/>
    <col min="15865" max="15865" width="9.85546875" style="21" customWidth="1"/>
    <col min="15866" max="15866" width="14.42578125" style="21" customWidth="1"/>
    <col min="15867" max="15867" width="7.425781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5703125" style="21" customWidth="1"/>
    <col min="16121" max="16121" width="9.85546875" style="21" customWidth="1"/>
    <col min="16122" max="16122" width="14.42578125" style="21" customWidth="1"/>
    <col min="16123" max="16123" width="7.425781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75" t="s">
        <v>166</v>
      </c>
      <c r="B1" s="175"/>
      <c r="C1" s="175"/>
      <c r="D1" s="175"/>
      <c r="E1" s="175"/>
      <c r="F1" s="175"/>
      <c r="G1" s="175"/>
      <c r="H1" s="175"/>
    </row>
    <row r="2" spans="1:12" ht="16.5" customHeight="1" x14ac:dyDescent="0.25">
      <c r="A2" s="176" t="s">
        <v>0</v>
      </c>
      <c r="B2" s="176"/>
      <c r="C2" s="176"/>
      <c r="D2" s="176"/>
      <c r="E2" s="176"/>
      <c r="F2" s="176"/>
      <c r="G2" s="176"/>
      <c r="H2" s="176"/>
    </row>
    <row r="3" spans="1:12" x14ac:dyDescent="0.25">
      <c r="A3" s="66" t="s">
        <v>1</v>
      </c>
      <c r="B3" s="66"/>
      <c r="C3" s="66"/>
      <c r="D3" s="66"/>
      <c r="E3" s="66" t="str">
        <f ca="1">TEXT(TODAY(),"DD/MM/YYYY")</f>
        <v>14/07/2025</v>
      </c>
      <c r="F3" s="66"/>
      <c r="G3" s="66"/>
      <c r="H3" s="66"/>
    </row>
    <row r="4" spans="1:12" x14ac:dyDescent="0.25">
      <c r="A4" s="66" t="s">
        <v>2</v>
      </c>
      <c r="B4" s="66"/>
      <c r="C4" s="66"/>
      <c r="D4" s="66"/>
      <c r="E4" s="66" t="s">
        <v>171</v>
      </c>
      <c r="F4" s="66"/>
      <c r="G4" s="66"/>
      <c r="H4" s="66"/>
    </row>
    <row r="5" spans="1:12" x14ac:dyDescent="0.25">
      <c r="A5" s="66" t="s">
        <v>3</v>
      </c>
      <c r="B5" s="66"/>
      <c r="C5" s="66"/>
      <c r="D5" s="66"/>
      <c r="E5" s="177">
        <v>45849</v>
      </c>
      <c r="F5" s="66"/>
      <c r="G5" s="66"/>
      <c r="H5" s="66"/>
    </row>
    <row r="6" spans="1:12" ht="16.5" customHeight="1" x14ac:dyDescent="0.25">
      <c r="A6" s="66" t="s">
        <v>4</v>
      </c>
      <c r="B6" s="66"/>
      <c r="C6" s="66"/>
      <c r="D6" s="66"/>
      <c r="E6" s="66" t="s">
        <v>172</v>
      </c>
      <c r="F6" s="66"/>
      <c r="G6" s="66"/>
      <c r="H6" s="66"/>
    </row>
    <row r="7" spans="1:12" x14ac:dyDescent="0.25">
      <c r="A7" s="66" t="s">
        <v>5</v>
      </c>
      <c r="B7" s="66"/>
      <c r="C7" s="66"/>
      <c r="D7" s="66"/>
      <c r="E7" s="66" t="str">
        <f>E6</f>
        <v>Laukik Development Corporation</v>
      </c>
      <c r="F7" s="66"/>
      <c r="G7" s="66"/>
      <c r="H7" s="66"/>
    </row>
    <row r="8" spans="1:12" x14ac:dyDescent="0.25">
      <c r="A8" s="66" t="s">
        <v>6</v>
      </c>
      <c r="B8" s="66"/>
      <c r="C8" s="66"/>
      <c r="D8" s="66"/>
      <c r="E8" s="121" t="s">
        <v>173</v>
      </c>
      <c r="F8" s="122"/>
      <c r="G8" s="122"/>
      <c r="H8" s="123"/>
    </row>
    <row r="9" spans="1:12" x14ac:dyDescent="0.25">
      <c r="A9" s="66" t="s">
        <v>169</v>
      </c>
      <c r="B9" s="66"/>
      <c r="C9" s="66"/>
      <c r="D9" s="66"/>
      <c r="E9" s="66">
        <v>9825522882</v>
      </c>
      <c r="F9" s="66"/>
      <c r="G9" s="66"/>
      <c r="H9" s="66"/>
    </row>
    <row r="10" spans="1:12" x14ac:dyDescent="0.25">
      <c r="A10" s="66" t="s">
        <v>170</v>
      </c>
      <c r="B10" s="66"/>
      <c r="C10" s="66"/>
      <c r="D10" s="66"/>
      <c r="E10" s="66" t="s">
        <v>267</v>
      </c>
      <c r="F10" s="66"/>
      <c r="G10" s="66"/>
      <c r="H10" s="66"/>
    </row>
    <row r="11" spans="1:12" x14ac:dyDescent="0.25">
      <c r="A11" s="66" t="s">
        <v>7</v>
      </c>
      <c r="B11" s="66"/>
      <c r="C11" s="66"/>
      <c r="D11" s="66"/>
      <c r="E11" s="66" t="s">
        <v>195</v>
      </c>
      <c r="F11" s="66"/>
      <c r="G11" s="66"/>
      <c r="H11" s="66"/>
      <c r="I11" s="21" t="s">
        <v>256</v>
      </c>
    </row>
    <row r="12" spans="1:12" x14ac:dyDescent="0.25">
      <c r="A12" s="115" t="s">
        <v>8</v>
      </c>
      <c r="B12" s="115"/>
      <c r="C12" s="115"/>
      <c r="D12" s="115"/>
      <c r="E12" s="106" t="s">
        <v>257</v>
      </c>
      <c r="F12" s="106"/>
      <c r="G12" s="106"/>
      <c r="H12" s="106"/>
      <c r="I12" s="106" t="s">
        <v>196</v>
      </c>
      <c r="J12" s="106"/>
      <c r="K12" s="106"/>
      <c r="L12" s="106"/>
    </row>
    <row r="13" spans="1:12" x14ac:dyDescent="0.25">
      <c r="A13" s="115" t="s">
        <v>9</v>
      </c>
      <c r="B13" s="115"/>
      <c r="C13" s="115"/>
      <c r="D13" s="115"/>
      <c r="E13" s="106" t="s">
        <v>174</v>
      </c>
      <c r="F13" s="66"/>
      <c r="G13" s="66"/>
      <c r="H13" s="66"/>
    </row>
    <row r="14" spans="1:12" ht="52.5" customHeight="1" x14ac:dyDescent="0.25">
      <c r="A14" s="106" t="s">
        <v>10</v>
      </c>
      <c r="B14" s="106"/>
      <c r="C14" s="10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Vastu Luxuria, Survey No.39/1, 39/2/A, 39/2/B, 39/3, 39/4/A, 39/4/B, 39/4/C, 39/4/D, 39/5/A, near Mauli Aashray, Ave. St Road, Nandivali Panchanand, Nandivali Panchanand, Dombivli (East), Kalyan, Thane - 421201.</v>
      </c>
      <c r="D14" s="106"/>
      <c r="E14" s="106"/>
      <c r="F14" s="106"/>
      <c r="G14" s="106"/>
      <c r="H14" s="106"/>
    </row>
    <row r="15" spans="1:12" x14ac:dyDescent="0.25">
      <c r="A15" s="106" t="s">
        <v>181</v>
      </c>
      <c r="B15" s="106"/>
      <c r="C15" s="106" t="s">
        <v>194</v>
      </c>
      <c r="D15" s="106"/>
      <c r="E15" s="106"/>
      <c r="F15" s="106"/>
      <c r="G15" s="106"/>
      <c r="H15" s="106"/>
    </row>
    <row r="16" spans="1:12" ht="15.75" customHeight="1" x14ac:dyDescent="0.25">
      <c r="A16" s="106" t="s">
        <v>164</v>
      </c>
      <c r="B16" s="106"/>
      <c r="C16" s="106" t="s">
        <v>180</v>
      </c>
      <c r="D16" s="106"/>
      <c r="E16" s="106"/>
      <c r="F16" s="106"/>
      <c r="G16" s="106"/>
      <c r="H16" s="106"/>
    </row>
    <row r="17" spans="1:8" ht="15.75" customHeight="1" x14ac:dyDescent="0.25">
      <c r="A17" s="106" t="s">
        <v>11</v>
      </c>
      <c r="B17" s="106"/>
      <c r="C17" s="66" t="s">
        <v>203</v>
      </c>
      <c r="D17" s="66"/>
      <c r="E17" s="106" t="s">
        <v>71</v>
      </c>
      <c r="F17" s="106"/>
      <c r="G17" s="106" t="s">
        <v>180</v>
      </c>
      <c r="H17" s="106"/>
    </row>
    <row r="18" spans="1:8" x14ac:dyDescent="0.25">
      <c r="A18" s="66" t="s">
        <v>13</v>
      </c>
      <c r="B18" s="66"/>
      <c r="C18" s="106" t="s">
        <v>178</v>
      </c>
      <c r="D18" s="106"/>
      <c r="E18" s="106" t="s">
        <v>12</v>
      </c>
      <c r="F18" s="106"/>
      <c r="G18" s="174" t="s">
        <v>175</v>
      </c>
      <c r="H18" s="174"/>
    </row>
    <row r="19" spans="1:8" x14ac:dyDescent="0.25">
      <c r="A19" s="115" t="s">
        <v>72</v>
      </c>
      <c r="B19" s="115"/>
      <c r="C19" s="106" t="s">
        <v>176</v>
      </c>
      <c r="D19" s="106"/>
      <c r="E19" s="171" t="s">
        <v>14</v>
      </c>
      <c r="F19" s="171"/>
      <c r="G19" s="106">
        <v>421201</v>
      </c>
      <c r="H19" s="106"/>
    </row>
    <row r="20" spans="1:8" ht="32.25" customHeight="1" x14ac:dyDescent="0.25">
      <c r="A20" s="115" t="s">
        <v>121</v>
      </c>
      <c r="B20" s="115"/>
      <c r="C20" s="106" t="s">
        <v>242</v>
      </c>
      <c r="D20" s="106"/>
      <c r="E20" s="171" t="s">
        <v>15</v>
      </c>
      <c r="F20" s="171"/>
      <c r="G20" s="106" t="s">
        <v>177</v>
      </c>
      <c r="H20" s="106"/>
    </row>
    <row r="21" spans="1:8" ht="15" customHeight="1" x14ac:dyDescent="0.25">
      <c r="A21" s="171" t="s">
        <v>74</v>
      </c>
      <c r="B21" s="171"/>
      <c r="C21" s="171"/>
      <c r="D21" s="171"/>
      <c r="E21" s="66" t="s">
        <v>16</v>
      </c>
      <c r="F21" s="66"/>
      <c r="G21" s="66"/>
      <c r="H21" s="66"/>
    </row>
    <row r="22" spans="1:8" ht="18.75" customHeight="1" x14ac:dyDescent="0.25">
      <c r="A22" s="171"/>
      <c r="B22" s="171"/>
      <c r="C22" s="171"/>
      <c r="D22" s="171"/>
      <c r="E22" s="66"/>
      <c r="F22" s="66"/>
      <c r="G22" s="66"/>
      <c r="H22" s="66"/>
    </row>
    <row r="23" spans="1:8" ht="15" customHeight="1" x14ac:dyDescent="0.25">
      <c r="A23" s="171" t="s">
        <v>17</v>
      </c>
      <c r="B23" s="171"/>
      <c r="C23" s="171"/>
      <c r="D23" s="171"/>
      <c r="E23" s="106" t="s">
        <v>18</v>
      </c>
      <c r="F23" s="106"/>
      <c r="G23" s="106"/>
      <c r="H23" s="106"/>
    </row>
    <row r="24" spans="1:8" ht="15" customHeight="1" x14ac:dyDescent="0.25">
      <c r="A24" s="115" t="s">
        <v>19</v>
      </c>
      <c r="B24" s="115"/>
      <c r="C24" s="115"/>
      <c r="D24" s="115"/>
      <c r="E24" s="106" t="str">
        <f>IF(AND(G18="Mumbai"),"Upper Class","Middle Class")</f>
        <v>Middle Class</v>
      </c>
      <c r="F24" s="106"/>
      <c r="G24" s="106"/>
      <c r="H24" s="106"/>
    </row>
    <row r="25" spans="1:8" x14ac:dyDescent="0.25">
      <c r="A25" s="115" t="s">
        <v>20</v>
      </c>
      <c r="B25" s="115"/>
      <c r="C25" s="115"/>
      <c r="D25" s="115"/>
      <c r="E25" s="106" t="s">
        <v>21</v>
      </c>
      <c r="F25" s="106"/>
      <c r="G25" s="106"/>
      <c r="H25" s="106"/>
    </row>
    <row r="26" spans="1:8" ht="15.75" customHeight="1" x14ac:dyDescent="0.25">
      <c r="A26" s="115" t="s">
        <v>22</v>
      </c>
      <c r="B26" s="115"/>
      <c r="C26" s="115"/>
      <c r="D26" s="115"/>
      <c r="E26" s="106" t="str">
        <f>IF(AND(G18="Mumbai"),"Developed","Developing")</f>
        <v>Developing</v>
      </c>
      <c r="F26" s="106"/>
      <c r="G26" s="106"/>
      <c r="H26" s="106"/>
    </row>
    <row r="27" spans="1:8" x14ac:dyDescent="0.25">
      <c r="A27" s="115" t="s">
        <v>23</v>
      </c>
      <c r="B27" s="115"/>
      <c r="C27" s="115"/>
      <c r="D27" s="115"/>
      <c r="E27" s="106" t="s">
        <v>24</v>
      </c>
      <c r="F27" s="106"/>
      <c r="G27" s="106"/>
      <c r="H27" s="106"/>
    </row>
    <row r="28" spans="1:8" ht="15.75" customHeight="1" x14ac:dyDescent="0.25">
      <c r="A28" s="115" t="s">
        <v>79</v>
      </c>
      <c r="B28" s="115"/>
      <c r="C28" s="115"/>
      <c r="D28" s="115"/>
      <c r="E28" s="106" t="s">
        <v>80</v>
      </c>
      <c r="F28" s="106"/>
      <c r="G28" s="106"/>
      <c r="H28" s="106"/>
    </row>
    <row r="29" spans="1:8" ht="15" customHeight="1" x14ac:dyDescent="0.25">
      <c r="A29" s="115" t="s">
        <v>32</v>
      </c>
      <c r="B29" s="115"/>
      <c r="C29" s="115"/>
      <c r="D29" s="115"/>
      <c r="E29" s="106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29" s="106"/>
      <c r="G29" s="106"/>
      <c r="H29" s="106"/>
    </row>
    <row r="30" spans="1:8" ht="15.75" customHeight="1" x14ac:dyDescent="0.25">
      <c r="A30" s="115" t="s">
        <v>91</v>
      </c>
      <c r="B30" s="115"/>
      <c r="C30" s="115"/>
      <c r="D30" s="115"/>
      <c r="E30" s="106" t="s">
        <v>33</v>
      </c>
      <c r="F30" s="106"/>
      <c r="G30" s="106"/>
      <c r="H30" s="106"/>
    </row>
    <row r="31" spans="1:8" s="22" customFormat="1" x14ac:dyDescent="0.25">
      <c r="A31" s="173" t="s">
        <v>92</v>
      </c>
      <c r="B31" s="173"/>
      <c r="C31" s="172" t="s">
        <v>233</v>
      </c>
      <c r="D31" s="172"/>
      <c r="E31" s="172"/>
      <c r="F31" s="172" t="s">
        <v>30</v>
      </c>
      <c r="G31" s="172"/>
      <c r="H31" s="172"/>
    </row>
    <row r="32" spans="1:8" s="22" customFormat="1" x14ac:dyDescent="0.25">
      <c r="A32" s="160" t="s">
        <v>25</v>
      </c>
      <c r="B32" s="160" t="s">
        <v>29</v>
      </c>
      <c r="C32" s="159" t="s">
        <v>245</v>
      </c>
      <c r="D32" s="159"/>
      <c r="E32" s="159"/>
      <c r="F32" s="159" t="s">
        <v>179</v>
      </c>
      <c r="G32" s="159"/>
      <c r="H32" s="159"/>
    </row>
    <row r="33" spans="1:8" x14ac:dyDescent="0.25">
      <c r="A33" s="160" t="s">
        <v>26</v>
      </c>
      <c r="B33" s="160" t="s">
        <v>29</v>
      </c>
      <c r="C33" s="159" t="s">
        <v>234</v>
      </c>
      <c r="D33" s="159"/>
      <c r="E33" s="159"/>
      <c r="F33" s="159" t="s">
        <v>242</v>
      </c>
      <c r="G33" s="159"/>
      <c r="H33" s="159"/>
    </row>
    <row r="34" spans="1:8" s="22" customFormat="1" x14ac:dyDescent="0.25">
      <c r="A34" s="160" t="s">
        <v>28</v>
      </c>
      <c r="B34" s="160" t="s">
        <v>29</v>
      </c>
      <c r="C34" s="159" t="s">
        <v>234</v>
      </c>
      <c r="D34" s="159"/>
      <c r="E34" s="159"/>
      <c r="F34" s="159" t="s">
        <v>243</v>
      </c>
      <c r="G34" s="159"/>
      <c r="H34" s="159"/>
    </row>
    <row r="35" spans="1:8" x14ac:dyDescent="0.25">
      <c r="A35" s="160" t="s">
        <v>27</v>
      </c>
      <c r="B35" s="160" t="s">
        <v>29</v>
      </c>
      <c r="C35" s="159" t="s">
        <v>244</v>
      </c>
      <c r="D35" s="159"/>
      <c r="E35" s="159"/>
      <c r="F35" s="159" t="s">
        <v>179</v>
      </c>
      <c r="G35" s="159"/>
      <c r="H35" s="159"/>
    </row>
    <row r="36" spans="1:8" x14ac:dyDescent="0.25">
      <c r="A36" s="115" t="s">
        <v>31</v>
      </c>
      <c r="B36" s="115"/>
      <c r="C36" s="115"/>
      <c r="D36" s="115"/>
      <c r="E36" s="115"/>
      <c r="F36" s="115"/>
      <c r="G36" s="115"/>
      <c r="H36" s="115"/>
    </row>
    <row r="37" spans="1:8" ht="15.75" customHeight="1" x14ac:dyDescent="0.25">
      <c r="A37" s="115" t="s">
        <v>167</v>
      </c>
      <c r="B37" s="115"/>
      <c r="C37" s="141" t="s">
        <v>240</v>
      </c>
      <c r="D37" s="141"/>
      <c r="E37" s="141"/>
      <c r="F37" s="141"/>
      <c r="G37" s="141"/>
      <c r="H37" s="141"/>
    </row>
    <row r="38" spans="1:8" x14ac:dyDescent="0.25">
      <c r="A38" s="115" t="s">
        <v>163</v>
      </c>
      <c r="B38" s="115"/>
      <c r="C38" s="120" t="s">
        <v>241</v>
      </c>
      <c r="D38" s="106"/>
      <c r="E38" s="106"/>
      <c r="F38" s="106"/>
      <c r="G38" s="106"/>
      <c r="H38" s="106"/>
    </row>
    <row r="39" spans="1:8" x14ac:dyDescent="0.25">
      <c r="A39" s="141" t="s">
        <v>34</v>
      </c>
      <c r="B39" s="141"/>
      <c r="C39" s="141"/>
      <c r="D39" s="141"/>
      <c r="E39" s="141"/>
      <c r="F39" s="141"/>
      <c r="G39" s="141"/>
      <c r="H39" s="141"/>
    </row>
    <row r="40" spans="1:8" x14ac:dyDescent="0.25">
      <c r="A40" s="66" t="s">
        <v>35</v>
      </c>
      <c r="B40" s="66"/>
      <c r="C40" s="66"/>
      <c r="D40" s="66"/>
      <c r="E40" s="167">
        <v>5900.52</v>
      </c>
      <c r="F40" s="167"/>
      <c r="G40" s="167"/>
      <c r="H40" s="167"/>
    </row>
    <row r="41" spans="1:8" x14ac:dyDescent="0.25">
      <c r="A41" s="66" t="s">
        <v>36</v>
      </c>
      <c r="B41" s="66"/>
      <c r="C41" s="66"/>
      <c r="D41" s="66"/>
      <c r="E41" s="169">
        <f>6490.57/E40</f>
        <v>1.0999996610468228</v>
      </c>
      <c r="F41" s="169"/>
      <c r="G41" s="169"/>
      <c r="H41" s="169"/>
    </row>
    <row r="42" spans="1:8" x14ac:dyDescent="0.25">
      <c r="A42" s="66" t="s">
        <v>37</v>
      </c>
      <c r="B42" s="66"/>
      <c r="C42" s="66"/>
      <c r="D42" s="66"/>
      <c r="E42" s="169">
        <f>E44/E40-E41</f>
        <v>4.0763356449939998</v>
      </c>
      <c r="F42" s="169"/>
      <c r="G42" s="169"/>
      <c r="H42" s="169"/>
    </row>
    <row r="43" spans="1:8" x14ac:dyDescent="0.25">
      <c r="A43" s="66" t="s">
        <v>38</v>
      </c>
      <c r="B43" s="66"/>
      <c r="C43" s="66"/>
      <c r="D43" s="66"/>
      <c r="E43" s="169">
        <f>E41+E42</f>
        <v>5.1763353060408228</v>
      </c>
      <c r="F43" s="169"/>
      <c r="G43" s="169"/>
      <c r="H43" s="169"/>
    </row>
    <row r="44" spans="1:8" x14ac:dyDescent="0.25">
      <c r="A44" s="66" t="s">
        <v>90</v>
      </c>
      <c r="B44" s="66"/>
      <c r="C44" s="66"/>
      <c r="D44" s="66"/>
      <c r="E44" s="170">
        <v>30543.07</v>
      </c>
      <c r="F44" s="170"/>
      <c r="G44" s="170"/>
      <c r="H44" s="170"/>
    </row>
    <row r="45" spans="1:8" x14ac:dyDescent="0.25">
      <c r="A45" s="66" t="s">
        <v>39</v>
      </c>
      <c r="B45" s="66"/>
      <c r="C45" s="66"/>
      <c r="D45" s="66"/>
      <c r="E45" s="66" t="s">
        <v>193</v>
      </c>
      <c r="F45" s="66"/>
      <c r="G45" s="66"/>
      <c r="H45" s="66"/>
    </row>
    <row r="46" spans="1:8" x14ac:dyDescent="0.25">
      <c r="A46" s="141" t="s">
        <v>40</v>
      </c>
      <c r="B46" s="141"/>
      <c r="C46" s="141"/>
      <c r="D46" s="141"/>
      <c r="E46" s="141"/>
      <c r="F46" s="141"/>
      <c r="G46" s="141"/>
      <c r="H46" s="141"/>
    </row>
    <row r="47" spans="1:8" ht="33.75" customHeight="1" x14ac:dyDescent="0.25">
      <c r="A47" s="75" t="s">
        <v>150</v>
      </c>
      <c r="B47" s="77"/>
      <c r="C47" s="121" t="s">
        <v>182</v>
      </c>
      <c r="D47" s="122"/>
      <c r="E47" s="122"/>
      <c r="F47" s="122"/>
      <c r="G47" s="122"/>
      <c r="H47" s="123"/>
    </row>
    <row r="48" spans="1:8" ht="15.75" customHeight="1" x14ac:dyDescent="0.25">
      <c r="A48" s="75" t="s">
        <v>41</v>
      </c>
      <c r="B48" s="77"/>
      <c r="C48" s="75" t="s">
        <v>211</v>
      </c>
      <c r="D48" s="76"/>
      <c r="E48" s="77"/>
      <c r="F48" s="18" t="s">
        <v>42</v>
      </c>
      <c r="G48" s="78">
        <v>45726</v>
      </c>
      <c r="H48" s="77"/>
    </row>
    <row r="49" spans="1:14" x14ac:dyDescent="0.25">
      <c r="A49" s="75" t="s">
        <v>43</v>
      </c>
      <c r="B49" s="77"/>
      <c r="C49" s="75" t="str">
        <f>C48</f>
        <v>KDMCC/RB/2025/APL/00147</v>
      </c>
      <c r="D49" s="76"/>
      <c r="E49" s="77"/>
      <c r="F49" s="18" t="s">
        <v>42</v>
      </c>
      <c r="G49" s="78">
        <f>G48</f>
        <v>45726</v>
      </c>
      <c r="H49" s="79"/>
    </row>
    <row r="50" spans="1:14" s="23" customFormat="1" ht="15.75" customHeight="1" x14ac:dyDescent="0.25">
      <c r="A50" s="71" t="s">
        <v>154</v>
      </c>
      <c r="B50" s="72"/>
      <c r="C50" s="75" t="str">
        <f>C49</f>
        <v>KDMCC/RB/2025/APL/00147</v>
      </c>
      <c r="D50" s="76"/>
      <c r="E50" s="77"/>
      <c r="F50" s="18" t="s">
        <v>42</v>
      </c>
      <c r="G50" s="78">
        <v>45735</v>
      </c>
      <c r="H50" s="79"/>
    </row>
    <row r="51" spans="1:14" s="23" customFormat="1" x14ac:dyDescent="0.25">
      <c r="A51" s="73"/>
      <c r="B51" s="74"/>
      <c r="C51" s="75" t="s">
        <v>210</v>
      </c>
      <c r="D51" s="76"/>
      <c r="E51" s="76"/>
      <c r="F51" s="76"/>
      <c r="G51" s="76"/>
      <c r="H51" s="77"/>
    </row>
    <row r="52" spans="1:14" s="23" customFormat="1" ht="15.75" customHeight="1" x14ac:dyDescent="0.25">
      <c r="A52" s="71" t="s">
        <v>261</v>
      </c>
      <c r="B52" s="72"/>
      <c r="C52" s="75" t="s">
        <v>258</v>
      </c>
      <c r="D52" s="76"/>
      <c r="E52" s="77"/>
      <c r="F52" s="18" t="s">
        <v>42</v>
      </c>
      <c r="G52" s="78">
        <v>44371</v>
      </c>
      <c r="H52" s="79"/>
    </row>
    <row r="53" spans="1:14" s="23" customFormat="1" x14ac:dyDescent="0.25">
      <c r="A53" s="73"/>
      <c r="B53" s="74"/>
      <c r="C53" s="75" t="s">
        <v>259</v>
      </c>
      <c r="D53" s="76"/>
      <c r="E53" s="76"/>
      <c r="F53" s="76"/>
      <c r="G53" s="76"/>
      <c r="H53" s="77"/>
    </row>
    <row r="54" spans="1:14" s="23" customFormat="1" ht="30" customHeight="1" x14ac:dyDescent="0.25">
      <c r="A54" s="71" t="s">
        <v>264</v>
      </c>
      <c r="B54" s="72"/>
      <c r="C54" s="75" t="s">
        <v>262</v>
      </c>
      <c r="D54" s="76"/>
      <c r="E54" s="77"/>
      <c r="F54" s="18" t="s">
        <v>42</v>
      </c>
      <c r="G54" s="78">
        <v>44902</v>
      </c>
      <c r="H54" s="79"/>
    </row>
    <row r="55" spans="1:14" s="23" customFormat="1" ht="49.15" customHeight="1" x14ac:dyDescent="0.25">
      <c r="A55" s="73"/>
      <c r="B55" s="74"/>
      <c r="C55" s="75" t="s">
        <v>263</v>
      </c>
      <c r="D55" s="76"/>
      <c r="E55" s="76"/>
      <c r="F55" s="76"/>
      <c r="G55" s="76"/>
      <c r="H55" s="77"/>
    </row>
    <row r="56" spans="1:14" x14ac:dyDescent="0.25">
      <c r="A56" s="190" t="s">
        <v>44</v>
      </c>
      <c r="B56" s="191"/>
      <c r="C56" s="190" t="s">
        <v>104</v>
      </c>
      <c r="D56" s="192"/>
      <c r="E56" s="191"/>
      <c r="F56" s="46" t="s">
        <v>42</v>
      </c>
      <c r="G56" s="193" t="s">
        <v>29</v>
      </c>
      <c r="H56" s="194"/>
    </row>
    <row r="57" spans="1:14" x14ac:dyDescent="0.25">
      <c r="A57" s="182" t="s">
        <v>46</v>
      </c>
      <c r="B57" s="182"/>
      <c r="C57" s="182"/>
      <c r="D57" s="182"/>
      <c r="E57" s="182"/>
      <c r="F57" s="182"/>
      <c r="G57" s="182"/>
      <c r="H57" s="182"/>
    </row>
    <row r="58" spans="1:14" x14ac:dyDescent="0.25">
      <c r="A58" s="171" t="s">
        <v>89</v>
      </c>
      <c r="B58" s="171"/>
      <c r="C58" s="171"/>
      <c r="D58" s="115">
        <f>E44</f>
        <v>30543.07</v>
      </c>
      <c r="E58" s="115"/>
      <c r="F58" s="115"/>
      <c r="G58" s="115"/>
      <c r="H58" s="115"/>
    </row>
    <row r="59" spans="1:14" x14ac:dyDescent="0.25">
      <c r="A59" s="106" t="s">
        <v>47</v>
      </c>
      <c r="B59" s="66"/>
      <c r="C59" s="66"/>
      <c r="D59" s="66" t="s">
        <v>252</v>
      </c>
      <c r="E59" s="66"/>
      <c r="F59" s="66"/>
      <c r="G59" s="66"/>
      <c r="H59" s="66"/>
      <c r="I59" s="66" t="s">
        <v>205</v>
      </c>
      <c r="J59" s="66"/>
      <c r="K59" s="66"/>
      <c r="L59" s="66"/>
      <c r="M59" s="66"/>
    </row>
    <row r="60" spans="1:14" x14ac:dyDescent="0.25">
      <c r="A60" s="163" t="s">
        <v>48</v>
      </c>
      <c r="B60" s="164"/>
      <c r="C60" s="165"/>
      <c r="D60" s="161" t="s">
        <v>210</v>
      </c>
      <c r="E60" s="162"/>
      <c r="F60" s="162"/>
      <c r="G60" s="162"/>
      <c r="H60" s="162"/>
      <c r="I60" s="106" t="s">
        <v>202</v>
      </c>
      <c r="J60" s="66"/>
      <c r="K60" s="66"/>
      <c r="L60" s="66"/>
      <c r="M60" s="66"/>
    </row>
    <row r="61" spans="1:14" ht="15.75" customHeight="1" x14ac:dyDescent="0.25">
      <c r="A61" s="163" t="s">
        <v>87</v>
      </c>
      <c r="B61" s="164"/>
      <c r="C61" s="164"/>
      <c r="D61" s="161" t="s">
        <v>210</v>
      </c>
      <c r="E61" s="162"/>
      <c r="F61" s="162"/>
      <c r="G61" s="162"/>
      <c r="H61" s="162"/>
    </row>
    <row r="62" spans="1:14" ht="15.75" hidden="1" customHeight="1" x14ac:dyDescent="0.25">
      <c r="A62" s="188"/>
      <c r="B62" s="189"/>
      <c r="C62" s="189"/>
      <c r="D62" s="195" t="s">
        <v>201</v>
      </c>
      <c r="E62" s="196"/>
      <c r="F62" s="196"/>
      <c r="G62" s="196"/>
      <c r="H62" s="197"/>
    </row>
    <row r="63" spans="1:14" ht="15.75" customHeight="1" x14ac:dyDescent="0.25">
      <c r="A63" s="115" t="s">
        <v>45</v>
      </c>
      <c r="B63" s="115"/>
      <c r="C63" s="115"/>
      <c r="D63" s="106" t="s">
        <v>183</v>
      </c>
      <c r="E63" s="106"/>
      <c r="F63" s="106"/>
      <c r="G63" s="106"/>
      <c r="H63" s="106"/>
      <c r="J63" s="25"/>
      <c r="K63" s="24"/>
      <c r="N63" s="24"/>
    </row>
    <row r="64" spans="1:14" ht="15.75" customHeight="1" x14ac:dyDescent="0.25">
      <c r="A64" s="115" t="s">
        <v>85</v>
      </c>
      <c r="B64" s="115"/>
      <c r="C64" s="115"/>
      <c r="D64" s="168" t="str">
        <f>(IF(G56="NA","60 Years After Completion",IF(G56&lt;&gt;"NA",""&amp;60-ROUNDDOWN((E3-G56)/360,0)&amp;" Years"," ")))</f>
        <v>60 Years After Completion</v>
      </c>
      <c r="E64" s="168"/>
      <c r="F64" s="168"/>
      <c r="G64" s="168"/>
      <c r="H64" s="168"/>
      <c r="N64" s="24"/>
    </row>
    <row r="65" spans="1:14" ht="15.75" customHeight="1" x14ac:dyDescent="0.25">
      <c r="A65" s="115" t="s">
        <v>86</v>
      </c>
      <c r="B65" s="115"/>
      <c r="C65" s="115"/>
      <c r="D65" s="171" t="s">
        <v>24</v>
      </c>
      <c r="E65" s="171"/>
      <c r="F65" s="171"/>
      <c r="G65" s="171"/>
      <c r="H65" s="171"/>
      <c r="J65" s="26"/>
      <c r="K65" s="26"/>
    </row>
    <row r="66" spans="1:14" ht="48.75" customHeight="1" x14ac:dyDescent="0.25">
      <c r="A66" s="115" t="s">
        <v>73</v>
      </c>
      <c r="B66" s="115"/>
      <c r="C66" s="115"/>
      <c r="D66" s="106" t="s">
        <v>197</v>
      </c>
      <c r="E66" s="171"/>
      <c r="F66" s="171"/>
      <c r="G66" s="171"/>
      <c r="H66" s="171"/>
    </row>
    <row r="67" spans="1:14" x14ac:dyDescent="0.25">
      <c r="A67" s="171" t="s">
        <v>147</v>
      </c>
      <c r="B67" s="171"/>
      <c r="C67" s="171"/>
      <c r="D67" s="171" t="s">
        <v>29</v>
      </c>
      <c r="E67" s="171"/>
      <c r="F67" s="171"/>
      <c r="G67" s="171"/>
      <c r="H67" s="171"/>
      <c r="I67" s="27"/>
      <c r="J67" s="27"/>
      <c r="K67" s="27"/>
      <c r="L67" s="27"/>
      <c r="M67" s="27"/>
      <c r="N67" s="27"/>
    </row>
    <row r="68" spans="1:14" ht="15.75" customHeight="1" x14ac:dyDescent="0.25">
      <c r="A68" s="115" t="s">
        <v>84</v>
      </c>
      <c r="B68" s="115"/>
      <c r="C68" s="115"/>
      <c r="D68" s="106" t="str">
        <f ca="1">(IF(G102&gt;95%,"Nothing",IF(G102&gt;0%,"Cement, Aggregate, Steel, etc",IF(G102=0%,"Work not yet Started"))))</f>
        <v>Cement, Aggregate, Steel, etc</v>
      </c>
      <c r="E68" s="106"/>
      <c r="F68" s="106"/>
      <c r="G68" s="106"/>
      <c r="H68" s="106"/>
      <c r="J68" s="26"/>
    </row>
    <row r="69" spans="1:14" ht="33.75" customHeight="1" thickBot="1" x14ac:dyDescent="0.3">
      <c r="A69" s="171" t="s">
        <v>117</v>
      </c>
      <c r="B69" s="171"/>
      <c r="C69" s="171"/>
      <c r="D69" s="106" t="str">
        <f ca="1">(IF(D68="Nothing","Yes",IF(D68="Cement, Aggregate, Steel, etc","Under Construction",IF(D68="Work not yet Started","Work not yet Started"))))</f>
        <v>Under Construction</v>
      </c>
      <c r="E69" s="106"/>
      <c r="F69" s="106" t="str">
        <f ca="1">(IF(D68="Nothing","Yes",IF(D68="Cement, Aggregate, Steel, etc","Under Construction",IF(D68="Work not yet Started","Work not yet Started"))))</f>
        <v>Under Construction</v>
      </c>
      <c r="G69" s="106"/>
      <c r="H69" s="106"/>
    </row>
    <row r="70" spans="1:14" ht="15.75" customHeight="1" x14ac:dyDescent="0.25">
      <c r="A70" s="145" t="s">
        <v>139</v>
      </c>
      <c r="B70" s="145"/>
      <c r="C70" s="145" t="s">
        <v>235</v>
      </c>
      <c r="D70" s="145"/>
      <c r="E70" s="145"/>
      <c r="F70" s="145"/>
      <c r="G70" s="145"/>
      <c r="H70" s="145"/>
      <c r="I70" s="56" t="str">
        <f ca="1">IF(D83=100%,"All work Completed. Possession granted to the Building.",IF(D82=100%,"All work Completed, Waiting for OC",I71&amp;""&amp;I72&amp;""&amp;J71&amp;""&amp;J70&amp;" "&amp;J72))</f>
        <v>Excavation, Plinth Completed, RCC upto 7 Slab Completed</v>
      </c>
      <c r="J70" s="51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RCC upto 7 Slab</v>
      </c>
    </row>
    <row r="71" spans="1:14" x14ac:dyDescent="0.25">
      <c r="A71" s="48" t="s">
        <v>141</v>
      </c>
      <c r="B71" s="48">
        <f>IF(AND(ISNUMBER(SEARCH("1B",C70))),1,IF(AND(ISNUMBER(SEARCH("2B",C70))),2,IF(AND(ISNUMBER(SEARCH("3B",C70))),3,IF(AND(ISNUMBER(SEARCH("4B",C70))),4,IF(ISNUMBER(SEARCH("5B",C70)),5,0)))))</f>
        <v>0</v>
      </c>
      <c r="C71" s="48" t="s">
        <v>70</v>
      </c>
      <c r="D71" s="48">
        <v>1</v>
      </c>
      <c r="E71" s="48" t="s">
        <v>69</v>
      </c>
      <c r="F71" s="48">
        <v>2</v>
      </c>
      <c r="G71" s="49" t="s">
        <v>78</v>
      </c>
      <c r="H71" s="48">
        <f ca="1">--TRIM(RIGHT(SUBSTITUTE(LEFT(C70,_xlfn.AGGREGATE(16,6,FIND({0,1,2,3,4,5,6,7,8,9},C70,ROW(INDIRECT("1:"&amp;LEN(C70)))),1))," ",REPT(" ",LEN(C70))),LEN(C70)))</f>
        <v>25</v>
      </c>
      <c r="I71" s="57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</v>
      </c>
      <c r="J71" s="53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x14ac:dyDescent="0.25">
      <c r="A72" s="135" t="s">
        <v>88</v>
      </c>
      <c r="B72" s="135"/>
      <c r="C72" s="136" t="str">
        <f ca="1">I70</f>
        <v>Excavation, Plinth Completed, RCC upto 7 Slab Completed</v>
      </c>
      <c r="D72" s="136"/>
      <c r="E72" s="136"/>
      <c r="F72" s="136"/>
      <c r="G72" s="136"/>
      <c r="H72" s="136"/>
      <c r="I72" s="57" t="str">
        <f ca="1">IF(I71&lt;&gt;""," Completed","")</f>
        <v xml:space="preserve"> Completed</v>
      </c>
      <c r="J72" s="53" t="str">
        <f ca="1">IF(J70&lt;&gt;"","Completed","")</f>
        <v>Completed</v>
      </c>
    </row>
    <row r="73" spans="1:14" ht="15.75" customHeight="1" x14ac:dyDescent="0.25">
      <c r="A73" s="131" t="s">
        <v>49</v>
      </c>
      <c r="B73" s="124"/>
      <c r="C73" s="44" t="s">
        <v>138</v>
      </c>
      <c r="D73" s="44" t="s">
        <v>81</v>
      </c>
      <c r="E73" s="124" t="s">
        <v>83</v>
      </c>
      <c r="F73" s="124"/>
      <c r="G73" s="124" t="s">
        <v>82</v>
      </c>
      <c r="H73" s="138"/>
      <c r="I73" s="14" t="s">
        <v>140</v>
      </c>
      <c r="J73" s="28">
        <f ca="1">H71*25%</f>
        <v>6.25</v>
      </c>
    </row>
    <row r="74" spans="1:14" x14ac:dyDescent="0.25">
      <c r="A74" s="131" t="s">
        <v>127</v>
      </c>
      <c r="B74" s="124"/>
      <c r="C74" s="44">
        <f ca="1">J75</f>
        <v>25</v>
      </c>
      <c r="D74" s="19">
        <f ca="1">((100/H71)*C74)/100</f>
        <v>1</v>
      </c>
      <c r="E74" s="125">
        <f ca="1">(((C75/H71*10)+(40/(D71+F71+H71)*C76)+(7.5/(H71)*C77)+(7.5/(H71)*C78)+(10/H71*C79)+(10/H71*C80)+(5/H71*C81)+(5/H71*C82)+(5/H71*C83))/100)</f>
        <v>0.2</v>
      </c>
      <c r="F74" s="152"/>
      <c r="G74" s="125">
        <f ca="1">((((C74/H71)*20)+((C75/H71)*25)+(30/(H71+F71+D71)*C76)+(5/H71*C77)+(5/H71*C78)+(5/H71*C79)+(5/H71*C80)+(0/H71*C81)+(0/H71*C82)+(5/H71*C83))/100)</f>
        <v>0.52500000000000002</v>
      </c>
      <c r="H74" s="126"/>
      <c r="I74" s="14" t="s">
        <v>99</v>
      </c>
      <c r="J74" s="29">
        <f ca="1">H71*50%</f>
        <v>12.5</v>
      </c>
    </row>
    <row r="75" spans="1:14" x14ac:dyDescent="0.25">
      <c r="A75" s="131" t="s">
        <v>50</v>
      </c>
      <c r="B75" s="124"/>
      <c r="C75" s="61">
        <f ca="1">J83</f>
        <v>25</v>
      </c>
      <c r="D75" s="19">
        <f ca="1">((100/H71)*C75)/100</f>
        <v>1</v>
      </c>
      <c r="E75" s="127"/>
      <c r="F75" s="153"/>
      <c r="G75" s="127"/>
      <c r="H75" s="128"/>
      <c r="I75" s="14" t="s">
        <v>100</v>
      </c>
      <c r="J75" s="29">
        <f ca="1">H71</f>
        <v>25</v>
      </c>
    </row>
    <row r="76" spans="1:14" ht="15.75" customHeight="1" x14ac:dyDescent="0.25">
      <c r="A76" s="131" t="s">
        <v>128</v>
      </c>
      <c r="B76" s="124"/>
      <c r="C76" s="62">
        <v>7</v>
      </c>
      <c r="D76" s="19">
        <f ca="1">((100/(D71+F71+H71))*C76)/100</f>
        <v>0.25</v>
      </c>
      <c r="E76" s="127"/>
      <c r="F76" s="153"/>
      <c r="G76" s="127"/>
      <c r="H76" s="128"/>
      <c r="I76" s="14" t="s">
        <v>101</v>
      </c>
      <c r="J76" s="30">
        <f ca="1">(IF(B71&gt;1,(H71/(B71+2)),H71/4))</f>
        <v>6.25</v>
      </c>
    </row>
    <row r="77" spans="1:14" ht="15.75" customHeight="1" x14ac:dyDescent="0.25">
      <c r="A77" s="131" t="s">
        <v>135</v>
      </c>
      <c r="B77" s="124" t="s">
        <v>129</v>
      </c>
      <c r="C77" s="62">
        <v>0</v>
      </c>
      <c r="D77" s="19">
        <f ca="1">((100/H71)*C77)/100</f>
        <v>0</v>
      </c>
      <c r="E77" s="127"/>
      <c r="F77" s="153"/>
      <c r="G77" s="127"/>
      <c r="H77" s="128"/>
      <c r="I77" s="14" t="s">
        <v>102</v>
      </c>
      <c r="J77" s="30">
        <f ca="1">(IF(B71&gt;1,(H71/(B71+2)+J76),H71/4+J76))</f>
        <v>12.5</v>
      </c>
    </row>
    <row r="78" spans="1:14" ht="15.75" customHeight="1" x14ac:dyDescent="0.25">
      <c r="A78" s="131" t="s">
        <v>136</v>
      </c>
      <c r="B78" s="124" t="s">
        <v>129</v>
      </c>
      <c r="C78" s="62">
        <v>0</v>
      </c>
      <c r="D78" s="19">
        <f ca="1">((100/H71)*C78)/100</f>
        <v>0</v>
      </c>
      <c r="E78" s="127"/>
      <c r="F78" s="153"/>
      <c r="G78" s="127"/>
      <c r="H78" s="128"/>
      <c r="I78" s="14" t="s">
        <v>145</v>
      </c>
      <c r="J78" s="30">
        <f>(IF(B71&gt;1,(H71/(B71+2)+J77),0))</f>
        <v>0</v>
      </c>
    </row>
    <row r="79" spans="1:14" ht="15" customHeight="1" x14ac:dyDescent="0.25">
      <c r="A79" s="131" t="s">
        <v>134</v>
      </c>
      <c r="B79" s="124" t="s">
        <v>131</v>
      </c>
      <c r="C79" s="62">
        <v>0</v>
      </c>
      <c r="D79" s="19">
        <f ca="1">((100/(H71))*C79)/100</f>
        <v>0</v>
      </c>
      <c r="E79" s="127"/>
      <c r="F79" s="153"/>
      <c r="G79" s="127"/>
      <c r="H79" s="128"/>
      <c r="I79" s="14" t="s">
        <v>142</v>
      </c>
      <c r="J79" s="30">
        <f>(IF(B71&gt;2,(H71/(B71+2)+J78),0))</f>
        <v>0</v>
      </c>
    </row>
    <row r="80" spans="1:14" ht="15.75" customHeight="1" x14ac:dyDescent="0.25">
      <c r="A80" s="131" t="s">
        <v>130</v>
      </c>
      <c r="B80" s="124" t="s">
        <v>130</v>
      </c>
      <c r="C80" s="44">
        <v>0</v>
      </c>
      <c r="D80" s="19">
        <f ca="1">((100/H71)*C80)/100</f>
        <v>0</v>
      </c>
      <c r="E80" s="127"/>
      <c r="F80" s="153"/>
      <c r="G80" s="127"/>
      <c r="H80" s="128"/>
      <c r="I80" s="14" t="s">
        <v>143</v>
      </c>
      <c r="J80" s="31">
        <f>(IF(B71&gt;3,(H71/(B71+2)+J79),0))</f>
        <v>0</v>
      </c>
    </row>
    <row r="81" spans="1:10" ht="15.75" customHeight="1" x14ac:dyDescent="0.25">
      <c r="A81" s="131" t="s">
        <v>137</v>
      </c>
      <c r="B81" s="124"/>
      <c r="C81" s="44">
        <v>0</v>
      </c>
      <c r="D81" s="19">
        <f ca="1">((100/H71)*C81)/100</f>
        <v>0</v>
      </c>
      <c r="E81" s="127"/>
      <c r="F81" s="153"/>
      <c r="G81" s="127"/>
      <c r="H81" s="128"/>
      <c r="I81" s="14" t="s">
        <v>144</v>
      </c>
      <c r="J81" s="30">
        <f>(IF(B71&gt;4,(H71/(B71+2)+J80),0))</f>
        <v>0</v>
      </c>
    </row>
    <row r="82" spans="1:10" ht="15.75" customHeight="1" x14ac:dyDescent="0.25">
      <c r="A82" s="131" t="s">
        <v>132</v>
      </c>
      <c r="B82" s="124" t="s">
        <v>132</v>
      </c>
      <c r="C82" s="44">
        <v>0</v>
      </c>
      <c r="D82" s="19">
        <f ca="1">((100/(H71))*C82)/100</f>
        <v>0</v>
      </c>
      <c r="E82" s="127"/>
      <c r="F82" s="153"/>
      <c r="G82" s="127"/>
      <c r="H82" s="128"/>
      <c r="I82" s="14" t="s">
        <v>146</v>
      </c>
      <c r="J82" s="30">
        <f ca="1">(IF(B71=1,(H71/(B71+3)+J77),IF(B71=0,(H71/4+J77),IF(B71&gt;1,0))))</f>
        <v>18.75</v>
      </c>
    </row>
    <row r="83" spans="1:10" ht="16.5" thickBot="1" x14ac:dyDescent="0.3">
      <c r="A83" s="139" t="s">
        <v>133</v>
      </c>
      <c r="B83" s="140"/>
      <c r="C83" s="45">
        <v>0</v>
      </c>
      <c r="D83" s="20">
        <f ca="1">((100/(H71))*C83)/100</f>
        <v>0</v>
      </c>
      <c r="E83" s="129"/>
      <c r="F83" s="154"/>
      <c r="G83" s="129"/>
      <c r="H83" s="130"/>
      <c r="I83" s="15" t="s">
        <v>103</v>
      </c>
      <c r="J83" s="32">
        <f ca="1">(IF(B71&gt;1.5,(H71/(B71+2)+J77+MAX(0,J78-J77)+MAX(0,J79-J78)+MAX(0,J80-J79)+MAX(0,J81-J80)+MAX(0,J82-J81)),IF(B71=1,(H71/(B71+3)+J82),IF(B71=0,H71/4+J82))))</f>
        <v>25</v>
      </c>
    </row>
    <row r="84" spans="1:10" ht="15.75" customHeight="1" x14ac:dyDescent="0.25">
      <c r="A84" s="143" t="s">
        <v>139</v>
      </c>
      <c r="B84" s="144"/>
      <c r="C84" s="145" t="s">
        <v>236</v>
      </c>
      <c r="D84" s="145"/>
      <c r="E84" s="145"/>
      <c r="F84" s="145"/>
      <c r="G84" s="145"/>
      <c r="H84" s="145"/>
      <c r="I84" s="50" t="str">
        <f ca="1">IF(D97=100%,"All work Completed. Possession granted to the Building.",IF(D96=100%,"All work Completed, Waiting for OC",I85&amp;""&amp;I86&amp;""&amp;J85&amp;""&amp;J84&amp;" "&amp;J86))</f>
        <v>Excavation, Plinth Completed, RCC upto 24 Slab, Brickwork upto 17 Floor, Internal Plaster upto 13 Floor, External Plaster upto 11 Floor Completed</v>
      </c>
      <c r="J84" s="51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RCC upto 24 Slab, Brickwork upto 17 Floor, Internal Plaster upto 13 Floor, External Plaster upto 11 Floor</v>
      </c>
    </row>
    <row r="85" spans="1:10" x14ac:dyDescent="0.25">
      <c r="A85" s="16" t="s">
        <v>141</v>
      </c>
      <c r="B85" s="48">
        <f>IF(AND(ISNUMBER(SEARCH("1B",C84))),1,IF(AND(ISNUMBER(SEARCH("2B",C84))),2,IF(AND(ISNUMBER(SEARCH("3B",C84))),3,IF(AND(ISNUMBER(SEARCH("4B",C84))),4,IF(ISNUMBER(SEARCH("5B",C84)),5,0)))))</f>
        <v>0</v>
      </c>
      <c r="C85" s="48" t="s">
        <v>70</v>
      </c>
      <c r="D85" s="48">
        <v>1</v>
      </c>
      <c r="E85" s="48" t="s">
        <v>69</v>
      </c>
      <c r="F85" s="48">
        <v>2</v>
      </c>
      <c r="G85" s="49" t="s">
        <v>78</v>
      </c>
      <c r="H85" s="17">
        <f ca="1">--TRIM(RIGHT(SUBSTITUTE(LEFT(C84,_xlfn.AGGREGATE(16,6,FIND({0,1,2,3,4,5,6,7,8,9},C84,ROW(INDIRECT("1:"&amp;LEN(C84)))),1))," ",REPT(" ",LEN(C84))),LEN(C84)))</f>
        <v>25</v>
      </c>
      <c r="I85" s="52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</v>
      </c>
      <c r="J85" s="53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0" ht="33" customHeight="1" x14ac:dyDescent="0.25">
      <c r="A86" s="134" t="s">
        <v>88</v>
      </c>
      <c r="B86" s="135"/>
      <c r="C86" s="136" t="str">
        <f ca="1">(IF($G$56="NA",I84,"All work Completed. OC Received."))</f>
        <v>Excavation, Plinth Completed, RCC upto 24 Slab, Brickwork upto 17 Floor, Internal Plaster upto 13 Floor, External Plaster upto 11 Floor Completed</v>
      </c>
      <c r="D86" s="136"/>
      <c r="E86" s="136"/>
      <c r="F86" s="136"/>
      <c r="G86" s="136"/>
      <c r="H86" s="137"/>
      <c r="I86" s="52" t="str">
        <f ca="1">IF(I85&lt;&gt;""," Completed","")</f>
        <v xml:space="preserve"> Completed</v>
      </c>
      <c r="J86" s="53" t="str">
        <f ca="1">IF(J84&lt;&gt;"","Completed","")</f>
        <v>Completed</v>
      </c>
    </row>
    <row r="87" spans="1:10" ht="15.75" customHeight="1" x14ac:dyDescent="0.25">
      <c r="A87" s="131" t="s">
        <v>49</v>
      </c>
      <c r="B87" s="124"/>
      <c r="C87" s="44" t="s">
        <v>138</v>
      </c>
      <c r="D87" s="44" t="s">
        <v>81</v>
      </c>
      <c r="E87" s="124" t="s">
        <v>83</v>
      </c>
      <c r="F87" s="124"/>
      <c r="G87" s="124" t="s">
        <v>82</v>
      </c>
      <c r="H87" s="138"/>
      <c r="I87" s="14" t="s">
        <v>140</v>
      </c>
      <c r="J87" s="28">
        <f ca="1">H85*25%</f>
        <v>6.25</v>
      </c>
    </row>
    <row r="88" spans="1:10" x14ac:dyDescent="0.25">
      <c r="A88" s="131" t="s">
        <v>127</v>
      </c>
      <c r="B88" s="124"/>
      <c r="C88" s="44">
        <f ca="1">J89</f>
        <v>25</v>
      </c>
      <c r="D88" s="19">
        <f ca="1">((100/H85)*C88)/100</f>
        <v>1</v>
      </c>
      <c r="E88" s="125">
        <f ca="1">(((C89/H85*10)+(40/(D85+F85+H85)*C90)+(7.5/(H85)*C91)+(7.5/(H85)*C92)+(10/H85*C93)+(10/H85*C94)+(5/H85*C95)+(5/H85*C96)+(5/H85*C97))/100)</f>
        <v>0.57685714285714285</v>
      </c>
      <c r="F88" s="152"/>
      <c r="G88" s="125">
        <f ca="1">((((C88/H85)*20)+((C89/H85)*25)+(30/(H85+F85+D85)*C90)+(5/H85*C91)+(5/H85*C92)+(5/H85*C93)+(5/H85*C94)+(0/H85*C95)+(0/H85*C96)+(5/H85*C97))/100)</f>
        <v>0.78914285714285726</v>
      </c>
      <c r="H88" s="126"/>
      <c r="I88" s="14" t="s">
        <v>99</v>
      </c>
      <c r="J88" s="29">
        <f ca="1">H85*50%</f>
        <v>12.5</v>
      </c>
    </row>
    <row r="89" spans="1:10" x14ac:dyDescent="0.25">
      <c r="A89" s="131" t="s">
        <v>50</v>
      </c>
      <c r="B89" s="124"/>
      <c r="C89" s="54">
        <f ca="1">J97</f>
        <v>25</v>
      </c>
      <c r="D89" s="19">
        <f ca="1">((100/H85)*C89)/100</f>
        <v>1</v>
      </c>
      <c r="E89" s="127"/>
      <c r="F89" s="153"/>
      <c r="G89" s="127"/>
      <c r="H89" s="128"/>
      <c r="I89" s="14" t="s">
        <v>100</v>
      </c>
      <c r="J89" s="29">
        <f ca="1">H85</f>
        <v>25</v>
      </c>
    </row>
    <row r="90" spans="1:10" ht="15.75" customHeight="1" x14ac:dyDescent="0.25">
      <c r="A90" s="131" t="s">
        <v>128</v>
      </c>
      <c r="B90" s="124"/>
      <c r="C90" s="44">
        <v>24</v>
      </c>
      <c r="D90" s="19">
        <f ca="1">((100/(D85+F85+H85))*C90)/100</f>
        <v>0.85714285714285721</v>
      </c>
      <c r="E90" s="127"/>
      <c r="F90" s="153"/>
      <c r="G90" s="127"/>
      <c r="H90" s="128"/>
      <c r="I90" s="14" t="s">
        <v>101</v>
      </c>
      <c r="J90" s="30">
        <f ca="1">(IF(B85&gt;1,(H85/(B85+2)),H85/4))</f>
        <v>6.25</v>
      </c>
    </row>
    <row r="91" spans="1:10" ht="15.75" customHeight="1" x14ac:dyDescent="0.25">
      <c r="A91" s="131" t="s">
        <v>135</v>
      </c>
      <c r="B91" s="124" t="s">
        <v>129</v>
      </c>
      <c r="C91" s="44">
        <v>17</v>
      </c>
      <c r="D91" s="19">
        <f ca="1">((100/H85)*C91)/100</f>
        <v>0.68</v>
      </c>
      <c r="E91" s="127"/>
      <c r="F91" s="153"/>
      <c r="G91" s="127"/>
      <c r="H91" s="128"/>
      <c r="I91" s="14" t="s">
        <v>102</v>
      </c>
      <c r="J91" s="30">
        <f ca="1">(IF(B85&gt;1,(H85/(B85+2)+J90),H85/4+J90))</f>
        <v>12.5</v>
      </c>
    </row>
    <row r="92" spans="1:10" ht="15.75" customHeight="1" x14ac:dyDescent="0.25">
      <c r="A92" s="131" t="s">
        <v>136</v>
      </c>
      <c r="B92" s="124" t="s">
        <v>129</v>
      </c>
      <c r="C92" s="44">
        <v>13</v>
      </c>
      <c r="D92" s="19">
        <f ca="1">((100/H85)*C92)/100</f>
        <v>0.52</v>
      </c>
      <c r="E92" s="127"/>
      <c r="F92" s="153"/>
      <c r="G92" s="127"/>
      <c r="H92" s="128"/>
      <c r="I92" s="14" t="s">
        <v>145</v>
      </c>
      <c r="J92" s="30">
        <f>(IF(B85&gt;1,(H85/(B85+2)+J91),0))</f>
        <v>0</v>
      </c>
    </row>
    <row r="93" spans="1:10" ht="15" customHeight="1" x14ac:dyDescent="0.25">
      <c r="A93" s="131" t="s">
        <v>134</v>
      </c>
      <c r="B93" s="124" t="s">
        <v>131</v>
      </c>
      <c r="C93" s="44">
        <v>11</v>
      </c>
      <c r="D93" s="19">
        <f ca="1">((100/(H85))*C93)/100</f>
        <v>0.44</v>
      </c>
      <c r="E93" s="127"/>
      <c r="F93" s="153"/>
      <c r="G93" s="127"/>
      <c r="H93" s="128"/>
      <c r="I93" s="14" t="s">
        <v>142</v>
      </c>
      <c r="J93" s="30">
        <f>(IF(B85&gt;2,(H85/(B85+2)+J92),0))</f>
        <v>0</v>
      </c>
    </row>
    <row r="94" spans="1:10" ht="15.75" customHeight="1" x14ac:dyDescent="0.25">
      <c r="A94" s="131" t="s">
        <v>130</v>
      </c>
      <c r="B94" s="124" t="s">
        <v>130</v>
      </c>
      <c r="C94" s="44">
        <v>0</v>
      </c>
      <c r="D94" s="19">
        <f ca="1">((100/H85)*C94)/100</f>
        <v>0</v>
      </c>
      <c r="E94" s="127"/>
      <c r="F94" s="153"/>
      <c r="G94" s="127"/>
      <c r="H94" s="128"/>
      <c r="I94" s="14" t="s">
        <v>143</v>
      </c>
      <c r="J94" s="31">
        <f>(IF(B85&gt;3,(H85/(B85+2)+J93),0))</f>
        <v>0</v>
      </c>
    </row>
    <row r="95" spans="1:10" ht="15.75" customHeight="1" x14ac:dyDescent="0.25">
      <c r="A95" s="131" t="s">
        <v>137</v>
      </c>
      <c r="B95" s="124"/>
      <c r="C95" s="44">
        <v>0</v>
      </c>
      <c r="D95" s="19">
        <f ca="1">((100/H85)*C95)/100</f>
        <v>0</v>
      </c>
      <c r="E95" s="127"/>
      <c r="F95" s="153"/>
      <c r="G95" s="127"/>
      <c r="H95" s="128"/>
      <c r="I95" s="14" t="s">
        <v>144</v>
      </c>
      <c r="J95" s="30">
        <f>(IF(B85&gt;4,(H85/(B85+2)+J94),0))</f>
        <v>0</v>
      </c>
    </row>
    <row r="96" spans="1:10" ht="15.75" customHeight="1" x14ac:dyDescent="0.25">
      <c r="A96" s="131" t="s">
        <v>132</v>
      </c>
      <c r="B96" s="124" t="s">
        <v>132</v>
      </c>
      <c r="C96" s="44">
        <v>0</v>
      </c>
      <c r="D96" s="19">
        <f ca="1">((100/(H85))*C96)/100</f>
        <v>0</v>
      </c>
      <c r="E96" s="127"/>
      <c r="F96" s="153"/>
      <c r="G96" s="127"/>
      <c r="H96" s="128"/>
      <c r="I96" s="14" t="s">
        <v>146</v>
      </c>
      <c r="J96" s="30">
        <f ca="1">(IF(B85=1,(H85/(B85+3)+J91),IF(B85=0,(H85/4+J91),IF(B85&gt;1,0))))</f>
        <v>18.75</v>
      </c>
    </row>
    <row r="97" spans="1:10" ht="16.5" thickBot="1" x14ac:dyDescent="0.3">
      <c r="A97" s="139" t="s">
        <v>133</v>
      </c>
      <c r="B97" s="140"/>
      <c r="C97" s="45">
        <v>0</v>
      </c>
      <c r="D97" s="20">
        <f ca="1">((100/(H85))*C97)/100</f>
        <v>0</v>
      </c>
      <c r="E97" s="129"/>
      <c r="F97" s="154"/>
      <c r="G97" s="129"/>
      <c r="H97" s="130"/>
      <c r="I97" s="15" t="s">
        <v>103</v>
      </c>
      <c r="J97" s="32">
        <f ca="1">(IF(B85&gt;1.5,(H85/(B85+2)+J91+MAX(0,J92-J91)+MAX(0,J93-J92)+MAX(0,J94-J93)+MAX(0,J95-J94)+MAX(0,J96-J95)),IF(B85=1,(H85/(B85+3)+J96),IF(B85=0,H85/4+J96))))</f>
        <v>25</v>
      </c>
    </row>
    <row r="98" spans="1:10" ht="15.75" customHeight="1" x14ac:dyDescent="0.25">
      <c r="A98" s="143" t="s">
        <v>139</v>
      </c>
      <c r="B98" s="144"/>
      <c r="C98" s="145" t="s">
        <v>237</v>
      </c>
      <c r="D98" s="145"/>
      <c r="E98" s="145"/>
      <c r="F98" s="145"/>
      <c r="G98" s="145"/>
      <c r="H98" s="145"/>
      <c r="I98" s="50" t="str">
        <f ca="1">IF(D111=100%,"All work Completed. Possession granted to the Building.",IF(D110=100%,"All work Completed, Waiting for OC",I99&amp;""&amp;I100&amp;""&amp;J99&amp;""&amp;J98&amp;" "&amp;J100))</f>
        <v>Excavation, Plinth Completed, RCC upto 24 Slab, Brickwork upto 16 Floor, Internal Plaster upto 11 Floor, External Plaster upto 9 Floor Completed</v>
      </c>
      <c r="J98" s="51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>, RCC upto 24 Slab, Brickwork upto 16 Floor, Internal Plaster upto 11 Floor, External Plaster upto 9 Floor</v>
      </c>
    </row>
    <row r="99" spans="1:10" x14ac:dyDescent="0.25">
      <c r="A99" s="16" t="s">
        <v>141</v>
      </c>
      <c r="B99" s="48">
        <f>IF(AND(ISNUMBER(SEARCH("1B",C98))),1,IF(AND(ISNUMBER(SEARCH("2B",C98))),2,IF(AND(ISNUMBER(SEARCH("3B",C98))),3,IF(AND(ISNUMBER(SEARCH("4B",C98))),4,IF(ISNUMBER(SEARCH("5B",C98)),5,0)))))</f>
        <v>0</v>
      </c>
      <c r="C99" s="48" t="s">
        <v>70</v>
      </c>
      <c r="D99" s="48">
        <v>1</v>
      </c>
      <c r="E99" s="48" t="s">
        <v>69</v>
      </c>
      <c r="F99" s="48">
        <v>2</v>
      </c>
      <c r="G99" s="49" t="s">
        <v>78</v>
      </c>
      <c r="H99" s="17">
        <f ca="1">--TRIM(RIGHT(SUBSTITUTE(LEFT(C98,_xlfn.AGGREGATE(16,6,FIND({0,1,2,3,4,5,6,7,8,9},C98,ROW(INDIRECT("1:"&amp;LEN(C98)))),1))," ",REPT(" ",LEN(C98))),LEN(C98)))</f>
        <v>25</v>
      </c>
      <c r="I99" s="52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</v>
      </c>
      <c r="J99" s="53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</row>
    <row r="100" spans="1:10" ht="31.5" customHeight="1" x14ac:dyDescent="0.25">
      <c r="A100" s="134" t="s">
        <v>88</v>
      </c>
      <c r="B100" s="135"/>
      <c r="C100" s="136" t="str">
        <f ca="1">(IF($G$56="NA",I98,"All work Completed. OC Received."))</f>
        <v>Excavation, Plinth Completed, RCC upto 24 Slab, Brickwork upto 16 Floor, Internal Plaster upto 11 Floor, External Plaster upto 9 Floor Completed</v>
      </c>
      <c r="D100" s="136"/>
      <c r="E100" s="136"/>
      <c r="F100" s="136"/>
      <c r="G100" s="136"/>
      <c r="H100" s="137"/>
      <c r="I100" s="52" t="str">
        <f ca="1">IF(I99&lt;&gt;""," Completed","")</f>
        <v xml:space="preserve"> Completed</v>
      </c>
      <c r="J100" s="53" t="str">
        <f ca="1">IF(J98&lt;&gt;"","Completed","")</f>
        <v>Completed</v>
      </c>
    </row>
    <row r="101" spans="1:10" ht="15.75" customHeight="1" x14ac:dyDescent="0.25">
      <c r="A101" s="131" t="s">
        <v>49</v>
      </c>
      <c r="B101" s="124"/>
      <c r="C101" s="44" t="s">
        <v>138</v>
      </c>
      <c r="D101" s="44" t="s">
        <v>81</v>
      </c>
      <c r="E101" s="124" t="s">
        <v>83</v>
      </c>
      <c r="F101" s="124"/>
      <c r="G101" s="124" t="s">
        <v>82</v>
      </c>
      <c r="H101" s="138"/>
      <c r="I101" s="14" t="s">
        <v>140</v>
      </c>
      <c r="J101" s="28">
        <f ca="1">H99*25%</f>
        <v>6.25</v>
      </c>
    </row>
    <row r="102" spans="1:10" x14ac:dyDescent="0.25">
      <c r="A102" s="124" t="s">
        <v>127</v>
      </c>
      <c r="B102" s="124"/>
      <c r="C102" s="44">
        <f ca="1">J103</f>
        <v>25</v>
      </c>
      <c r="D102" s="19">
        <f ca="1">((100/H99)*C102)/100</f>
        <v>1</v>
      </c>
      <c r="E102" s="166">
        <f ca="1">(((C103/H99*10)+(40/(D99+F99+H99)*C104)+(7.5/(H99)*C105)+(7.5/(H99)*C106)+(10/H99*C107)+(10/H99*C108)+(5/H99*C109)+(5/H99*C110)+(5/H99*C111))/100)</f>
        <v>0.55985714285714283</v>
      </c>
      <c r="F102" s="166"/>
      <c r="G102" s="166">
        <f ca="1">((((C102/H99)*20)+((C103/H99)*25)+(30/(H99+F99+D99)*C104)+(5/H99*C105)+(5/H99*C106)+(5/H99*C107)+(5/H99*C108)+(0/H99*C109)+(0/H99*C110)+(5/H99*C111))/100)</f>
        <v>0.77914285714285725</v>
      </c>
      <c r="H102" s="166"/>
      <c r="I102" s="14" t="s">
        <v>99</v>
      </c>
      <c r="J102" s="29">
        <f ca="1">H99*50%</f>
        <v>12.5</v>
      </c>
    </row>
    <row r="103" spans="1:10" x14ac:dyDescent="0.25">
      <c r="A103" s="124" t="s">
        <v>50</v>
      </c>
      <c r="B103" s="124"/>
      <c r="C103" s="54">
        <f ca="1">J111</f>
        <v>25</v>
      </c>
      <c r="D103" s="19">
        <f ca="1">((100/H99)*C103)/100</f>
        <v>1</v>
      </c>
      <c r="E103" s="166"/>
      <c r="F103" s="166"/>
      <c r="G103" s="166"/>
      <c r="H103" s="166"/>
      <c r="I103" s="14" t="s">
        <v>100</v>
      </c>
      <c r="J103" s="29">
        <f ca="1">H99</f>
        <v>25</v>
      </c>
    </row>
    <row r="104" spans="1:10" ht="15.75" customHeight="1" x14ac:dyDescent="0.25">
      <c r="A104" s="124" t="s">
        <v>128</v>
      </c>
      <c r="B104" s="124"/>
      <c r="C104" s="44">
        <v>24</v>
      </c>
      <c r="D104" s="19">
        <f ca="1">((100/(D99+F99+H99))*C104)/100</f>
        <v>0.85714285714285721</v>
      </c>
      <c r="E104" s="166"/>
      <c r="F104" s="166"/>
      <c r="G104" s="166"/>
      <c r="H104" s="166"/>
      <c r="I104" s="14" t="s">
        <v>101</v>
      </c>
      <c r="J104" s="30">
        <f ca="1">(IF(B99&gt;1,(H99/(B99+2)),H99/4))</f>
        <v>6.25</v>
      </c>
    </row>
    <row r="105" spans="1:10" ht="15.75" customHeight="1" x14ac:dyDescent="0.25">
      <c r="A105" s="124" t="s">
        <v>135</v>
      </c>
      <c r="B105" s="124" t="s">
        <v>129</v>
      </c>
      <c r="C105" s="44">
        <v>16</v>
      </c>
      <c r="D105" s="19">
        <f ca="1">((100/H99)*C105)/100</f>
        <v>0.64</v>
      </c>
      <c r="E105" s="166"/>
      <c r="F105" s="166"/>
      <c r="G105" s="166"/>
      <c r="H105" s="166"/>
      <c r="I105" s="14" t="s">
        <v>102</v>
      </c>
      <c r="J105" s="30">
        <f ca="1">(IF(B99&gt;1,(H99/(B99+2)+J104),H99/4+J104))</f>
        <v>12.5</v>
      </c>
    </row>
    <row r="106" spans="1:10" ht="15.75" customHeight="1" x14ac:dyDescent="0.25">
      <c r="A106" s="124" t="s">
        <v>136</v>
      </c>
      <c r="B106" s="124" t="s">
        <v>129</v>
      </c>
      <c r="C106" s="44">
        <v>11</v>
      </c>
      <c r="D106" s="19">
        <f ca="1">((100/H99)*C106)/100</f>
        <v>0.44</v>
      </c>
      <c r="E106" s="166"/>
      <c r="F106" s="166"/>
      <c r="G106" s="166"/>
      <c r="H106" s="166"/>
      <c r="I106" s="14" t="s">
        <v>145</v>
      </c>
      <c r="J106" s="30">
        <f>(IF(B99&gt;1,(H99/(B99+2)+J105),0))</f>
        <v>0</v>
      </c>
    </row>
    <row r="107" spans="1:10" ht="15" customHeight="1" x14ac:dyDescent="0.25">
      <c r="A107" s="124" t="s">
        <v>134</v>
      </c>
      <c r="B107" s="124" t="s">
        <v>131</v>
      </c>
      <c r="C107" s="44">
        <v>9</v>
      </c>
      <c r="D107" s="19">
        <f ca="1">((100/(H99))*C107)/100</f>
        <v>0.36</v>
      </c>
      <c r="E107" s="166"/>
      <c r="F107" s="166"/>
      <c r="G107" s="166"/>
      <c r="H107" s="166"/>
      <c r="I107" s="14" t="s">
        <v>142</v>
      </c>
      <c r="J107" s="30">
        <f>(IF(B99&gt;2,(H99/(B99+2)+J106),0))</f>
        <v>0</v>
      </c>
    </row>
    <row r="108" spans="1:10" ht="15.75" customHeight="1" x14ac:dyDescent="0.25">
      <c r="A108" s="124" t="s">
        <v>130</v>
      </c>
      <c r="B108" s="124" t="s">
        <v>130</v>
      </c>
      <c r="C108" s="44">
        <v>0</v>
      </c>
      <c r="D108" s="19">
        <f ca="1">((100/H99)*C108)/100</f>
        <v>0</v>
      </c>
      <c r="E108" s="166"/>
      <c r="F108" s="166"/>
      <c r="G108" s="166"/>
      <c r="H108" s="166"/>
      <c r="I108" s="14" t="s">
        <v>143</v>
      </c>
      <c r="J108" s="31">
        <f>(IF(B99&gt;3,(H99/(B99+2)+J107),0))</f>
        <v>0</v>
      </c>
    </row>
    <row r="109" spans="1:10" ht="15.75" customHeight="1" x14ac:dyDescent="0.25">
      <c r="A109" s="124" t="s">
        <v>137</v>
      </c>
      <c r="B109" s="124"/>
      <c r="C109" s="44">
        <v>0</v>
      </c>
      <c r="D109" s="19">
        <f ca="1">((100/H99)*C109)/100</f>
        <v>0</v>
      </c>
      <c r="E109" s="166"/>
      <c r="F109" s="166"/>
      <c r="G109" s="166"/>
      <c r="H109" s="166"/>
      <c r="I109" s="14" t="s">
        <v>144</v>
      </c>
      <c r="J109" s="30">
        <f>(IF(B99&gt;4,(H99/(B99+2)+J108),0))</f>
        <v>0</v>
      </c>
    </row>
    <row r="110" spans="1:10" ht="15.75" customHeight="1" x14ac:dyDescent="0.25">
      <c r="A110" s="124" t="s">
        <v>132</v>
      </c>
      <c r="B110" s="124" t="s">
        <v>132</v>
      </c>
      <c r="C110" s="44">
        <v>0</v>
      </c>
      <c r="D110" s="19">
        <f ca="1">((100/(H99))*C110)/100</f>
        <v>0</v>
      </c>
      <c r="E110" s="166"/>
      <c r="F110" s="166"/>
      <c r="G110" s="166"/>
      <c r="H110" s="166"/>
      <c r="I110" s="14" t="s">
        <v>146</v>
      </c>
      <c r="J110" s="30">
        <f ca="1">(IF(B99=1,(H99/(B99+3)+J105),IF(B99=0,(H99/4+J105),IF(B99&gt;1,0))))</f>
        <v>18.75</v>
      </c>
    </row>
    <row r="111" spans="1:10" ht="16.5" thickBot="1" x14ac:dyDescent="0.3">
      <c r="A111" s="124" t="s">
        <v>133</v>
      </c>
      <c r="B111" s="124"/>
      <c r="C111" s="44">
        <v>0</v>
      </c>
      <c r="D111" s="19">
        <f ca="1">((100/(H99))*C111)/100</f>
        <v>0</v>
      </c>
      <c r="E111" s="166"/>
      <c r="F111" s="166"/>
      <c r="G111" s="166"/>
      <c r="H111" s="166"/>
      <c r="I111" s="15" t="s">
        <v>103</v>
      </c>
      <c r="J111" s="32">
        <f ca="1">(IF(B99&gt;1.5,(H99/(B99+2)+J105+MAX(0,J106-J105)+MAX(0,J107-J106)+MAX(0,J108-J107)+MAX(0,J109-J108)+MAX(0,J110-J109)),IF(B99=1,(H99/(B99+3)+J110),IF(B99=0,H99/4+J110))))</f>
        <v>25</v>
      </c>
    </row>
    <row r="112" spans="1:10" x14ac:dyDescent="0.25">
      <c r="A112" s="141" t="s">
        <v>156</v>
      </c>
      <c r="B112" s="141"/>
      <c r="C112" s="141"/>
      <c r="D112" s="141"/>
      <c r="E112" s="141"/>
      <c r="F112" s="176" t="s">
        <v>161</v>
      </c>
      <c r="G112" s="176"/>
      <c r="H112" s="176"/>
    </row>
    <row r="113" spans="1:12" x14ac:dyDescent="0.25">
      <c r="A113" s="115" t="s">
        <v>159</v>
      </c>
      <c r="B113" s="115"/>
      <c r="C113" s="115"/>
      <c r="D113" s="115"/>
      <c r="E113" s="115"/>
      <c r="F113" s="116">
        <v>7800</v>
      </c>
      <c r="G113" s="116"/>
      <c r="H113" s="116"/>
      <c r="J113" s="21" t="s">
        <v>206</v>
      </c>
      <c r="K113" s="21" t="s">
        <v>207</v>
      </c>
      <c r="L113" s="25">
        <v>45237</v>
      </c>
    </row>
    <row r="114" spans="1:12" x14ac:dyDescent="0.25">
      <c r="A114" s="115" t="s">
        <v>158</v>
      </c>
      <c r="B114" s="115"/>
      <c r="C114" s="115"/>
      <c r="D114" s="115"/>
      <c r="E114" s="115"/>
      <c r="F114" s="116">
        <v>12000</v>
      </c>
      <c r="G114" s="116"/>
      <c r="H114" s="116"/>
      <c r="J114" s="21" t="s">
        <v>208</v>
      </c>
    </row>
    <row r="115" spans="1:12" hidden="1" x14ac:dyDescent="0.25">
      <c r="A115" s="115" t="s">
        <v>160</v>
      </c>
      <c r="B115" s="115"/>
      <c r="C115" s="115"/>
      <c r="D115" s="115"/>
      <c r="E115" s="115"/>
      <c r="F115" s="116"/>
      <c r="G115" s="116"/>
      <c r="H115" s="116"/>
    </row>
    <row r="116" spans="1:12" s="33" customFormat="1" hidden="1" x14ac:dyDescent="0.25">
      <c r="A116" s="115" t="s">
        <v>157</v>
      </c>
      <c r="B116" s="115"/>
      <c r="C116" s="115"/>
      <c r="D116" s="115"/>
      <c r="E116" s="115"/>
      <c r="F116" s="116"/>
      <c r="G116" s="116"/>
      <c r="H116" s="116"/>
    </row>
    <row r="117" spans="1:12" s="33" customFormat="1" x14ac:dyDescent="0.25">
      <c r="A117" s="115" t="s">
        <v>93</v>
      </c>
      <c r="B117" s="115"/>
      <c r="C117" s="115"/>
      <c r="D117" s="115"/>
      <c r="E117" s="115"/>
      <c r="F117" s="116">
        <v>200000</v>
      </c>
      <c r="G117" s="116"/>
      <c r="H117" s="116"/>
      <c r="J117" s="33" t="s">
        <v>266</v>
      </c>
    </row>
    <row r="118" spans="1:12" s="33" customFormat="1" hidden="1" x14ac:dyDescent="0.25">
      <c r="A118" s="115" t="s">
        <v>94</v>
      </c>
      <c r="B118" s="115"/>
      <c r="C118" s="115"/>
      <c r="D118" s="115"/>
      <c r="E118" s="115"/>
      <c r="F118" s="116"/>
      <c r="G118" s="116"/>
      <c r="H118" s="116"/>
    </row>
    <row r="119" spans="1:12" s="33" customFormat="1" hidden="1" x14ac:dyDescent="0.25">
      <c r="A119" s="115" t="s">
        <v>162</v>
      </c>
      <c r="B119" s="115"/>
      <c r="C119" s="115"/>
      <c r="D119" s="115"/>
      <c r="E119" s="115"/>
      <c r="F119" s="116"/>
      <c r="G119" s="116"/>
      <c r="H119" s="116"/>
    </row>
    <row r="120" spans="1:12" s="33" customFormat="1" hidden="1" x14ac:dyDescent="0.25">
      <c r="A120" s="115" t="s">
        <v>95</v>
      </c>
      <c r="B120" s="115"/>
      <c r="C120" s="115"/>
      <c r="D120" s="115"/>
      <c r="E120" s="115"/>
      <c r="F120" s="116"/>
      <c r="G120" s="116"/>
      <c r="H120" s="116"/>
    </row>
    <row r="121" spans="1:12" s="33" customFormat="1" hidden="1" x14ac:dyDescent="0.25">
      <c r="A121" s="115" t="s">
        <v>96</v>
      </c>
      <c r="B121" s="115"/>
      <c r="C121" s="115"/>
      <c r="D121" s="115"/>
      <c r="E121" s="115"/>
      <c r="F121" s="116"/>
      <c r="G121" s="116"/>
      <c r="H121" s="116"/>
    </row>
    <row r="122" spans="1:12" s="33" customFormat="1" hidden="1" x14ac:dyDescent="0.25">
      <c r="A122" s="115" t="s">
        <v>97</v>
      </c>
      <c r="B122" s="115"/>
      <c r="C122" s="115"/>
      <c r="D122" s="115"/>
      <c r="E122" s="115"/>
      <c r="F122" s="116"/>
      <c r="G122" s="116"/>
      <c r="H122" s="116"/>
    </row>
    <row r="123" spans="1:12" s="33" customFormat="1" x14ac:dyDescent="0.25">
      <c r="A123" s="115" t="s">
        <v>98</v>
      </c>
      <c r="B123" s="115"/>
      <c r="C123" s="115"/>
      <c r="D123" s="115"/>
      <c r="E123" s="115"/>
      <c r="F123" s="116">
        <v>100000</v>
      </c>
      <c r="G123" s="116"/>
      <c r="H123" s="116"/>
    </row>
    <row r="124" spans="1:12" x14ac:dyDescent="0.25">
      <c r="A124" s="115" t="s">
        <v>51</v>
      </c>
      <c r="B124" s="115"/>
      <c r="C124" s="115"/>
      <c r="D124" s="115"/>
      <c r="E124" s="115"/>
      <c r="F124" s="116">
        <v>400000</v>
      </c>
      <c r="G124" s="116"/>
      <c r="H124" s="116"/>
    </row>
    <row r="125" spans="1:12" s="34" customFormat="1" x14ac:dyDescent="0.25">
      <c r="A125" s="141" t="s">
        <v>52</v>
      </c>
      <c r="B125" s="141"/>
      <c r="C125" s="141"/>
      <c r="D125" s="141"/>
      <c r="E125" s="141"/>
      <c r="F125" s="116">
        <f>F113*0.8</f>
        <v>6240</v>
      </c>
      <c r="G125" s="116"/>
      <c r="H125" s="116"/>
    </row>
    <row r="126" spans="1:12" s="35" customFormat="1" ht="15.75" customHeight="1" x14ac:dyDescent="0.25">
      <c r="A126" s="181" t="s">
        <v>248</v>
      </c>
      <c r="B126" s="181"/>
      <c r="C126" s="181"/>
      <c r="D126" s="181"/>
      <c r="E126" s="181"/>
      <c r="F126" s="181"/>
      <c r="G126" s="181"/>
      <c r="H126" s="181"/>
    </row>
    <row r="127" spans="1:12" s="35" customFormat="1" ht="15.75" customHeight="1" x14ac:dyDescent="0.25">
      <c r="A127" s="184" t="s">
        <v>53</v>
      </c>
      <c r="B127" s="184"/>
      <c r="C127" s="158" t="s">
        <v>76</v>
      </c>
      <c r="D127" s="158"/>
      <c r="E127" s="183" t="s">
        <v>54</v>
      </c>
      <c r="F127" s="183"/>
      <c r="G127" s="184" t="s">
        <v>55</v>
      </c>
      <c r="H127" s="184"/>
    </row>
    <row r="128" spans="1:12" s="35" customFormat="1" x14ac:dyDescent="0.25">
      <c r="A128" s="87" t="s">
        <v>184</v>
      </c>
      <c r="B128" s="88"/>
      <c r="C128" s="142">
        <f>COUNT(D148:D163)</f>
        <v>16</v>
      </c>
      <c r="D128" s="185"/>
      <c r="E128" s="142">
        <f>SUM(D148:D163)</f>
        <v>3878.0108639999994</v>
      </c>
      <c r="F128" s="185"/>
      <c r="G128" s="142">
        <f>SUM(F148:F163)</f>
        <v>6010.9168391999992</v>
      </c>
      <c r="H128" s="185"/>
    </row>
    <row r="129" spans="1:8" s="35" customFormat="1" x14ac:dyDescent="0.25">
      <c r="A129" s="181" t="s">
        <v>149</v>
      </c>
      <c r="B129" s="181"/>
      <c r="C129" s="157">
        <f>SUM(C128)</f>
        <v>16</v>
      </c>
      <c r="D129" s="158"/>
      <c r="E129" s="157">
        <f t="shared" ref="E129" si="0">SUM(E128)</f>
        <v>3878.0108639999994</v>
      </c>
      <c r="F129" s="158"/>
      <c r="G129" s="157">
        <f t="shared" ref="G129" si="1">SUM(G128)</f>
        <v>6010.9168391999992</v>
      </c>
      <c r="H129" s="158"/>
    </row>
    <row r="130" spans="1:8" s="35" customFormat="1" x14ac:dyDescent="0.25">
      <c r="A130" s="181" t="s">
        <v>246</v>
      </c>
      <c r="B130" s="181"/>
      <c r="C130" s="181"/>
      <c r="D130" s="181"/>
      <c r="E130" s="181"/>
      <c r="F130" s="181"/>
      <c r="G130" s="181"/>
      <c r="H130" s="181"/>
    </row>
    <row r="131" spans="1:8" s="35" customFormat="1" ht="15.75" customHeight="1" x14ac:dyDescent="0.25">
      <c r="A131" s="184" t="s">
        <v>53</v>
      </c>
      <c r="B131" s="184"/>
      <c r="C131" s="158" t="s">
        <v>76</v>
      </c>
      <c r="D131" s="158"/>
      <c r="E131" s="183" t="s">
        <v>54</v>
      </c>
      <c r="F131" s="183"/>
      <c r="G131" s="184" t="s">
        <v>55</v>
      </c>
      <c r="H131" s="184"/>
    </row>
    <row r="132" spans="1:8" s="35" customFormat="1" x14ac:dyDescent="0.25">
      <c r="A132" s="102" t="s">
        <v>230</v>
      </c>
      <c r="B132" s="103"/>
      <c r="C132" s="142">
        <f>COUNT(D170:D175)+COUNT(D177:D182)+COUNT(D184:D185,D187:D189)+COUNT(D191:D196)*3+COUNT(D198:D199,D201:D203)*3+COUNT(D205:D210)*7+COUNT(D212:D217)*2+COUNT(D219:D220,D222:D224)+COUNT(D226:D231)+COUNT(D233:D238)*4+COUNT(D240:D241,D243:D245)</f>
        <v>144</v>
      </c>
      <c r="D132" s="142"/>
      <c r="E132" s="142">
        <f>SUM(D170:D175)+SUM(D177:D182)+SUM(D184:D185,D187:D189)+SUM(D191:D196)*3+SUM(D198:D199,D201:D203)*3+SUM(D205:D210)*7+SUM(D212:D217)*2+SUM(D219:D220,D222:D224)+SUM(D226:D231)+SUM(D233:D238)*4+SUM(D240:D241,D243:D245)</f>
        <v>70466.36453999998</v>
      </c>
      <c r="F132" s="142"/>
      <c r="G132" s="142">
        <f>SUM(F170:F175)+SUM(F177:F182)+SUM(F184:F185,F187:F189)+SUM(F191:F196)*3+SUM(F198:F199,F201:F203)*3+SUM(F205:F210)*7+SUM(F212:F217)*2+SUM(F219:F220,F222:F224)+SUM(F226:F231)+SUM(F233:F238)*4+SUM(F240:F241,F243:F245)</f>
        <v>105699.54681</v>
      </c>
      <c r="H132" s="142"/>
    </row>
    <row r="133" spans="1:8" s="35" customFormat="1" x14ac:dyDescent="0.25">
      <c r="A133" s="102" t="s">
        <v>231</v>
      </c>
      <c r="B133" s="103"/>
      <c r="C133" s="142">
        <f>COUNT(D249,D252:D255)+COUNT(D257:D258,D260:D263)+COUNT(D265:D266,D269:D271)+COUNT(D273:D274,D276:D279)*3+COUNT(D281:D283,D285:D287)*3+COUNT(D289:D295)*7+COUNT(D297:D303)*2+COUNT(D305:D307,D309:D311)+COUNT(D313:D319)+COUNT(D321:D322,D324:D327)*4+COUNT(D329:D330,D333:D335)</f>
        <v>157</v>
      </c>
      <c r="D133" s="142"/>
      <c r="E133" s="142">
        <f>SUM(D249,D252:D255)+SUM(D257:D258,D260:D263)+SUM(D265:D266,D269:D271)+SUM(D273:D274,D276:D279)*3+SUM(D281:D283,D285:D287)*3+SUM(D289:D295)*7+SUM(D297:D303)*2+SUM(D305:D307,D309:D311)+SUM(D313:D319)+SUM(D321:D322,D324:D327)*4+SUM(D329:D330,D333:D335)</f>
        <v>86362.101540000018</v>
      </c>
      <c r="F133" s="142"/>
      <c r="G133" s="142">
        <f>SUM(F249,F252:F255)+SUM(F257:F258,F260:F263)+SUM(F265:F266,F269:F271)+SUM(F273:F274,F276:F279)*3+SUM(F281:F283,F285:F287)*3+SUM(F289:F295)*7+SUM(F297:F303)*2+SUM(F305:F307,F309:F311)+SUM(F313:F319)+SUM(F321:F322,F324:F327)*4+SUM(F329:F330,F333:F335)</f>
        <v>129543.15230999999</v>
      </c>
      <c r="H133" s="142"/>
    </row>
    <row r="134" spans="1:8" s="35" customFormat="1" ht="17.25" customHeight="1" x14ac:dyDescent="0.25">
      <c r="A134" s="102" t="s">
        <v>232</v>
      </c>
      <c r="B134" s="103"/>
      <c r="C134" s="142">
        <f>COUNT(D342:D346)+COUNT(D349:D354)+COUNT(D356:D361)+COUNT(D364:D370)*3+COUNT(D372:D377)*3+COUNT(D380:D386)*7+COUNT(D388:D390,D392:D394)*2+COUNT(D397:D398,D400:D401)+COUNT(D405:D406,D408:D410)+COUNT(D413:D414,D416:D418)*4+COUNT(D421:D422,D424:D425)</f>
        <v>150</v>
      </c>
      <c r="D134" s="142"/>
      <c r="E134" s="142">
        <f>SUM(D342:D346)+SUM(D349:D354)+SUM(D356:D361)+SUM(D364:D370)*3+SUM(D372:D377)*3+SUM(D380:D386)*7+SUM(D388:D390,D392:D394)*2+SUM(D397:D398,D400:D401)+SUM(D405:D406,D408:D410)+SUM(D413:D414,D416:D418)*4+SUM(D421:D422,D424:D425)</f>
        <v>74732.030100000004</v>
      </c>
      <c r="F134" s="142"/>
      <c r="G134" s="142">
        <f>SUM(F342:F346)+SUM(F349:F354)+SUM(F356:F361)+SUM(F364:F370)*3+SUM(F372:F377)*3+SUM(F380:F386)*7+SUM(F388:F390,F392:F394)*2+SUM(F397:F398,F400:F401)+SUM(F405:F406,F408:F410)+SUM(F413:F414,F416:F418)*4+SUM(F421:F422,F424:F425)</f>
        <v>112098.04514999999</v>
      </c>
      <c r="H134" s="142"/>
    </row>
    <row r="135" spans="1:8" s="35" customFormat="1" x14ac:dyDescent="0.25">
      <c r="A135" s="178" t="s">
        <v>149</v>
      </c>
      <c r="B135" s="178"/>
      <c r="C135" s="155">
        <f t="shared" ref="C135:G135" si="2">SUM(C132:D134)</f>
        <v>451</v>
      </c>
      <c r="D135" s="156"/>
      <c r="E135" s="155">
        <f t="shared" si="2"/>
        <v>231560.49617999999</v>
      </c>
      <c r="F135" s="156"/>
      <c r="G135" s="155">
        <f t="shared" si="2"/>
        <v>347340.74427000002</v>
      </c>
      <c r="H135" s="156"/>
    </row>
    <row r="136" spans="1:8" s="35" customFormat="1" x14ac:dyDescent="0.25">
      <c r="A136" s="104" t="s">
        <v>247</v>
      </c>
      <c r="B136" s="104"/>
      <c r="C136" s="104"/>
      <c r="D136" s="104"/>
      <c r="E136" s="104"/>
      <c r="F136" s="104"/>
      <c r="G136" s="104"/>
      <c r="H136" s="104"/>
    </row>
    <row r="137" spans="1:8" s="35" customFormat="1" ht="15.75" customHeight="1" x14ac:dyDescent="0.25">
      <c r="A137" s="67" t="s">
        <v>53</v>
      </c>
      <c r="B137" s="67"/>
      <c r="C137" s="68" t="s">
        <v>76</v>
      </c>
      <c r="D137" s="68"/>
      <c r="E137" s="186" t="s">
        <v>54</v>
      </c>
      <c r="F137" s="186"/>
      <c r="G137" s="67" t="s">
        <v>55</v>
      </c>
      <c r="H137" s="67"/>
    </row>
    <row r="138" spans="1:8" s="35" customFormat="1" x14ac:dyDescent="0.25">
      <c r="A138" s="69" t="s">
        <v>231</v>
      </c>
      <c r="B138" s="70"/>
      <c r="C138" s="107">
        <f>COUNT(D258)+COUNT(D267)+COUNT(D275)*3+COUNT(D323)*4+COUNT(D331)</f>
        <v>10</v>
      </c>
      <c r="D138" s="107"/>
      <c r="E138" s="107">
        <f>SUM(D258)+SUM(D267)+SUM(D275)*3+SUM(D323)*4+SUM(D331)</f>
        <v>4684.5197100000005</v>
      </c>
      <c r="F138" s="107"/>
      <c r="G138" s="107">
        <f>SUM(F258)+SUM(F267)+SUM(F275)*3+SUM(F323)*4+SUM(F331)</f>
        <v>7026.7795649999998</v>
      </c>
      <c r="H138" s="107"/>
    </row>
    <row r="139" spans="1:8" s="35" customFormat="1" ht="17.25" customHeight="1" x14ac:dyDescent="0.25">
      <c r="A139" s="69" t="s">
        <v>232</v>
      </c>
      <c r="B139" s="70"/>
      <c r="C139" s="107">
        <f>COUNT(D348)+COUNT(D391)*2+COUNT(D396,D399)+COUNT(D404,D407)+COUNT(D412,D415)*4+COUNT(D420,D423)</f>
        <v>17</v>
      </c>
      <c r="D139" s="107"/>
      <c r="E139" s="107">
        <f>SUM(D348)+SUM(D391)*2+SUM(D396,D399)+SUM(D404,D407)+SUM(D412,D415)*4+SUM(D420,D423)</f>
        <v>8066.6761500000002</v>
      </c>
      <c r="F139" s="107"/>
      <c r="G139" s="107">
        <f>SUM(F348)+SUM(F391)*2+SUM(F396,F399)+SUM(F404,F407)+SUM(F412,F415)*4+SUM(F420,F423)</f>
        <v>12100.014224999999</v>
      </c>
      <c r="H139" s="107"/>
    </row>
    <row r="140" spans="1:8" s="35" customFormat="1" ht="16.5" thickBot="1" x14ac:dyDescent="0.3">
      <c r="A140" s="108" t="s">
        <v>149</v>
      </c>
      <c r="B140" s="108"/>
      <c r="C140" s="109">
        <f>SUM(C138:D139)</f>
        <v>27</v>
      </c>
      <c r="D140" s="110"/>
      <c r="E140" s="109">
        <f>SUM(E138:E139)</f>
        <v>12751.19586</v>
      </c>
      <c r="F140" s="110"/>
      <c r="G140" s="109">
        <f>SUM(G138:G139)</f>
        <v>19126.79379</v>
      </c>
      <c r="H140" s="110"/>
    </row>
    <row r="141" spans="1:8" s="35" customFormat="1" ht="16.5" thickBot="1" x14ac:dyDescent="0.3">
      <c r="A141" s="111" t="s">
        <v>168</v>
      </c>
      <c r="B141" s="112"/>
      <c r="C141" s="113">
        <f>SUM(C129+C135+C140)</f>
        <v>494</v>
      </c>
      <c r="D141" s="114"/>
      <c r="E141" s="113">
        <f t="shared" ref="E141" si="3">SUM(E129+E135+E140)</f>
        <v>248189.70290400001</v>
      </c>
      <c r="F141" s="114"/>
      <c r="G141" s="113">
        <f t="shared" ref="G141" si="4">SUM(G129+G135+G140)</f>
        <v>372478.45489920006</v>
      </c>
      <c r="H141" s="114"/>
    </row>
    <row r="142" spans="1:8" s="34" customFormat="1" x14ac:dyDescent="0.25">
      <c r="A142" s="86" t="s">
        <v>253</v>
      </c>
      <c r="B142" s="86"/>
      <c r="C142" s="86"/>
      <c r="D142" s="86"/>
      <c r="E142" s="86"/>
      <c r="F142" s="86"/>
      <c r="G142" s="86"/>
      <c r="H142" s="86"/>
    </row>
    <row r="143" spans="1:8" x14ac:dyDescent="0.25">
      <c r="A143" s="176" t="s">
        <v>239</v>
      </c>
      <c r="B143" s="176"/>
      <c r="C143" s="176"/>
      <c r="D143" s="176"/>
      <c r="E143" s="176"/>
      <c r="F143" s="176"/>
      <c r="G143" s="176"/>
      <c r="H143" s="176"/>
    </row>
    <row r="144" spans="1:8" ht="47.25" customHeight="1" x14ac:dyDescent="0.25">
      <c r="A144" s="132" t="s">
        <v>119</v>
      </c>
      <c r="B144" s="132" t="s">
        <v>118</v>
      </c>
      <c r="C144" s="132" t="s">
        <v>56</v>
      </c>
      <c r="D144" s="132" t="s">
        <v>57</v>
      </c>
      <c r="E144" s="146" t="s">
        <v>155</v>
      </c>
      <c r="F144" s="43" t="s">
        <v>148</v>
      </c>
      <c r="G144" s="148" t="s">
        <v>59</v>
      </c>
      <c r="H144" s="149"/>
    </row>
    <row r="145" spans="1:14" s="37" customFormat="1" x14ac:dyDescent="0.25">
      <c r="A145" s="133"/>
      <c r="B145" s="133"/>
      <c r="C145" s="133"/>
      <c r="D145" s="133"/>
      <c r="E145" s="147"/>
      <c r="F145" s="13">
        <v>0.55000000000000004</v>
      </c>
      <c r="G145" s="150"/>
      <c r="H145" s="151"/>
    </row>
    <row r="146" spans="1:14" s="37" customFormat="1" x14ac:dyDescent="0.25">
      <c r="A146" s="95" t="s">
        <v>184</v>
      </c>
      <c r="B146" s="96"/>
      <c r="C146" s="96"/>
      <c r="D146" s="96"/>
      <c r="E146" s="96"/>
      <c r="F146" s="96"/>
      <c r="G146" s="96"/>
      <c r="H146" s="97"/>
      <c r="J146" s="36"/>
    </row>
    <row r="147" spans="1:14" s="37" customFormat="1" x14ac:dyDescent="0.25">
      <c r="A147" s="95" t="s">
        <v>212</v>
      </c>
      <c r="B147" s="96"/>
      <c r="C147" s="96"/>
      <c r="D147" s="96"/>
      <c r="E147" s="96"/>
      <c r="F147" s="96"/>
      <c r="G147" s="96"/>
      <c r="H147" s="97"/>
      <c r="J147" s="36"/>
    </row>
    <row r="148" spans="1:14" s="37" customFormat="1" ht="15.75" customHeight="1" x14ac:dyDescent="0.25">
      <c r="A148" s="42">
        <v>1</v>
      </c>
      <c r="B148" s="42" t="s">
        <v>198</v>
      </c>
      <c r="C148" s="42" t="s">
        <v>185</v>
      </c>
      <c r="D148" s="55">
        <f>(3.05*4.38)*(10.764)</f>
        <v>143.79627599999998</v>
      </c>
      <c r="E148" s="42">
        <v>0</v>
      </c>
      <c r="F148" s="42">
        <f>(D148+E148)*(($F$145)+1)</f>
        <v>222.88422779999996</v>
      </c>
      <c r="G148" s="80" t="str">
        <f>A147</f>
        <v>Ground Floor For Commercial, Electrical Meter Room cum Panel Room, Fire Control Room  &amp; Parking</v>
      </c>
      <c r="H148" s="81"/>
      <c r="I148" s="36"/>
      <c r="L148" s="105"/>
      <c r="M148" s="105"/>
      <c r="N148" s="36"/>
    </row>
    <row r="149" spans="1:14" s="37" customFormat="1" ht="15.75" customHeight="1" x14ac:dyDescent="0.25">
      <c r="A149" s="42">
        <f t="shared" ref="A149:A163" si="5">A148+1</f>
        <v>2</v>
      </c>
      <c r="B149" s="42" t="s">
        <v>198</v>
      </c>
      <c r="C149" s="42" t="s">
        <v>185</v>
      </c>
      <c r="D149" s="55">
        <f>(3.45*4.38)*(10.764)</f>
        <v>162.65480399999998</v>
      </c>
      <c r="E149" s="42">
        <v>0</v>
      </c>
      <c r="F149" s="42">
        <f t="shared" ref="F149:F151" si="6">(D149+E149)*(($F$145)+1)</f>
        <v>252.11494619999999</v>
      </c>
      <c r="G149" s="82"/>
      <c r="H149" s="83"/>
      <c r="I149" s="55">
        <f>10.764</f>
        <v>10.763999999999999</v>
      </c>
      <c r="L149" s="105"/>
      <c r="M149" s="105"/>
      <c r="N149" s="36"/>
    </row>
    <row r="150" spans="1:14" s="37" customFormat="1" ht="15.75" customHeight="1" x14ac:dyDescent="0.25">
      <c r="A150" s="42">
        <f t="shared" si="5"/>
        <v>3</v>
      </c>
      <c r="B150" s="42" t="s">
        <v>198</v>
      </c>
      <c r="C150" s="42" t="s">
        <v>185</v>
      </c>
      <c r="D150" s="55">
        <f>(5.14*5.58)*(10.764)</f>
        <v>308.72443679999992</v>
      </c>
      <c r="E150" s="42">
        <v>0</v>
      </c>
      <c r="F150" s="42">
        <f t="shared" si="6"/>
        <v>478.52287703999991</v>
      </c>
      <c r="G150" s="82"/>
      <c r="H150" s="83"/>
      <c r="I150" s="36"/>
      <c r="L150" s="105"/>
      <c r="M150" s="105"/>
      <c r="N150" s="36"/>
    </row>
    <row r="151" spans="1:14" s="37" customFormat="1" ht="15.75" customHeight="1" x14ac:dyDescent="0.25">
      <c r="A151" s="42">
        <f t="shared" si="5"/>
        <v>4</v>
      </c>
      <c r="B151" s="42" t="s">
        <v>198</v>
      </c>
      <c r="C151" s="42" t="s">
        <v>185</v>
      </c>
      <c r="D151" s="55">
        <f>(4.4*5.58+1.4*2.4)*(10.764)</f>
        <v>300.44476800000001</v>
      </c>
      <c r="E151" s="42">
        <v>0</v>
      </c>
      <c r="F151" s="42">
        <f t="shared" si="6"/>
        <v>465.68939040000004</v>
      </c>
      <c r="G151" s="82"/>
      <c r="H151" s="83"/>
      <c r="I151" s="36"/>
      <c r="L151" s="105"/>
      <c r="M151" s="105"/>
      <c r="N151" s="36"/>
    </row>
    <row r="152" spans="1:14" s="37" customFormat="1" x14ac:dyDescent="0.25">
      <c r="A152" s="42">
        <f t="shared" si="5"/>
        <v>5</v>
      </c>
      <c r="B152" s="42" t="s">
        <v>198</v>
      </c>
      <c r="C152" s="42" t="s">
        <v>185</v>
      </c>
      <c r="D152" s="55">
        <f>(4.4*3.49+1.45*2.4+1.24*1.94)*(10.764)</f>
        <v>228.64458240000002</v>
      </c>
      <c r="E152" s="42">
        <v>0</v>
      </c>
      <c r="F152" s="42">
        <f>(D152+E152)*(($F$145)+1)</f>
        <v>354.39910272000003</v>
      </c>
      <c r="G152" s="82"/>
      <c r="H152" s="83"/>
      <c r="I152" s="36"/>
      <c r="L152" s="105"/>
      <c r="M152" s="105"/>
      <c r="N152" s="36"/>
    </row>
    <row r="153" spans="1:14" s="37" customFormat="1" x14ac:dyDescent="0.25">
      <c r="A153" s="42">
        <f t="shared" si="5"/>
        <v>6</v>
      </c>
      <c r="B153" s="42" t="s">
        <v>198</v>
      </c>
      <c r="C153" s="42" t="s">
        <v>185</v>
      </c>
      <c r="D153" s="55">
        <f>(4.775*5.58)*(10.764)</f>
        <v>286.80139800000001</v>
      </c>
      <c r="E153" s="42">
        <v>0</v>
      </c>
      <c r="F153" s="42">
        <f t="shared" ref="F153:F156" si="7">(D153+E153)*(($F$145)+1)</f>
        <v>444.54216690000004</v>
      </c>
      <c r="G153" s="82"/>
      <c r="H153" s="83"/>
      <c r="I153" s="36"/>
      <c r="L153" s="105"/>
      <c r="M153" s="105"/>
      <c r="N153" s="36"/>
    </row>
    <row r="154" spans="1:14" s="37" customFormat="1" x14ac:dyDescent="0.25">
      <c r="A154" s="42">
        <f t="shared" si="5"/>
        <v>7</v>
      </c>
      <c r="B154" s="42" t="s">
        <v>198</v>
      </c>
      <c r="C154" s="42" t="s">
        <v>185</v>
      </c>
      <c r="D154" s="55">
        <f>(4.1*5+4*1.5+2.35*1.25)*(10.764)</f>
        <v>316.86525</v>
      </c>
      <c r="E154" s="42">
        <v>0</v>
      </c>
      <c r="F154" s="42">
        <f t="shared" si="7"/>
        <v>491.14113750000001</v>
      </c>
      <c r="G154" s="82"/>
      <c r="H154" s="83"/>
      <c r="I154" s="36"/>
      <c r="L154" s="105"/>
      <c r="M154" s="105"/>
      <c r="N154" s="36"/>
    </row>
    <row r="155" spans="1:14" s="37" customFormat="1" ht="16.5" customHeight="1" x14ac:dyDescent="0.25">
      <c r="A155" s="42">
        <f t="shared" si="5"/>
        <v>8</v>
      </c>
      <c r="B155" s="42" t="s">
        <v>198</v>
      </c>
      <c r="C155" s="42" t="s">
        <v>185</v>
      </c>
      <c r="D155" s="55">
        <f>(2.75*4.18+1.2*2.1)*(10.764)</f>
        <v>150.85745999999997</v>
      </c>
      <c r="E155" s="42">
        <v>0</v>
      </c>
      <c r="F155" s="42">
        <f t="shared" si="7"/>
        <v>233.82906299999996</v>
      </c>
      <c r="G155" s="82"/>
      <c r="H155" s="83"/>
      <c r="I155" s="36"/>
      <c r="J155" s="55">
        <f>10.764</f>
        <v>10.763999999999999</v>
      </c>
      <c r="L155" s="105"/>
      <c r="M155" s="105"/>
      <c r="N155" s="36"/>
    </row>
    <row r="156" spans="1:14" s="37" customFormat="1" ht="16.5" customHeight="1" x14ac:dyDescent="0.25">
      <c r="A156" s="42">
        <f t="shared" si="5"/>
        <v>9</v>
      </c>
      <c r="B156" s="42" t="s">
        <v>198</v>
      </c>
      <c r="C156" s="42" t="s">
        <v>185</v>
      </c>
      <c r="D156" s="55">
        <f>(2.98*4.18)*(10.764)</f>
        <v>134.08068959999997</v>
      </c>
      <c r="E156" s="42">
        <v>0</v>
      </c>
      <c r="F156" s="42">
        <f t="shared" si="7"/>
        <v>207.82506887999998</v>
      </c>
      <c r="G156" s="82"/>
      <c r="H156" s="83"/>
      <c r="I156" s="36"/>
      <c r="L156" s="105"/>
      <c r="M156" s="105"/>
      <c r="N156" s="36"/>
    </row>
    <row r="157" spans="1:14" s="37" customFormat="1" ht="16.5" customHeight="1" x14ac:dyDescent="0.25">
      <c r="A157" s="42">
        <f t="shared" si="5"/>
        <v>10</v>
      </c>
      <c r="B157" s="42" t="s">
        <v>198</v>
      </c>
      <c r="C157" s="42" t="s">
        <v>185</v>
      </c>
      <c r="D157" s="55">
        <f>(5.16*4.1+2.2*1.4+2.1*1.25)*(10.764)</f>
        <v>289.13180399999993</v>
      </c>
      <c r="E157" s="42">
        <v>0</v>
      </c>
      <c r="F157" s="42">
        <f>(D157+E157)*(($F$145)+1)</f>
        <v>448.15429619999992</v>
      </c>
      <c r="G157" s="82"/>
      <c r="H157" s="83"/>
      <c r="I157" s="36"/>
      <c r="L157" s="105"/>
      <c r="M157" s="105"/>
      <c r="N157" s="36"/>
    </row>
    <row r="158" spans="1:14" s="37" customFormat="1" ht="16.5" customHeight="1" x14ac:dyDescent="0.25">
      <c r="A158" s="42">
        <f t="shared" si="5"/>
        <v>11</v>
      </c>
      <c r="B158" s="42" t="s">
        <v>198</v>
      </c>
      <c r="C158" s="42" t="s">
        <v>185</v>
      </c>
      <c r="D158" s="55">
        <f>(4.73*5.58)*(10.764)</f>
        <v>284.09855759999999</v>
      </c>
      <c r="E158" s="42">
        <v>0</v>
      </c>
      <c r="F158" s="42">
        <f t="shared" ref="F158:F162" si="8">(D158+E158)*(($F$145)+1)</f>
        <v>440.35276427999997</v>
      </c>
      <c r="G158" s="82"/>
      <c r="H158" s="83"/>
      <c r="I158" s="36"/>
      <c r="L158" s="105"/>
      <c r="M158" s="105"/>
      <c r="N158" s="36"/>
    </row>
    <row r="159" spans="1:14" s="37" customFormat="1" ht="16.5" customHeight="1" x14ac:dyDescent="0.25">
      <c r="A159" s="42">
        <f t="shared" si="5"/>
        <v>12</v>
      </c>
      <c r="B159" s="42" t="s">
        <v>198</v>
      </c>
      <c r="C159" s="42" t="s">
        <v>185</v>
      </c>
      <c r="D159" s="55">
        <f>(4.5*5.58+1.45*2.4)*(10.764)</f>
        <v>307.74275999999998</v>
      </c>
      <c r="E159" s="42">
        <v>0</v>
      </c>
      <c r="F159" s="42">
        <f t="shared" si="8"/>
        <v>477.00127799999996</v>
      </c>
      <c r="G159" s="82"/>
      <c r="H159" s="83"/>
      <c r="I159" s="36"/>
      <c r="L159" s="105"/>
      <c r="M159" s="105"/>
      <c r="N159" s="36"/>
    </row>
    <row r="160" spans="1:14" s="37" customFormat="1" x14ac:dyDescent="0.25">
      <c r="A160" s="42">
        <f t="shared" si="5"/>
        <v>13</v>
      </c>
      <c r="B160" s="42" t="s">
        <v>198</v>
      </c>
      <c r="C160" s="42" t="s">
        <v>185</v>
      </c>
      <c r="D160" s="55">
        <f>(4.5*5.58+1.45*2.4)*(10.764)</f>
        <v>307.74275999999998</v>
      </c>
      <c r="E160" s="42">
        <v>0</v>
      </c>
      <c r="F160" s="42">
        <f t="shared" si="8"/>
        <v>477.00127799999996</v>
      </c>
      <c r="G160" s="82"/>
      <c r="H160" s="83"/>
      <c r="I160" s="36"/>
      <c r="L160" s="105"/>
      <c r="M160" s="105"/>
      <c r="N160" s="36"/>
    </row>
    <row r="161" spans="1:15" s="37" customFormat="1" ht="16.5" customHeight="1" x14ac:dyDescent="0.25">
      <c r="A161" s="42">
        <f t="shared" si="5"/>
        <v>14</v>
      </c>
      <c r="B161" s="42" t="s">
        <v>198</v>
      </c>
      <c r="C161" s="42" t="s">
        <v>185</v>
      </c>
      <c r="D161" s="55">
        <f>(4.73*5.58)*(10.764)</f>
        <v>284.09855759999999</v>
      </c>
      <c r="E161" s="42">
        <v>0</v>
      </c>
      <c r="F161" s="42">
        <f t="shared" si="8"/>
        <v>440.35276427999997</v>
      </c>
      <c r="G161" s="82"/>
      <c r="H161" s="83"/>
      <c r="I161" s="36"/>
      <c r="L161" s="105"/>
      <c r="M161" s="105"/>
      <c r="N161" s="36"/>
    </row>
    <row r="162" spans="1:15" s="37" customFormat="1" ht="16.5" customHeight="1" x14ac:dyDescent="0.25">
      <c r="A162" s="42">
        <f t="shared" si="5"/>
        <v>15</v>
      </c>
      <c r="B162" s="42" t="s">
        <v>198</v>
      </c>
      <c r="C162" s="42" t="s">
        <v>185</v>
      </c>
      <c r="D162" s="55">
        <f>(5.16*4+2*1.4+2.1*1.25)*(10.764)</f>
        <v>280.56365999999997</v>
      </c>
      <c r="E162" s="42">
        <v>0</v>
      </c>
      <c r="F162" s="42">
        <f t="shared" si="8"/>
        <v>434.87367299999994</v>
      </c>
      <c r="G162" s="82"/>
      <c r="H162" s="83"/>
      <c r="I162" s="36"/>
      <c r="K162" s="37">
        <f>8000/1.45</f>
        <v>5517.2413793103451</v>
      </c>
      <c r="L162" s="105"/>
      <c r="M162" s="105"/>
      <c r="N162" s="36"/>
    </row>
    <row r="163" spans="1:15" s="37" customFormat="1" ht="16.5" customHeight="1" x14ac:dyDescent="0.25">
      <c r="A163" s="42">
        <f t="shared" si="5"/>
        <v>16</v>
      </c>
      <c r="B163" s="42" t="s">
        <v>198</v>
      </c>
      <c r="C163" s="42" t="s">
        <v>185</v>
      </c>
      <c r="D163" s="55">
        <f>(2.75*3.1)*(10.764)</f>
        <v>91.763099999999994</v>
      </c>
      <c r="E163" s="42">
        <v>0</v>
      </c>
      <c r="F163" s="42">
        <f>(D163+E163)*(($F$145)+1)</f>
        <v>142.23280499999998</v>
      </c>
      <c r="G163" s="82"/>
      <c r="H163" s="83"/>
      <c r="I163" s="36"/>
      <c r="L163" s="105"/>
      <c r="M163" s="105"/>
      <c r="N163" s="36"/>
    </row>
    <row r="164" spans="1:15" s="37" customFormat="1" x14ac:dyDescent="0.25">
      <c r="A164" s="98"/>
      <c r="B164" s="99"/>
      <c r="C164" s="99"/>
      <c r="D164" s="99"/>
      <c r="E164" s="99"/>
      <c r="F164" s="99"/>
      <c r="G164" s="99"/>
      <c r="H164" s="100"/>
      <c r="I164" s="36"/>
      <c r="N164" s="36"/>
    </row>
    <row r="165" spans="1:15" ht="47.25" customHeight="1" x14ac:dyDescent="0.25">
      <c r="A165" s="199" t="s">
        <v>254</v>
      </c>
      <c r="B165" s="199" t="s">
        <v>120</v>
      </c>
      <c r="C165" s="199" t="s">
        <v>56</v>
      </c>
      <c r="D165" s="199" t="s">
        <v>57</v>
      </c>
      <c r="E165" s="200" t="s">
        <v>58</v>
      </c>
      <c r="F165" s="64" t="s">
        <v>148</v>
      </c>
      <c r="G165" s="201" t="s">
        <v>59</v>
      </c>
      <c r="H165" s="202"/>
      <c r="I165" s="36"/>
    </row>
    <row r="166" spans="1:15" ht="17.25" customHeight="1" x14ac:dyDescent="0.25">
      <c r="A166" s="199"/>
      <c r="B166" s="199"/>
      <c r="C166" s="199"/>
      <c r="D166" s="199"/>
      <c r="E166" s="200"/>
      <c r="F166" s="65">
        <v>0.5</v>
      </c>
      <c r="G166" s="203"/>
      <c r="H166" s="204"/>
      <c r="I166" s="36"/>
    </row>
    <row r="167" spans="1:15" s="37" customFormat="1" x14ac:dyDescent="0.25">
      <c r="A167" s="95" t="s">
        <v>188</v>
      </c>
      <c r="B167" s="96"/>
      <c r="C167" s="96"/>
      <c r="D167" s="96"/>
      <c r="E167" s="96"/>
      <c r="F167" s="96"/>
      <c r="G167" s="96"/>
      <c r="H167" s="97"/>
      <c r="J167" s="36"/>
    </row>
    <row r="168" spans="1:15" s="37" customFormat="1" x14ac:dyDescent="0.25">
      <c r="A168" s="95" t="s">
        <v>187</v>
      </c>
      <c r="B168" s="96"/>
      <c r="C168" s="96"/>
      <c r="D168" s="96"/>
      <c r="E168" s="96"/>
      <c r="F168" s="96"/>
      <c r="G168" s="96"/>
      <c r="H168" s="97"/>
      <c r="J168" s="36"/>
    </row>
    <row r="169" spans="1:15" s="37" customFormat="1" x14ac:dyDescent="0.25">
      <c r="A169" s="89" t="s">
        <v>213</v>
      </c>
      <c r="B169" s="90"/>
      <c r="C169" s="90"/>
      <c r="D169" s="90"/>
      <c r="E169" s="90"/>
      <c r="F169" s="90"/>
      <c r="G169" s="90"/>
      <c r="H169" s="91"/>
      <c r="J169" s="36"/>
    </row>
    <row r="170" spans="1:15" s="37" customFormat="1" ht="15.75" customHeight="1" x14ac:dyDescent="0.25">
      <c r="A170" s="42">
        <v>1</v>
      </c>
      <c r="B170" s="42" t="s">
        <v>198</v>
      </c>
      <c r="C170" s="42" t="s">
        <v>189</v>
      </c>
      <c r="D170" s="55">
        <f>(34.25+2.1*0.9+0.75*(2.245+2.88))*(10.764)</f>
        <v>430.385085</v>
      </c>
      <c r="E170" s="42">
        <v>0</v>
      </c>
      <c r="F170" s="42">
        <f>D170*(($F$166)+1)+(IF(E170&lt;101,E170,IF(E170&lt;201,E170/2,IF(E170&lt;=301,E170/3,E170/4))))</f>
        <v>645.57762750000006</v>
      </c>
      <c r="G170" s="80" t="str">
        <f>A169</f>
        <v>1st Floor For Residential</v>
      </c>
      <c r="H170" s="81"/>
      <c r="I170" s="58">
        <f>2.245*4.25+2.33*2.18+2.18*2.4+3.05*2.88+2*1.2+1.2*2.2</f>
        <v>33.676649999999995</v>
      </c>
      <c r="J170" s="37">
        <v>718</v>
      </c>
      <c r="K170" s="58">
        <f>718/491</f>
        <v>1.4623217922606924</v>
      </c>
      <c r="L170" s="105"/>
      <c r="M170" s="105"/>
      <c r="N170" s="58">
        <f t="shared" ref="N170:N175" si="9">F170/D170</f>
        <v>1.5000000000000002</v>
      </c>
    </row>
    <row r="171" spans="1:15" s="37" customFormat="1" ht="15.75" customHeight="1" x14ac:dyDescent="0.25">
      <c r="A171" s="42">
        <f t="shared" ref="A171:A175" si="10">A170+1</f>
        <v>2</v>
      </c>
      <c r="B171" s="42" t="s">
        <v>198</v>
      </c>
      <c r="C171" s="42" t="s">
        <v>189</v>
      </c>
      <c r="D171" s="55">
        <f>(35.37+2.1*0.9+0.75*(2.245+3.05))*(10.764)</f>
        <v>443.81317499999994</v>
      </c>
      <c r="E171" s="42">
        <v>0</v>
      </c>
      <c r="F171" s="42">
        <f>D171*(($F$166)+1)+(IF(E171&lt;101,E171,IF(E171&lt;201,E171/2,IF(E171&lt;=301,E171/3,E171/4))))</f>
        <v>665.71976249999989</v>
      </c>
      <c r="G171" s="82"/>
      <c r="H171" s="83"/>
      <c r="I171" s="36"/>
      <c r="J171" s="37">
        <v>718</v>
      </c>
      <c r="K171" s="58">
        <f>718/491</f>
        <v>1.4623217922606924</v>
      </c>
      <c r="L171" s="105"/>
      <c r="M171" s="105"/>
      <c r="N171" s="58">
        <f t="shared" si="9"/>
        <v>1.5</v>
      </c>
    </row>
    <row r="172" spans="1:15" s="37" customFormat="1" ht="15.75" customHeight="1" x14ac:dyDescent="0.25">
      <c r="A172" s="42">
        <f t="shared" si="10"/>
        <v>3</v>
      </c>
      <c r="B172" s="42" t="s">
        <v>198</v>
      </c>
      <c r="C172" s="42" t="s">
        <v>190</v>
      </c>
      <c r="D172" s="55">
        <f>(49.42+2.1*0.9+0.75*(2.25+2.75+2.75))*(10.764)</f>
        <v>614.86658999999997</v>
      </c>
      <c r="E172" s="42">
        <v>0</v>
      </c>
      <c r="F172" s="42">
        <f t="shared" ref="F172:F175" si="11">D172*(($F$166)+1)+(IF(E172&lt;101,E172,IF(E172&lt;201,E172/2,IF(E172&lt;=301,E172/3,E172/4))))</f>
        <v>922.2998849999999</v>
      </c>
      <c r="G172" s="82"/>
      <c r="H172" s="83"/>
      <c r="I172" s="36">
        <f>2.25*4.25+2.33*3.05+2.1*2.55+2.75*3.05+2.75*3.6+2.1*1.25+1.2*2.1+3</f>
        <v>48.456500000000005</v>
      </c>
      <c r="J172" s="37">
        <v>915</v>
      </c>
      <c r="K172" s="58">
        <f>915/611</f>
        <v>1.4975450081833062</v>
      </c>
      <c r="L172" s="105"/>
      <c r="M172" s="105"/>
      <c r="N172" s="58">
        <f t="shared" si="9"/>
        <v>1.5</v>
      </c>
      <c r="O172" s="37">
        <f>7700*915</f>
        <v>7045500</v>
      </c>
    </row>
    <row r="173" spans="1:15" s="37" customFormat="1" ht="15.75" customHeight="1" x14ac:dyDescent="0.25">
      <c r="A173" s="42">
        <f t="shared" si="10"/>
        <v>4</v>
      </c>
      <c r="B173" s="42" t="s">
        <v>198</v>
      </c>
      <c r="C173" s="42" t="s">
        <v>189</v>
      </c>
      <c r="D173" s="55">
        <f>(39.86+2.08*0.9+0.75*(3.745+2.245))*(10.764)</f>
        <v>497.56051799999995</v>
      </c>
      <c r="E173" s="42">
        <v>0</v>
      </c>
      <c r="F173" s="42">
        <f t="shared" si="11"/>
        <v>746.34077699999989</v>
      </c>
      <c r="G173" s="82"/>
      <c r="H173" s="83"/>
      <c r="I173" s="36">
        <f>2.245+4.25+2.08*3.13+2*2.9+3.745*2.5+1.195*1.78+2.39*1.2+1.8*1.1</f>
        <v>35.142999999999994</v>
      </c>
      <c r="J173" s="37">
        <v>696</v>
      </c>
      <c r="K173" s="58">
        <f>696/477</f>
        <v>1.4591194968553458</v>
      </c>
      <c r="L173" s="198">
        <f>477*1.46</f>
        <v>696.42</v>
      </c>
      <c r="M173" s="198"/>
      <c r="N173" s="58">
        <f t="shared" si="9"/>
        <v>1.5</v>
      </c>
      <c r="O173" s="37">
        <f>7700*922</f>
        <v>7099400</v>
      </c>
    </row>
    <row r="174" spans="1:15" s="37" customFormat="1" ht="15.75" customHeight="1" x14ac:dyDescent="0.25">
      <c r="A174" s="42">
        <f t="shared" si="10"/>
        <v>5</v>
      </c>
      <c r="B174" s="42" t="s">
        <v>198</v>
      </c>
      <c r="C174" s="42" t="s">
        <v>189</v>
      </c>
      <c r="D174" s="55">
        <f>(39.86+2.08*0.9+0.75*(3.745+2.25))*(10.764)</f>
        <v>497.60088300000001</v>
      </c>
      <c r="E174" s="42">
        <v>0</v>
      </c>
      <c r="F174" s="42">
        <f t="shared" si="11"/>
        <v>746.40132449999999</v>
      </c>
      <c r="G174" s="82"/>
      <c r="H174" s="83"/>
      <c r="I174" s="36"/>
      <c r="J174" s="37">
        <v>718</v>
      </c>
      <c r="K174" s="58">
        <f>718/477</f>
        <v>1.5052410901467506</v>
      </c>
      <c r="L174" s="105"/>
      <c r="M174" s="105"/>
      <c r="N174" s="58">
        <f t="shared" si="9"/>
        <v>1.5</v>
      </c>
    </row>
    <row r="175" spans="1:15" s="37" customFormat="1" ht="15.75" customHeight="1" x14ac:dyDescent="0.25">
      <c r="A175" s="42">
        <f t="shared" si="10"/>
        <v>6</v>
      </c>
      <c r="B175" s="42" t="s">
        <v>198</v>
      </c>
      <c r="C175" s="42" t="s">
        <v>189</v>
      </c>
      <c r="D175" s="55">
        <f>(38.39+2.1*0.9+0.75*(2.585+2.97))*(10.764)</f>
        <v>478.41943499999996</v>
      </c>
      <c r="E175" s="42">
        <v>0</v>
      </c>
      <c r="F175" s="42">
        <f t="shared" si="11"/>
        <v>717.62915249999992</v>
      </c>
      <c r="G175" s="84"/>
      <c r="H175" s="85"/>
      <c r="I175" s="36"/>
      <c r="J175" s="37">
        <v>718</v>
      </c>
      <c r="L175" s="105">
        <f>495*1.46</f>
        <v>722.69999999999993</v>
      </c>
      <c r="M175" s="105"/>
      <c r="N175" s="58">
        <f t="shared" si="9"/>
        <v>1.5</v>
      </c>
    </row>
    <row r="176" spans="1:15" s="37" customFormat="1" x14ac:dyDescent="0.25">
      <c r="A176" s="89" t="s">
        <v>214</v>
      </c>
      <c r="B176" s="90"/>
      <c r="C176" s="90"/>
      <c r="D176" s="90"/>
      <c r="E176" s="90"/>
      <c r="F176" s="90"/>
      <c r="G176" s="90"/>
      <c r="H176" s="91"/>
      <c r="J176" s="36"/>
    </row>
    <row r="177" spans="1:14" s="37" customFormat="1" ht="15.75" customHeight="1" x14ac:dyDescent="0.25">
      <c r="A177" s="42">
        <v>1</v>
      </c>
      <c r="B177" s="42" t="s">
        <v>198</v>
      </c>
      <c r="C177" s="42" t="s">
        <v>189</v>
      </c>
      <c r="D177" s="55">
        <f>(34.25+2.1*0.9+0.75*(2.245+2.88))*(10.764)</f>
        <v>430.385085</v>
      </c>
      <c r="E177" s="42">
        <v>0</v>
      </c>
      <c r="F177" s="42">
        <f>D177*(($F$166)+1)+(IF(E177&lt;101,E177,IF(E177&lt;201,E177/2,IF(E177&lt;=301,E177/3,E177/4))))</f>
        <v>645.57762750000006</v>
      </c>
      <c r="G177" s="80" t="str">
        <f>A176</f>
        <v>2nd Floor</v>
      </c>
      <c r="H177" s="81"/>
      <c r="I177" s="36">
        <f>2.82*4.55+2.25*2.16+2.1*2.35+1.2*2+3.15*3.05+1.2*2.25+0.9*1.4</f>
        <v>38.593499999999999</v>
      </c>
      <c r="J177" s="37">
        <f>4500000/F177</f>
        <v>6970.5017774953785</v>
      </c>
      <c r="L177" s="105"/>
      <c r="M177" s="105"/>
      <c r="N177" s="36"/>
    </row>
    <row r="178" spans="1:14" s="37" customFormat="1" ht="15.75" customHeight="1" x14ac:dyDescent="0.25">
      <c r="A178" s="42">
        <f t="shared" ref="A178:A182" si="12">A177+1</f>
        <v>2</v>
      </c>
      <c r="B178" s="42" t="s">
        <v>198</v>
      </c>
      <c r="C178" s="42" t="s">
        <v>189</v>
      </c>
      <c r="D178" s="55">
        <f>(35.37+2.1*0.9+0.75*(2.245+3.05))*(10.764)</f>
        <v>443.81317499999994</v>
      </c>
      <c r="E178" s="42">
        <v>0</v>
      </c>
      <c r="F178" s="42">
        <f>D178*(($F$166)+1)+(IF(E178&lt;101,E178,IF(E178&lt;201,E178/2,IF(E178&lt;=301,E178/3,E178/4))))</f>
        <v>665.71976249999989</v>
      </c>
      <c r="G178" s="82"/>
      <c r="H178" s="83"/>
      <c r="I178" s="36"/>
      <c r="L178" s="105"/>
      <c r="M178" s="105"/>
      <c r="N178" s="36"/>
    </row>
    <row r="179" spans="1:14" s="37" customFormat="1" ht="15.75" customHeight="1" x14ac:dyDescent="0.25">
      <c r="A179" s="42">
        <f t="shared" si="12"/>
        <v>3</v>
      </c>
      <c r="B179" s="42" t="s">
        <v>198</v>
      </c>
      <c r="C179" s="42" t="s">
        <v>190</v>
      </c>
      <c r="D179" s="55">
        <f>(49.42+2.1*0.9+0.75*(2.25+2.75+2.75))*(10.764)</f>
        <v>614.86658999999997</v>
      </c>
      <c r="E179" s="42">
        <v>0</v>
      </c>
      <c r="F179" s="42">
        <f t="shared" ref="F179:F182" si="13">D179*(($F$166)+1)+(IF(E179&lt;101,E179,IF(E179&lt;201,E179/2,IF(E179&lt;=301,E179/3,E179/4))))</f>
        <v>922.2998849999999</v>
      </c>
      <c r="G179" s="82"/>
      <c r="H179" s="83"/>
      <c r="I179" s="36"/>
      <c r="L179" s="105"/>
      <c r="M179" s="105"/>
      <c r="N179" s="36"/>
    </row>
    <row r="180" spans="1:14" s="37" customFormat="1" ht="15.75" customHeight="1" x14ac:dyDescent="0.25">
      <c r="A180" s="42">
        <f t="shared" si="12"/>
        <v>4</v>
      </c>
      <c r="B180" s="42" t="s">
        <v>198</v>
      </c>
      <c r="C180" s="42" t="s">
        <v>189</v>
      </c>
      <c r="D180" s="55">
        <f>(39.86+2.08*0.9+0.75*(3.745+2.245))*(10.764)</f>
        <v>497.56051799999995</v>
      </c>
      <c r="E180" s="42">
        <v>0</v>
      </c>
      <c r="F180" s="42">
        <f t="shared" si="13"/>
        <v>746.34077699999989</v>
      </c>
      <c r="G180" s="82"/>
      <c r="H180" s="83"/>
      <c r="I180" s="36"/>
      <c r="J180" s="37">
        <f>4500000/F180</f>
        <v>6029.4173099964501</v>
      </c>
      <c r="L180" s="105"/>
      <c r="M180" s="105"/>
      <c r="N180" s="36"/>
    </row>
    <row r="181" spans="1:14" s="37" customFormat="1" ht="15.75" customHeight="1" x14ac:dyDescent="0.25">
      <c r="A181" s="42">
        <f t="shared" si="12"/>
        <v>5</v>
      </c>
      <c r="B181" s="42" t="s">
        <v>198</v>
      </c>
      <c r="C181" s="42" t="s">
        <v>189</v>
      </c>
      <c r="D181" s="55">
        <f>(39.86+2.08*0.9+0.75*(3.745+2.25))*(10.764)</f>
        <v>497.60088300000001</v>
      </c>
      <c r="E181" s="42">
        <v>0</v>
      </c>
      <c r="F181" s="42">
        <f t="shared" si="13"/>
        <v>746.40132449999999</v>
      </c>
      <c r="G181" s="82"/>
      <c r="H181" s="83"/>
      <c r="I181" s="36"/>
      <c r="L181" s="105"/>
      <c r="M181" s="105"/>
      <c r="N181" s="36"/>
    </row>
    <row r="182" spans="1:14" s="37" customFormat="1" ht="15.75" customHeight="1" x14ac:dyDescent="0.25">
      <c r="A182" s="42">
        <f t="shared" si="12"/>
        <v>6</v>
      </c>
      <c r="B182" s="42" t="s">
        <v>198</v>
      </c>
      <c r="C182" s="42" t="s">
        <v>189</v>
      </c>
      <c r="D182" s="55">
        <f>(38.39+2.1*0.9+0.75*(2.585+2.97))*(10.764)</f>
        <v>478.41943499999996</v>
      </c>
      <c r="E182" s="42">
        <v>0</v>
      </c>
      <c r="F182" s="42">
        <f t="shared" si="13"/>
        <v>717.62915249999992</v>
      </c>
      <c r="G182" s="84"/>
      <c r="H182" s="85"/>
      <c r="I182" s="36"/>
      <c r="L182" s="105"/>
      <c r="M182" s="105"/>
      <c r="N182" s="36"/>
    </row>
    <row r="183" spans="1:14" s="37" customFormat="1" x14ac:dyDescent="0.25">
      <c r="A183" s="89" t="s">
        <v>215</v>
      </c>
      <c r="B183" s="90"/>
      <c r="C183" s="90"/>
      <c r="D183" s="90"/>
      <c r="E183" s="90"/>
      <c r="F183" s="90"/>
      <c r="G183" s="90"/>
      <c r="H183" s="91"/>
      <c r="J183" s="36"/>
    </row>
    <row r="184" spans="1:14" s="37" customFormat="1" ht="15.75" customHeight="1" x14ac:dyDescent="0.25">
      <c r="A184" s="42">
        <v>1</v>
      </c>
      <c r="B184" s="42" t="s">
        <v>198</v>
      </c>
      <c r="C184" s="42" t="s">
        <v>189</v>
      </c>
      <c r="D184" s="55">
        <f>(34.25+2.1*0.9+0.75*(2.245+2.88))*(10.764)</f>
        <v>430.385085</v>
      </c>
      <c r="E184" s="42">
        <v>0</v>
      </c>
      <c r="F184" s="42">
        <f>D184*(($F$166)+1)+(IF(E184&lt;101,E184,IF(E184&lt;201,E184/2,IF(E184&lt;=301,E184/3,E184/4))))</f>
        <v>645.57762750000006</v>
      </c>
      <c r="G184" s="80" t="str">
        <f>A183</f>
        <v>3rd Floor (Part Refuge Area)</v>
      </c>
      <c r="H184" s="81"/>
      <c r="I184" s="36">
        <f>2.82*4.55+2.25*2.16+2.1*2.35+1.2*2+3.15*3.05+1.2*2.25+0.9*1.4</f>
        <v>38.593499999999999</v>
      </c>
      <c r="J184" s="37">
        <f>4500000/F184</f>
        <v>6970.5017774953785</v>
      </c>
      <c r="L184" s="105"/>
      <c r="M184" s="105"/>
      <c r="N184" s="36"/>
    </row>
    <row r="185" spans="1:14" s="37" customFormat="1" ht="15.75" customHeight="1" x14ac:dyDescent="0.25">
      <c r="A185" s="42">
        <f t="shared" ref="A185:A189" si="14">A184+1</f>
        <v>2</v>
      </c>
      <c r="B185" s="42" t="s">
        <v>198</v>
      </c>
      <c r="C185" s="42" t="s">
        <v>189</v>
      </c>
      <c r="D185" s="55">
        <f>(35.37+2.1*0.9+0.75*(2.245+3.05))*(10.764)</f>
        <v>443.81317499999994</v>
      </c>
      <c r="E185" s="42">
        <v>0</v>
      </c>
      <c r="F185" s="42">
        <f>D185*(($F$166)+1)+(IF(E185&lt;101,E185,IF(E185&lt;201,E185/2,IF(E185&lt;=301,E185/3,E185/4))))</f>
        <v>665.71976249999989</v>
      </c>
      <c r="G185" s="82"/>
      <c r="H185" s="83"/>
      <c r="I185" s="36"/>
      <c r="L185" s="105"/>
      <c r="M185" s="105"/>
      <c r="N185" s="36"/>
    </row>
    <row r="186" spans="1:14" s="37" customFormat="1" ht="15.75" customHeight="1" x14ac:dyDescent="0.25">
      <c r="A186" s="42">
        <f t="shared" si="14"/>
        <v>3</v>
      </c>
      <c r="B186" s="42" t="s">
        <v>200</v>
      </c>
      <c r="C186" s="98" t="s">
        <v>192</v>
      </c>
      <c r="D186" s="99"/>
      <c r="E186" s="99"/>
      <c r="F186" s="100"/>
      <c r="G186" s="82"/>
      <c r="H186" s="83"/>
      <c r="I186" s="36"/>
      <c r="L186" s="105"/>
      <c r="M186" s="105"/>
      <c r="N186" s="36"/>
    </row>
    <row r="187" spans="1:14" s="37" customFormat="1" ht="15.75" customHeight="1" x14ac:dyDescent="0.25">
      <c r="A187" s="42">
        <f t="shared" si="14"/>
        <v>4</v>
      </c>
      <c r="B187" s="42" t="s">
        <v>198</v>
      </c>
      <c r="C187" s="42" t="s">
        <v>189</v>
      </c>
      <c r="D187" s="55">
        <f>(39.86+2.08*0.9+0.75*(3.745+2.245))*(10.764)</f>
        <v>497.56051799999995</v>
      </c>
      <c r="E187" s="42">
        <v>0</v>
      </c>
      <c r="F187" s="42">
        <f t="shared" ref="F187:F189" si="15">D187*(($F$166)+1)+(IF(E187&lt;101,E187,IF(E187&lt;201,E187/2,IF(E187&lt;=301,E187/3,E187/4))))</f>
        <v>746.34077699999989</v>
      </c>
      <c r="G187" s="82"/>
      <c r="H187" s="83"/>
      <c r="I187" s="36"/>
      <c r="J187" s="37">
        <f>4500000/F187</f>
        <v>6029.4173099964501</v>
      </c>
      <c r="L187" s="105"/>
      <c r="M187" s="105"/>
      <c r="N187" s="36"/>
    </row>
    <row r="188" spans="1:14" s="37" customFormat="1" ht="15.75" customHeight="1" x14ac:dyDescent="0.25">
      <c r="A188" s="42">
        <f t="shared" si="14"/>
        <v>5</v>
      </c>
      <c r="B188" s="42" t="s">
        <v>198</v>
      </c>
      <c r="C188" s="42" t="s">
        <v>189</v>
      </c>
      <c r="D188" s="55">
        <f>(39.86+2.08*0.9+0.75*(3.745+2.25))*(10.764)</f>
        <v>497.60088300000001</v>
      </c>
      <c r="E188" s="42">
        <v>0</v>
      </c>
      <c r="F188" s="42">
        <f t="shared" si="15"/>
        <v>746.40132449999999</v>
      </c>
      <c r="G188" s="82"/>
      <c r="H188" s="83"/>
      <c r="I188" s="36"/>
      <c r="L188" s="105"/>
      <c r="M188" s="105"/>
      <c r="N188" s="36"/>
    </row>
    <row r="189" spans="1:14" s="37" customFormat="1" ht="15.75" customHeight="1" x14ac:dyDescent="0.25">
      <c r="A189" s="42">
        <f t="shared" si="14"/>
        <v>6</v>
      </c>
      <c r="B189" s="42" t="s">
        <v>198</v>
      </c>
      <c r="C189" s="42" t="s">
        <v>189</v>
      </c>
      <c r="D189" s="55">
        <f>(38.39+2.1*0.9+0.75*(2.585+2.97))*(10.764)</f>
        <v>478.41943499999996</v>
      </c>
      <c r="E189" s="42">
        <v>0</v>
      </c>
      <c r="F189" s="42">
        <f t="shared" si="15"/>
        <v>717.62915249999992</v>
      </c>
      <c r="G189" s="84"/>
      <c r="H189" s="85"/>
      <c r="I189" s="36"/>
      <c r="L189" s="105"/>
      <c r="M189" s="105"/>
      <c r="N189" s="36"/>
    </row>
    <row r="190" spans="1:14" s="37" customFormat="1" x14ac:dyDescent="0.25">
      <c r="A190" s="89" t="s">
        <v>216</v>
      </c>
      <c r="B190" s="90"/>
      <c r="C190" s="90"/>
      <c r="D190" s="90"/>
      <c r="E190" s="90"/>
      <c r="F190" s="90"/>
      <c r="G190" s="90"/>
      <c r="H190" s="91"/>
      <c r="I190" s="59">
        <v>3</v>
      </c>
      <c r="J190" s="36"/>
    </row>
    <row r="191" spans="1:14" s="37" customFormat="1" ht="15.75" customHeight="1" x14ac:dyDescent="0.25">
      <c r="A191" s="42">
        <v>1</v>
      </c>
      <c r="B191" s="42" t="s">
        <v>198</v>
      </c>
      <c r="C191" s="42" t="s">
        <v>189</v>
      </c>
      <c r="D191" s="55">
        <f>(34.25+2.1*0.9+0.75*(2.245+2.88))*(10.764)</f>
        <v>430.385085</v>
      </c>
      <c r="E191" s="42">
        <v>0</v>
      </c>
      <c r="F191" s="42">
        <f>D191*(($F$166)+1)+(IF(E191&lt;101,E191,IF(E191&lt;201,E191/2,IF(E191&lt;=301,E191/3,E191/4))))</f>
        <v>645.57762750000006</v>
      </c>
      <c r="G191" s="80" t="str">
        <f>A190</f>
        <v>4th to 6th Floor</v>
      </c>
      <c r="H191" s="81"/>
      <c r="I191" s="36">
        <f>2.82*4.55+2.25*2.16+2.1*2.35+1.2*2+3.15*3.05+1.2*2.25+0.9*1.4</f>
        <v>38.593499999999999</v>
      </c>
      <c r="J191" s="37">
        <f>4500000/F191</f>
        <v>6970.5017774953785</v>
      </c>
      <c r="L191" s="105"/>
      <c r="M191" s="105"/>
      <c r="N191" s="36"/>
    </row>
    <row r="192" spans="1:14" s="37" customFormat="1" ht="15.75" customHeight="1" x14ac:dyDescent="0.25">
      <c r="A192" s="42">
        <f t="shared" ref="A192:A196" si="16">A191+1</f>
        <v>2</v>
      </c>
      <c r="B192" s="42" t="s">
        <v>198</v>
      </c>
      <c r="C192" s="42" t="s">
        <v>189</v>
      </c>
      <c r="D192" s="55">
        <f>(35.37+2.1*0.9+0.75*(2.245+3.05))*(10.764)</f>
        <v>443.81317499999994</v>
      </c>
      <c r="E192" s="42">
        <v>0</v>
      </c>
      <c r="F192" s="42">
        <f>D192*(($F$166)+1)+(IF(E192&lt;101,E192,IF(E192&lt;201,E192/2,IF(E192&lt;=301,E192/3,E192/4))))</f>
        <v>665.71976249999989</v>
      </c>
      <c r="G192" s="82"/>
      <c r="H192" s="83"/>
      <c r="I192" s="36"/>
      <c r="L192" s="105"/>
      <c r="M192" s="105"/>
      <c r="N192" s="36"/>
    </row>
    <row r="193" spans="1:14" s="37" customFormat="1" ht="15.75" customHeight="1" x14ac:dyDescent="0.25">
      <c r="A193" s="42">
        <f t="shared" si="16"/>
        <v>3</v>
      </c>
      <c r="B193" s="42" t="s">
        <v>198</v>
      </c>
      <c r="C193" s="42" t="s">
        <v>190</v>
      </c>
      <c r="D193" s="55">
        <f>(49.42+2.1*0.9+0.75*(2.25+2.75+2.75))*(10.764)</f>
        <v>614.86658999999997</v>
      </c>
      <c r="E193" s="42">
        <v>0</v>
      </c>
      <c r="F193" s="42">
        <f t="shared" ref="F193:F196" si="17">D193*(($F$166)+1)+(IF(E193&lt;101,E193,IF(E193&lt;201,E193/2,IF(E193&lt;=301,E193/3,E193/4))))</f>
        <v>922.2998849999999</v>
      </c>
      <c r="G193" s="82"/>
      <c r="H193" s="83"/>
      <c r="I193" s="36"/>
      <c r="L193" s="105"/>
      <c r="M193" s="105"/>
      <c r="N193" s="36"/>
    </row>
    <row r="194" spans="1:14" s="37" customFormat="1" ht="15.75" customHeight="1" x14ac:dyDescent="0.25">
      <c r="A194" s="42">
        <f t="shared" si="16"/>
        <v>4</v>
      </c>
      <c r="B194" s="42" t="s">
        <v>198</v>
      </c>
      <c r="C194" s="42" t="s">
        <v>189</v>
      </c>
      <c r="D194" s="55">
        <f>(39.86+2.08*0.9+0.75*(3.745+2.245))*(10.764)</f>
        <v>497.56051799999995</v>
      </c>
      <c r="E194" s="42">
        <v>0</v>
      </c>
      <c r="F194" s="42">
        <f t="shared" si="17"/>
        <v>746.34077699999989</v>
      </c>
      <c r="G194" s="82"/>
      <c r="H194" s="83"/>
      <c r="I194" s="36"/>
      <c r="J194" s="37">
        <f>4500000/F194</f>
        <v>6029.4173099964501</v>
      </c>
      <c r="L194" s="105"/>
      <c r="M194" s="105"/>
      <c r="N194" s="36"/>
    </row>
    <row r="195" spans="1:14" s="37" customFormat="1" ht="15.75" customHeight="1" x14ac:dyDescent="0.25">
      <c r="A195" s="42">
        <f t="shared" si="16"/>
        <v>5</v>
      </c>
      <c r="B195" s="42" t="s">
        <v>198</v>
      </c>
      <c r="C195" s="42" t="s">
        <v>189</v>
      </c>
      <c r="D195" s="55">
        <f>(39.86+2.08*0.9+0.75*(3.745+2.25))*(10.764)</f>
        <v>497.60088300000001</v>
      </c>
      <c r="E195" s="42">
        <v>0</v>
      </c>
      <c r="F195" s="42">
        <f t="shared" si="17"/>
        <v>746.40132449999999</v>
      </c>
      <c r="G195" s="82"/>
      <c r="H195" s="83"/>
      <c r="I195" s="36"/>
      <c r="L195" s="105"/>
      <c r="M195" s="105"/>
      <c r="N195" s="36"/>
    </row>
    <row r="196" spans="1:14" s="37" customFormat="1" ht="15.75" customHeight="1" x14ac:dyDescent="0.25">
      <c r="A196" s="42">
        <f t="shared" si="16"/>
        <v>6</v>
      </c>
      <c r="B196" s="42" t="s">
        <v>198</v>
      </c>
      <c r="C196" s="42" t="s">
        <v>189</v>
      </c>
      <c r="D196" s="55">
        <f>(38.39+2.1*0.9+0.75*(2.585+2.97))*(10.764)</f>
        <v>478.41943499999996</v>
      </c>
      <c r="E196" s="42">
        <v>0</v>
      </c>
      <c r="F196" s="42">
        <f t="shared" si="17"/>
        <v>717.62915249999992</v>
      </c>
      <c r="G196" s="84"/>
      <c r="H196" s="85"/>
      <c r="I196" s="36"/>
      <c r="L196" s="105"/>
      <c r="M196" s="105"/>
      <c r="N196" s="36"/>
    </row>
    <row r="197" spans="1:14" s="37" customFormat="1" x14ac:dyDescent="0.25">
      <c r="A197" s="89" t="s">
        <v>217</v>
      </c>
      <c r="B197" s="90"/>
      <c r="C197" s="90"/>
      <c r="D197" s="90"/>
      <c r="E197" s="90"/>
      <c r="F197" s="90"/>
      <c r="G197" s="90"/>
      <c r="H197" s="91"/>
      <c r="I197" s="59">
        <v>3</v>
      </c>
      <c r="J197" s="36"/>
    </row>
    <row r="198" spans="1:14" s="37" customFormat="1" ht="15.75" customHeight="1" x14ac:dyDescent="0.25">
      <c r="A198" s="42">
        <v>1</v>
      </c>
      <c r="B198" s="42" t="s">
        <v>198</v>
      </c>
      <c r="C198" s="42" t="s">
        <v>189</v>
      </c>
      <c r="D198" s="55">
        <f>(34.25+2.1*0.9+0.75*(2.245+2.88))*(10.764)</f>
        <v>430.385085</v>
      </c>
      <c r="E198" s="42">
        <v>0</v>
      </c>
      <c r="F198" s="42">
        <f>D198*(($F$166)+1)+(IF(E198&lt;101,E198,IF(E198&lt;201,E198/2,IF(E198&lt;=301,E198/3,E198/4))))</f>
        <v>645.57762750000006</v>
      </c>
      <c r="G198" s="80" t="str">
        <f>A197</f>
        <v>7th, 11th &amp; 15th Floor (Part Refuge Area)</v>
      </c>
      <c r="H198" s="81"/>
      <c r="I198" s="36">
        <f>2.82*4.55+2.25*2.16+2.1*2.35+1.2*2+3.15*3.05+1.2*2.25+0.9*1.4</f>
        <v>38.593499999999999</v>
      </c>
      <c r="J198" s="37">
        <f>4500000/F198</f>
        <v>6970.5017774953785</v>
      </c>
      <c r="L198" s="105"/>
      <c r="M198" s="105"/>
      <c r="N198" s="36"/>
    </row>
    <row r="199" spans="1:14" s="37" customFormat="1" ht="15.75" customHeight="1" x14ac:dyDescent="0.25">
      <c r="A199" s="42">
        <f t="shared" ref="A199:A203" si="18">A198+1</f>
        <v>2</v>
      </c>
      <c r="B199" s="42" t="s">
        <v>198</v>
      </c>
      <c r="C199" s="42" t="s">
        <v>189</v>
      </c>
      <c r="D199" s="55">
        <f>(35.37+2.1*0.9+0.75*(2.245+3.05))*(10.764)</f>
        <v>443.81317499999994</v>
      </c>
      <c r="E199" s="42">
        <v>0</v>
      </c>
      <c r="F199" s="42">
        <f>D199*(($F$166)+1)+(IF(E199&lt;101,E199,IF(E199&lt;201,E199/2,IF(E199&lt;=301,E199/3,E199/4))))</f>
        <v>665.71976249999989</v>
      </c>
      <c r="G199" s="82"/>
      <c r="H199" s="83"/>
      <c r="I199" s="36"/>
      <c r="L199" s="105"/>
      <c r="M199" s="105"/>
      <c r="N199" s="36"/>
    </row>
    <row r="200" spans="1:14" s="37" customFormat="1" ht="15.75" customHeight="1" x14ac:dyDescent="0.25">
      <c r="A200" s="42">
        <f t="shared" si="18"/>
        <v>3</v>
      </c>
      <c r="B200" s="98" t="s">
        <v>192</v>
      </c>
      <c r="C200" s="99"/>
      <c r="D200" s="99"/>
      <c r="E200" s="99"/>
      <c r="F200" s="100"/>
      <c r="G200" s="82"/>
      <c r="H200" s="83"/>
      <c r="I200" s="36"/>
      <c r="L200" s="105"/>
      <c r="M200" s="105"/>
      <c r="N200" s="36"/>
    </row>
    <row r="201" spans="1:14" s="37" customFormat="1" ht="15.75" customHeight="1" x14ac:dyDescent="0.25">
      <c r="A201" s="42">
        <f t="shared" si="18"/>
        <v>4</v>
      </c>
      <c r="B201" s="42" t="s">
        <v>198</v>
      </c>
      <c r="C201" s="42" t="s">
        <v>189</v>
      </c>
      <c r="D201" s="55">
        <f>(39.86+2.08*0.9+0.75*(3.745+2.245))*(10.764)</f>
        <v>497.56051799999995</v>
      </c>
      <c r="E201" s="42">
        <v>0</v>
      </c>
      <c r="F201" s="42">
        <f t="shared" ref="F201:F203" si="19">D201*(($F$166)+1)+(IF(E201&lt;101,E201,IF(E201&lt;201,E201/2,IF(E201&lt;=301,E201/3,E201/4))))</f>
        <v>746.34077699999989</v>
      </c>
      <c r="G201" s="82"/>
      <c r="H201" s="83"/>
      <c r="I201" s="36"/>
      <c r="J201" s="37">
        <f>4500000/F201</f>
        <v>6029.4173099964501</v>
      </c>
      <c r="L201" s="105"/>
      <c r="M201" s="105"/>
      <c r="N201" s="36"/>
    </row>
    <row r="202" spans="1:14" s="37" customFormat="1" ht="15.75" customHeight="1" x14ac:dyDescent="0.25">
      <c r="A202" s="42">
        <f t="shared" si="18"/>
        <v>5</v>
      </c>
      <c r="B202" s="42" t="s">
        <v>198</v>
      </c>
      <c r="C202" s="42" t="s">
        <v>189</v>
      </c>
      <c r="D202" s="55">
        <f>(39.86+2.08*0.9+0.75*(3.745+2.25))*(10.764)</f>
        <v>497.60088300000001</v>
      </c>
      <c r="E202" s="42">
        <v>0</v>
      </c>
      <c r="F202" s="42">
        <f t="shared" si="19"/>
        <v>746.40132449999999</v>
      </c>
      <c r="G202" s="82"/>
      <c r="H202" s="83"/>
      <c r="I202" s="36"/>
      <c r="L202" s="105"/>
      <c r="M202" s="105"/>
      <c r="N202" s="36"/>
    </row>
    <row r="203" spans="1:14" s="37" customFormat="1" ht="15.75" customHeight="1" x14ac:dyDescent="0.25">
      <c r="A203" s="42">
        <f t="shared" si="18"/>
        <v>6</v>
      </c>
      <c r="B203" s="42" t="s">
        <v>198</v>
      </c>
      <c r="C203" s="42" t="s">
        <v>189</v>
      </c>
      <c r="D203" s="55">
        <f>(38.39+2.1*0.9+0.75*(2.585+2.97))*(10.764)</f>
        <v>478.41943499999996</v>
      </c>
      <c r="E203" s="42">
        <v>0</v>
      </c>
      <c r="F203" s="42">
        <f t="shared" si="19"/>
        <v>717.62915249999992</v>
      </c>
      <c r="G203" s="84"/>
      <c r="H203" s="85"/>
      <c r="I203" s="36"/>
      <c r="L203" s="105"/>
      <c r="M203" s="105"/>
      <c r="N203" s="36"/>
    </row>
    <row r="204" spans="1:14" s="37" customFormat="1" x14ac:dyDescent="0.25">
      <c r="A204" s="89" t="s">
        <v>218</v>
      </c>
      <c r="B204" s="90"/>
      <c r="C204" s="90"/>
      <c r="D204" s="90"/>
      <c r="E204" s="90"/>
      <c r="F204" s="90"/>
      <c r="G204" s="90"/>
      <c r="H204" s="91"/>
      <c r="I204" s="59">
        <f>3+3+1</f>
        <v>7</v>
      </c>
      <c r="J204" s="36"/>
    </row>
    <row r="205" spans="1:14" s="37" customFormat="1" ht="15.75" customHeight="1" x14ac:dyDescent="0.25">
      <c r="A205" s="42">
        <v>1</v>
      </c>
      <c r="B205" s="42" t="s">
        <v>198</v>
      </c>
      <c r="C205" s="42" t="s">
        <v>189</v>
      </c>
      <c r="D205" s="55">
        <f>(34.25+2.1*0.9+0.75*(2.245+2.88))*(10.764)</f>
        <v>430.385085</v>
      </c>
      <c r="E205" s="42">
        <v>0</v>
      </c>
      <c r="F205" s="42">
        <f>D205*(($F$166)+1)+(IF(E205&lt;101,E205,IF(E205&lt;201,E205/2,IF(E205&lt;=301,E205/3,E205/4))))</f>
        <v>645.57762750000006</v>
      </c>
      <c r="G205" s="80" t="str">
        <f>A204</f>
        <v>8th to 10th, 12th to 14th &amp; 16th Floor</v>
      </c>
      <c r="H205" s="81"/>
      <c r="I205" s="36">
        <f>2.82*4.55+2.25*2.16+2.1*2.35+1.2*2+3.15*3.05+1.2*2.25+0.9*1.4</f>
        <v>38.593499999999999</v>
      </c>
      <c r="J205" s="37">
        <f>4500000/F205</f>
        <v>6970.5017774953785</v>
      </c>
      <c r="L205" s="105"/>
      <c r="M205" s="105"/>
      <c r="N205" s="36"/>
    </row>
    <row r="206" spans="1:14" s="37" customFormat="1" ht="15.75" customHeight="1" x14ac:dyDescent="0.25">
      <c r="A206" s="42">
        <f t="shared" ref="A206:A210" si="20">A205+1</f>
        <v>2</v>
      </c>
      <c r="B206" s="42" t="s">
        <v>198</v>
      </c>
      <c r="C206" s="42" t="s">
        <v>189</v>
      </c>
      <c r="D206" s="55">
        <f>(35.37+2.1*0.9+0.75*(2.245+3.05))*(10.764)</f>
        <v>443.81317499999994</v>
      </c>
      <c r="E206" s="42">
        <v>0</v>
      </c>
      <c r="F206" s="42">
        <f>D206*(($F$166)+1)+(IF(E206&lt;101,E206,IF(E206&lt;201,E206/2,IF(E206&lt;=301,E206/3,E206/4))))</f>
        <v>665.71976249999989</v>
      </c>
      <c r="G206" s="82"/>
      <c r="H206" s="83"/>
      <c r="I206" s="36"/>
      <c r="L206" s="105"/>
      <c r="M206" s="105"/>
      <c r="N206" s="36"/>
    </row>
    <row r="207" spans="1:14" s="37" customFormat="1" ht="15.75" customHeight="1" x14ac:dyDescent="0.25">
      <c r="A207" s="42">
        <f t="shared" si="20"/>
        <v>3</v>
      </c>
      <c r="B207" s="42" t="s">
        <v>198</v>
      </c>
      <c r="C207" s="42" t="s">
        <v>190</v>
      </c>
      <c r="D207" s="55">
        <f>(49.42+2.1*0.9+0.75*(2.25+2.75+2.75))*(10.764)</f>
        <v>614.86658999999997</v>
      </c>
      <c r="E207" s="42">
        <v>0</v>
      </c>
      <c r="F207" s="42">
        <f t="shared" ref="F207:F210" si="21">D207*(($F$166)+1)+(IF(E207&lt;101,E207,IF(E207&lt;201,E207/2,IF(E207&lt;=301,E207/3,E207/4))))</f>
        <v>922.2998849999999</v>
      </c>
      <c r="G207" s="82"/>
      <c r="H207" s="83"/>
      <c r="I207" s="36"/>
      <c r="L207" s="105"/>
      <c r="M207" s="105"/>
      <c r="N207" s="36"/>
    </row>
    <row r="208" spans="1:14" s="37" customFormat="1" ht="15.75" customHeight="1" x14ac:dyDescent="0.25">
      <c r="A208" s="42">
        <f t="shared" si="20"/>
        <v>4</v>
      </c>
      <c r="B208" s="42" t="s">
        <v>198</v>
      </c>
      <c r="C208" s="42" t="s">
        <v>189</v>
      </c>
      <c r="D208" s="55">
        <f>(39.86+2.08*0.9+0.75*(3.745+2.245))*(10.764)</f>
        <v>497.56051799999995</v>
      </c>
      <c r="E208" s="42">
        <v>0</v>
      </c>
      <c r="F208" s="42">
        <f t="shared" si="21"/>
        <v>746.34077699999989</v>
      </c>
      <c r="G208" s="82"/>
      <c r="H208" s="83"/>
      <c r="I208" s="36"/>
      <c r="J208" s="37">
        <f>4500000/F208</f>
        <v>6029.4173099964501</v>
      </c>
      <c r="L208" s="105"/>
      <c r="M208" s="105"/>
      <c r="N208" s="36"/>
    </row>
    <row r="209" spans="1:14" s="37" customFormat="1" ht="15.75" customHeight="1" x14ac:dyDescent="0.25">
      <c r="A209" s="42">
        <f t="shared" si="20"/>
        <v>5</v>
      </c>
      <c r="B209" s="42" t="s">
        <v>198</v>
      </c>
      <c r="C209" s="42" t="s">
        <v>189</v>
      </c>
      <c r="D209" s="55">
        <f>(39.86+2.08*0.9+0.75*(3.745+2.25))*(10.764)</f>
        <v>497.60088300000001</v>
      </c>
      <c r="E209" s="42">
        <v>0</v>
      </c>
      <c r="F209" s="42">
        <f t="shared" si="21"/>
        <v>746.40132449999999</v>
      </c>
      <c r="G209" s="82"/>
      <c r="H209" s="83"/>
      <c r="I209" s="36"/>
      <c r="L209" s="105"/>
      <c r="M209" s="105"/>
      <c r="N209" s="36"/>
    </row>
    <row r="210" spans="1:14" s="37" customFormat="1" ht="15.75" customHeight="1" x14ac:dyDescent="0.25">
      <c r="A210" s="42">
        <f t="shared" si="20"/>
        <v>6</v>
      </c>
      <c r="B210" s="42" t="s">
        <v>198</v>
      </c>
      <c r="C210" s="42" t="s">
        <v>189</v>
      </c>
      <c r="D210" s="55">
        <f>(38.39+2.1*0.9+0.75*(2.585+2.97))*(10.764)</f>
        <v>478.41943499999996</v>
      </c>
      <c r="E210" s="42">
        <v>0</v>
      </c>
      <c r="F210" s="42">
        <f t="shared" si="21"/>
        <v>717.62915249999992</v>
      </c>
      <c r="G210" s="84"/>
      <c r="H210" s="85"/>
      <c r="I210" s="36"/>
      <c r="L210" s="105"/>
      <c r="M210" s="105"/>
      <c r="N210" s="36"/>
    </row>
    <row r="211" spans="1:14" s="37" customFormat="1" x14ac:dyDescent="0.25">
      <c r="A211" s="89" t="s">
        <v>219</v>
      </c>
      <c r="B211" s="90"/>
      <c r="C211" s="90"/>
      <c r="D211" s="90"/>
      <c r="E211" s="90"/>
      <c r="F211" s="90"/>
      <c r="G211" s="90"/>
      <c r="H211" s="91"/>
      <c r="I211" s="59">
        <v>3</v>
      </c>
      <c r="J211" s="36"/>
    </row>
    <row r="212" spans="1:14" s="37" customFormat="1" ht="15.75" customHeight="1" x14ac:dyDescent="0.25">
      <c r="A212" s="42">
        <v>1</v>
      </c>
      <c r="B212" s="42" t="s">
        <v>198</v>
      </c>
      <c r="C212" s="42" t="s">
        <v>189</v>
      </c>
      <c r="D212" s="55">
        <f>(34.25+2.1*0.9+0.75*(2.245+2.88))*(10.764)</f>
        <v>430.385085</v>
      </c>
      <c r="E212" s="42">
        <v>0</v>
      </c>
      <c r="F212" s="42">
        <f>D212*(($F$166)+1)+(IF(E212&lt;101,E212,IF(E212&lt;201,E212/2,IF(E212&lt;=301,E212/3,E212/4))))</f>
        <v>645.57762750000006</v>
      </c>
      <c r="G212" s="80" t="str">
        <f>A211</f>
        <v>17th &amp; 18th Floor</v>
      </c>
      <c r="H212" s="81"/>
      <c r="I212" s="36">
        <f>2.82*4.55+2.25*2.16+2.1*2.35+1.2*2+3.15*3.05+1.2*2.25+0.9*1.4</f>
        <v>38.593499999999999</v>
      </c>
      <c r="J212" s="37">
        <f>4500000/F212</f>
        <v>6970.5017774953785</v>
      </c>
      <c r="L212" s="105"/>
      <c r="M212" s="105"/>
      <c r="N212" s="36"/>
    </row>
    <row r="213" spans="1:14" s="37" customFormat="1" ht="15.75" customHeight="1" x14ac:dyDescent="0.25">
      <c r="A213" s="42">
        <f t="shared" ref="A213:A217" si="22">A212+1</f>
        <v>2</v>
      </c>
      <c r="B213" s="42" t="s">
        <v>198</v>
      </c>
      <c r="C213" s="42" t="s">
        <v>189</v>
      </c>
      <c r="D213" s="55">
        <f>(35.37+2.1*0.9+0.75*(2.245+3.05))*(10.764)</f>
        <v>443.81317499999994</v>
      </c>
      <c r="E213" s="42">
        <v>0</v>
      </c>
      <c r="F213" s="42">
        <f>D213*(($F$166)+1)+(IF(E213&lt;101,E213,IF(E213&lt;201,E213/2,IF(E213&lt;=301,E213/3,E213/4))))</f>
        <v>665.71976249999989</v>
      </c>
      <c r="G213" s="82"/>
      <c r="H213" s="83"/>
      <c r="I213" s="36"/>
      <c r="L213" s="105"/>
      <c r="M213" s="105"/>
      <c r="N213" s="36"/>
    </row>
    <row r="214" spans="1:14" s="37" customFormat="1" ht="15.75" customHeight="1" x14ac:dyDescent="0.25">
      <c r="A214" s="42">
        <f t="shared" si="22"/>
        <v>3</v>
      </c>
      <c r="B214" s="42" t="s">
        <v>198</v>
      </c>
      <c r="C214" s="42" t="s">
        <v>190</v>
      </c>
      <c r="D214" s="55">
        <f>(49.42+2.1*0.9+0.75*(2.25+2.75+2.75))*(10.764)</f>
        <v>614.86658999999997</v>
      </c>
      <c r="E214" s="42">
        <v>0</v>
      </c>
      <c r="F214" s="42">
        <f t="shared" ref="F214:F217" si="23">D214*(($F$166)+1)+(IF(E214&lt;101,E214,IF(E214&lt;201,E214/2,IF(E214&lt;=301,E214/3,E214/4))))</f>
        <v>922.2998849999999</v>
      </c>
      <c r="G214" s="82"/>
      <c r="H214" s="83"/>
      <c r="I214" s="36"/>
      <c r="L214" s="105"/>
      <c r="M214" s="105"/>
      <c r="N214" s="36"/>
    </row>
    <row r="215" spans="1:14" s="37" customFormat="1" ht="15.75" customHeight="1" x14ac:dyDescent="0.25">
      <c r="A215" s="42">
        <f t="shared" si="22"/>
        <v>4</v>
      </c>
      <c r="B215" s="42" t="s">
        <v>198</v>
      </c>
      <c r="C215" s="42" t="s">
        <v>189</v>
      </c>
      <c r="D215" s="55">
        <f>(39.86+2.08*0.9+0.75*(3.745+2.245))*(10.764)</f>
        <v>497.56051799999995</v>
      </c>
      <c r="E215" s="42">
        <v>0</v>
      </c>
      <c r="F215" s="42">
        <f t="shared" si="23"/>
        <v>746.34077699999989</v>
      </c>
      <c r="G215" s="82"/>
      <c r="H215" s="83"/>
      <c r="I215" s="36"/>
      <c r="J215" s="37">
        <f>4500000/F215</f>
        <v>6029.4173099964501</v>
      </c>
      <c r="L215" s="105"/>
      <c r="M215" s="105"/>
      <c r="N215" s="36"/>
    </row>
    <row r="216" spans="1:14" s="37" customFormat="1" ht="15.75" customHeight="1" x14ac:dyDescent="0.25">
      <c r="A216" s="42">
        <f t="shared" si="22"/>
        <v>5</v>
      </c>
      <c r="B216" s="42" t="s">
        <v>198</v>
      </c>
      <c r="C216" s="42" t="s">
        <v>189</v>
      </c>
      <c r="D216" s="55">
        <f>(39.86+2.08*0.9+0.75*(3.745+2.25))*(10.764)</f>
        <v>497.60088300000001</v>
      </c>
      <c r="E216" s="42">
        <v>0</v>
      </c>
      <c r="F216" s="42">
        <f t="shared" si="23"/>
        <v>746.40132449999999</v>
      </c>
      <c r="G216" s="82"/>
      <c r="H216" s="83"/>
      <c r="I216" s="36"/>
      <c r="L216" s="105"/>
      <c r="M216" s="105"/>
      <c r="N216" s="36"/>
    </row>
    <row r="217" spans="1:14" s="37" customFormat="1" ht="15.75" customHeight="1" x14ac:dyDescent="0.25">
      <c r="A217" s="42">
        <f t="shared" si="22"/>
        <v>6</v>
      </c>
      <c r="B217" s="42" t="s">
        <v>198</v>
      </c>
      <c r="C217" s="42" t="s">
        <v>189</v>
      </c>
      <c r="D217" s="55">
        <f>(38.39+2.1*0.9+0.75*(2.585+2.97))*(10.764)</f>
        <v>478.41943499999996</v>
      </c>
      <c r="E217" s="42">
        <v>0</v>
      </c>
      <c r="F217" s="42">
        <f t="shared" si="23"/>
        <v>717.62915249999992</v>
      </c>
      <c r="G217" s="84"/>
      <c r="H217" s="85"/>
      <c r="I217" s="36"/>
      <c r="L217" s="105"/>
      <c r="M217" s="105"/>
      <c r="N217" s="36"/>
    </row>
    <row r="218" spans="1:14" s="37" customFormat="1" x14ac:dyDescent="0.25">
      <c r="A218" s="89" t="s">
        <v>226</v>
      </c>
      <c r="B218" s="90"/>
      <c r="C218" s="90"/>
      <c r="D218" s="90"/>
      <c r="E218" s="90"/>
      <c r="F218" s="90"/>
      <c r="G218" s="90"/>
      <c r="H218" s="91"/>
      <c r="I218" s="59">
        <v>3</v>
      </c>
      <c r="J218" s="36"/>
    </row>
    <row r="219" spans="1:14" s="37" customFormat="1" ht="15.75" customHeight="1" x14ac:dyDescent="0.25">
      <c r="A219" s="42">
        <v>1</v>
      </c>
      <c r="B219" s="42" t="s">
        <v>198</v>
      </c>
      <c r="C219" s="42" t="s">
        <v>189</v>
      </c>
      <c r="D219" s="55">
        <f>(34.25+2.1*0.9+0.75*(2.245+2.88))*(10.764)</f>
        <v>430.385085</v>
      </c>
      <c r="E219" s="42">
        <v>0</v>
      </c>
      <c r="F219" s="42">
        <f>D219*(($F$166)+1)+(IF(E219&lt;101,E219,IF(E219&lt;201,E219/2,IF(E219&lt;=301,E219/3,E219/4))))</f>
        <v>645.57762750000006</v>
      </c>
      <c r="G219" s="80" t="str">
        <f>A218</f>
        <v>19th Floor (Part Refuge Area)</v>
      </c>
      <c r="H219" s="81"/>
      <c r="I219" s="36">
        <f>2.82*4.55+2.25*2.16+2.1*2.35+1.2*2+3.15*3.05+1.2*2.25+0.9*1.4</f>
        <v>38.593499999999999</v>
      </c>
      <c r="J219" s="37">
        <f>4500000/F219</f>
        <v>6970.5017774953785</v>
      </c>
      <c r="L219" s="105"/>
      <c r="M219" s="105"/>
      <c r="N219" s="36"/>
    </row>
    <row r="220" spans="1:14" s="37" customFormat="1" ht="15.75" customHeight="1" x14ac:dyDescent="0.25">
      <c r="A220" s="42">
        <f t="shared" ref="A220:A224" si="24">A219+1</f>
        <v>2</v>
      </c>
      <c r="B220" s="42" t="s">
        <v>198</v>
      </c>
      <c r="C220" s="42" t="s">
        <v>189</v>
      </c>
      <c r="D220" s="55">
        <f>(35.37+2.1*0.9+0.75*(2.245+3.05))*(10.764)</f>
        <v>443.81317499999994</v>
      </c>
      <c r="E220" s="42">
        <v>0</v>
      </c>
      <c r="F220" s="42">
        <f>D220*(($F$166)+1)+(IF(E220&lt;101,E220,IF(E220&lt;201,E220/2,IF(E220&lt;=301,E220/3,E220/4))))</f>
        <v>665.71976249999989</v>
      </c>
      <c r="G220" s="82"/>
      <c r="H220" s="83"/>
      <c r="I220" s="36"/>
      <c r="L220" s="105"/>
      <c r="M220" s="105"/>
      <c r="N220" s="36"/>
    </row>
    <row r="221" spans="1:14" s="37" customFormat="1" ht="15.75" customHeight="1" x14ac:dyDescent="0.25">
      <c r="A221" s="42">
        <f t="shared" si="24"/>
        <v>3</v>
      </c>
      <c r="B221" s="42" t="s">
        <v>200</v>
      </c>
      <c r="C221" s="98" t="s">
        <v>192</v>
      </c>
      <c r="D221" s="99"/>
      <c r="E221" s="99"/>
      <c r="F221" s="100"/>
      <c r="G221" s="82"/>
      <c r="H221" s="83"/>
      <c r="I221" s="36"/>
      <c r="L221" s="105"/>
      <c r="M221" s="105"/>
      <c r="N221" s="36"/>
    </row>
    <row r="222" spans="1:14" s="37" customFormat="1" ht="15.75" customHeight="1" x14ac:dyDescent="0.25">
      <c r="A222" s="42">
        <f t="shared" si="24"/>
        <v>4</v>
      </c>
      <c r="B222" s="42" t="s">
        <v>198</v>
      </c>
      <c r="C222" s="42" t="s">
        <v>189</v>
      </c>
      <c r="D222" s="55">
        <f>(39.86+2.08*0.9+0.75*(3.745+2.245))*(10.764)</f>
        <v>497.56051799999995</v>
      </c>
      <c r="E222" s="42">
        <v>0</v>
      </c>
      <c r="F222" s="42">
        <f t="shared" ref="F222:F224" si="25">D222*(($F$166)+1)+(IF(E222&lt;101,E222,IF(E222&lt;201,E222/2,IF(E222&lt;=301,E222/3,E222/4))))</f>
        <v>746.34077699999989</v>
      </c>
      <c r="G222" s="82"/>
      <c r="H222" s="83"/>
      <c r="I222" s="36"/>
      <c r="J222" s="37">
        <f>4500000/F222</f>
        <v>6029.4173099964501</v>
      </c>
      <c r="L222" s="105"/>
      <c r="M222" s="105"/>
      <c r="N222" s="36"/>
    </row>
    <row r="223" spans="1:14" s="37" customFormat="1" ht="15.75" customHeight="1" x14ac:dyDescent="0.25">
      <c r="A223" s="42">
        <f t="shared" si="24"/>
        <v>5</v>
      </c>
      <c r="B223" s="42" t="s">
        <v>198</v>
      </c>
      <c r="C223" s="42" t="s">
        <v>189</v>
      </c>
      <c r="D223" s="55">
        <f>(39.86+2.08*0.9+0.75*(3.745+2.25))*(10.764)</f>
        <v>497.60088300000001</v>
      </c>
      <c r="E223" s="42">
        <v>0</v>
      </c>
      <c r="F223" s="42">
        <f t="shared" si="25"/>
        <v>746.40132449999999</v>
      </c>
      <c r="G223" s="82"/>
      <c r="H223" s="83"/>
      <c r="I223" s="36"/>
      <c r="L223" s="105"/>
      <c r="M223" s="105"/>
      <c r="N223" s="36"/>
    </row>
    <row r="224" spans="1:14" s="37" customFormat="1" ht="15.75" customHeight="1" x14ac:dyDescent="0.25">
      <c r="A224" s="42">
        <f t="shared" si="24"/>
        <v>6</v>
      </c>
      <c r="B224" s="42" t="s">
        <v>198</v>
      </c>
      <c r="C224" s="42" t="s">
        <v>189</v>
      </c>
      <c r="D224" s="55">
        <f>(38.39+2.1*0.9+0.75*(2.585+2.97))*(10.764)</f>
        <v>478.41943499999996</v>
      </c>
      <c r="E224" s="42">
        <v>0</v>
      </c>
      <c r="F224" s="42">
        <f t="shared" si="25"/>
        <v>717.62915249999992</v>
      </c>
      <c r="G224" s="84"/>
      <c r="H224" s="85"/>
      <c r="I224" s="36"/>
      <c r="L224" s="105"/>
      <c r="M224" s="105"/>
      <c r="N224" s="36"/>
    </row>
    <row r="225" spans="1:14" s="37" customFormat="1" x14ac:dyDescent="0.25">
      <c r="A225" s="89" t="s">
        <v>220</v>
      </c>
      <c r="B225" s="90"/>
      <c r="C225" s="90"/>
      <c r="D225" s="90"/>
      <c r="E225" s="90"/>
      <c r="F225" s="90"/>
      <c r="G225" s="90"/>
      <c r="H225" s="91"/>
      <c r="I225" s="59">
        <v>1</v>
      </c>
      <c r="J225" s="36"/>
    </row>
    <row r="226" spans="1:14" s="37" customFormat="1" ht="15.75" customHeight="1" x14ac:dyDescent="0.25">
      <c r="A226" s="42">
        <v>1</v>
      </c>
      <c r="B226" s="42" t="s">
        <v>198</v>
      </c>
      <c r="C226" s="42" t="s">
        <v>189</v>
      </c>
      <c r="D226" s="55">
        <f>(34.25+2.1*0.9+0.75*(2.245+2.88))*(10.764)</f>
        <v>430.385085</v>
      </c>
      <c r="E226" s="42">
        <v>0</v>
      </c>
      <c r="F226" s="42">
        <f>D226*(($F$166)+1)+(IF(E226&lt;101,E226,IF(E226&lt;201,E226/2,IF(E226&lt;=301,E226/3,E226/4))))</f>
        <v>645.57762750000006</v>
      </c>
      <c r="G226" s="80" t="str">
        <f>A225</f>
        <v>20th Floor</v>
      </c>
      <c r="H226" s="81"/>
      <c r="I226" s="36">
        <f>2.82*4.55+2.25*2.16+2.1*2.35+1.2*2+3.15*3.05+1.2*2.25+0.9*1.4</f>
        <v>38.593499999999999</v>
      </c>
      <c r="J226" s="37">
        <f>4500000/F226</f>
        <v>6970.5017774953785</v>
      </c>
      <c r="L226" s="105"/>
      <c r="M226" s="105"/>
      <c r="N226" s="36"/>
    </row>
    <row r="227" spans="1:14" s="37" customFormat="1" ht="15.75" customHeight="1" x14ac:dyDescent="0.25">
      <c r="A227" s="42">
        <f t="shared" ref="A227:A231" si="26">A226+1</f>
        <v>2</v>
      </c>
      <c r="B227" s="42" t="s">
        <v>198</v>
      </c>
      <c r="C227" s="42" t="s">
        <v>189</v>
      </c>
      <c r="D227" s="55">
        <f>(35.37+2.1*0.9+0.75*(2.245+3.05))*(10.764)</f>
        <v>443.81317499999994</v>
      </c>
      <c r="E227" s="42">
        <v>0</v>
      </c>
      <c r="F227" s="42">
        <f>D227*(($F$166)+1)+(IF(E227&lt;101,E227,IF(E227&lt;201,E227/2,IF(E227&lt;=301,E227/3,E227/4))))</f>
        <v>665.71976249999989</v>
      </c>
      <c r="G227" s="82"/>
      <c r="H227" s="83"/>
      <c r="I227" s="36"/>
      <c r="L227" s="105"/>
      <c r="M227" s="105"/>
      <c r="N227" s="36"/>
    </row>
    <row r="228" spans="1:14" s="37" customFormat="1" ht="15.75" customHeight="1" x14ac:dyDescent="0.25">
      <c r="A228" s="42">
        <f t="shared" si="26"/>
        <v>3</v>
      </c>
      <c r="B228" s="42" t="s">
        <v>198</v>
      </c>
      <c r="C228" s="42" t="s">
        <v>190</v>
      </c>
      <c r="D228" s="55">
        <f>(49.42+2.1*0.9+0.75*(2.25+2.75+2.75))*(10.764)</f>
        <v>614.86658999999997</v>
      </c>
      <c r="E228" s="42">
        <v>0</v>
      </c>
      <c r="F228" s="42">
        <f t="shared" ref="F228:F231" si="27">D228*(($F$166)+1)+(IF(E228&lt;101,E228,IF(E228&lt;201,E228/2,IF(E228&lt;=301,E228/3,E228/4))))</f>
        <v>922.2998849999999</v>
      </c>
      <c r="G228" s="82"/>
      <c r="H228" s="83"/>
      <c r="I228" s="36"/>
      <c r="L228" s="105"/>
      <c r="M228" s="105"/>
      <c r="N228" s="36"/>
    </row>
    <row r="229" spans="1:14" s="37" customFormat="1" ht="15.75" customHeight="1" x14ac:dyDescent="0.25">
      <c r="A229" s="42">
        <f t="shared" si="26"/>
        <v>4</v>
      </c>
      <c r="B229" s="42" t="s">
        <v>198</v>
      </c>
      <c r="C229" s="42" t="s">
        <v>189</v>
      </c>
      <c r="D229" s="55">
        <f>(39.86+2.08*0.9+0.75*(3.745+2.245))*(10.764)</f>
        <v>497.56051799999995</v>
      </c>
      <c r="E229" s="42">
        <v>0</v>
      </c>
      <c r="F229" s="42">
        <f t="shared" si="27"/>
        <v>746.34077699999989</v>
      </c>
      <c r="G229" s="82"/>
      <c r="H229" s="83"/>
      <c r="I229" s="36"/>
      <c r="J229" s="37">
        <f>4500000/F229</f>
        <v>6029.4173099964501</v>
      </c>
      <c r="L229" s="105"/>
      <c r="M229" s="105"/>
      <c r="N229" s="36"/>
    </row>
    <row r="230" spans="1:14" s="37" customFormat="1" ht="15.75" customHeight="1" x14ac:dyDescent="0.25">
      <c r="A230" s="42">
        <f t="shared" si="26"/>
        <v>5</v>
      </c>
      <c r="B230" s="42" t="s">
        <v>198</v>
      </c>
      <c r="C230" s="42" t="s">
        <v>189</v>
      </c>
      <c r="D230" s="55">
        <f>(39.86+2.08*0.9+0.75*(3.745+2.25))*(10.764)</f>
        <v>497.60088300000001</v>
      </c>
      <c r="E230" s="42">
        <v>0</v>
      </c>
      <c r="F230" s="42">
        <f t="shared" si="27"/>
        <v>746.40132449999999</v>
      </c>
      <c r="G230" s="82"/>
      <c r="H230" s="83"/>
      <c r="I230" s="36"/>
      <c r="L230" s="105"/>
      <c r="M230" s="105"/>
      <c r="N230" s="36"/>
    </row>
    <row r="231" spans="1:14" s="37" customFormat="1" ht="15.75" customHeight="1" x14ac:dyDescent="0.25">
      <c r="A231" s="42">
        <f t="shared" si="26"/>
        <v>6</v>
      </c>
      <c r="B231" s="42" t="s">
        <v>198</v>
      </c>
      <c r="C231" s="42" t="s">
        <v>189</v>
      </c>
      <c r="D231" s="55">
        <f>(38.39+2.1*0.9+0.75*(2.585+2.97))*(10.764)</f>
        <v>478.41943499999996</v>
      </c>
      <c r="E231" s="42">
        <v>0</v>
      </c>
      <c r="F231" s="42">
        <f t="shared" si="27"/>
        <v>717.62915249999992</v>
      </c>
      <c r="G231" s="84"/>
      <c r="H231" s="85"/>
      <c r="I231" s="36"/>
      <c r="L231" s="105"/>
      <c r="M231" s="105"/>
      <c r="N231" s="36"/>
    </row>
    <row r="232" spans="1:14" s="37" customFormat="1" x14ac:dyDescent="0.25">
      <c r="A232" s="89" t="s">
        <v>221</v>
      </c>
      <c r="B232" s="90"/>
      <c r="C232" s="90"/>
      <c r="D232" s="90"/>
      <c r="E232" s="90"/>
      <c r="F232" s="90"/>
      <c r="G232" s="90"/>
      <c r="H232" s="91"/>
      <c r="I232" s="59">
        <v>4</v>
      </c>
      <c r="J232" s="36"/>
    </row>
    <row r="233" spans="1:14" s="37" customFormat="1" ht="15.75" customHeight="1" x14ac:dyDescent="0.25">
      <c r="A233" s="42">
        <v>1</v>
      </c>
      <c r="B233" s="42" t="s">
        <v>198</v>
      </c>
      <c r="C233" s="42" t="s">
        <v>189</v>
      </c>
      <c r="D233" s="55">
        <f>(34.25+2.1*0.9+0.75*(2.245+2.88))*(10.764)</f>
        <v>430.385085</v>
      </c>
      <c r="E233" s="42">
        <v>0</v>
      </c>
      <c r="F233" s="42">
        <f>D233*(($F$166)+1)+(IF(E233&lt;101,E233,IF(E233&lt;201,E233/2,IF(E233&lt;=301,E233/3,E233/4))))</f>
        <v>645.57762750000006</v>
      </c>
      <c r="G233" s="80" t="str">
        <f>A232</f>
        <v>21st, 22nd, 24th &amp; 25th Floor</v>
      </c>
      <c r="H233" s="81"/>
      <c r="I233" s="36">
        <f>2.82*4.55+2.25*2.16+2.1*2.35+1.2*2+3.15*3.05+1.2*2.25+0.9*1.4</f>
        <v>38.593499999999999</v>
      </c>
      <c r="J233" s="37">
        <f>4500000/F233</f>
        <v>6970.5017774953785</v>
      </c>
      <c r="L233" s="105"/>
      <c r="M233" s="105"/>
      <c r="N233" s="36"/>
    </row>
    <row r="234" spans="1:14" s="37" customFormat="1" ht="15.75" customHeight="1" x14ac:dyDescent="0.25">
      <c r="A234" s="42">
        <f t="shared" ref="A234:A238" si="28">A233+1</f>
        <v>2</v>
      </c>
      <c r="B234" s="42" t="s">
        <v>198</v>
      </c>
      <c r="C234" s="42" t="s">
        <v>189</v>
      </c>
      <c r="D234" s="55">
        <f>(35.37+2.1*0.9+0.75*(2.245+3.05))*(10.764)</f>
        <v>443.81317499999994</v>
      </c>
      <c r="E234" s="42">
        <v>0</v>
      </c>
      <c r="F234" s="42">
        <f>D234*(($F$166)+1)+(IF(E234&lt;101,E234,IF(E234&lt;201,E234/2,IF(E234&lt;=301,E234/3,E234/4))))</f>
        <v>665.71976249999989</v>
      </c>
      <c r="G234" s="82"/>
      <c r="H234" s="83"/>
      <c r="I234" s="36"/>
      <c r="L234" s="105"/>
      <c r="M234" s="105"/>
      <c r="N234" s="36"/>
    </row>
    <row r="235" spans="1:14" s="37" customFormat="1" ht="15.75" customHeight="1" x14ac:dyDescent="0.25">
      <c r="A235" s="42">
        <f t="shared" si="28"/>
        <v>3</v>
      </c>
      <c r="B235" s="42" t="s">
        <v>198</v>
      </c>
      <c r="C235" s="42" t="s">
        <v>190</v>
      </c>
      <c r="D235" s="55">
        <f>(49.42+2.1*0.9+0.75*(2.25+2.75+2.75))*(10.764)</f>
        <v>614.86658999999997</v>
      </c>
      <c r="E235" s="42">
        <v>0</v>
      </c>
      <c r="F235" s="42">
        <f t="shared" ref="F235:F238" si="29">D235*(($F$166)+1)+(IF(E235&lt;101,E235,IF(E235&lt;201,E235/2,IF(E235&lt;=301,E235/3,E235/4))))</f>
        <v>922.2998849999999</v>
      </c>
      <c r="G235" s="82"/>
      <c r="H235" s="83"/>
      <c r="I235" s="36"/>
      <c r="L235" s="105"/>
      <c r="M235" s="105"/>
      <c r="N235" s="36"/>
    </row>
    <row r="236" spans="1:14" s="37" customFormat="1" ht="15.75" customHeight="1" x14ac:dyDescent="0.25">
      <c r="A236" s="42">
        <f t="shared" si="28"/>
        <v>4</v>
      </c>
      <c r="B236" s="42" t="s">
        <v>198</v>
      </c>
      <c r="C236" s="42" t="s">
        <v>189</v>
      </c>
      <c r="D236" s="55">
        <f>(39.86+2.08*0.9+0.75*(3.745+2.245))*(10.764)</f>
        <v>497.56051799999995</v>
      </c>
      <c r="E236" s="42">
        <v>0</v>
      </c>
      <c r="F236" s="42">
        <f t="shared" si="29"/>
        <v>746.34077699999989</v>
      </c>
      <c r="G236" s="82"/>
      <c r="H236" s="83"/>
      <c r="I236" s="36"/>
      <c r="J236" s="37">
        <f>4500000/F236</f>
        <v>6029.4173099964501</v>
      </c>
      <c r="L236" s="105"/>
      <c r="M236" s="105"/>
      <c r="N236" s="36"/>
    </row>
    <row r="237" spans="1:14" s="37" customFormat="1" ht="15.75" customHeight="1" x14ac:dyDescent="0.25">
      <c r="A237" s="42">
        <f t="shared" si="28"/>
        <v>5</v>
      </c>
      <c r="B237" s="42" t="s">
        <v>198</v>
      </c>
      <c r="C237" s="42" t="s">
        <v>189</v>
      </c>
      <c r="D237" s="55">
        <f>(39.86+2.08*0.9+0.75*(3.745+2.25))*(10.764)</f>
        <v>497.60088300000001</v>
      </c>
      <c r="E237" s="42">
        <v>0</v>
      </c>
      <c r="F237" s="42">
        <f t="shared" si="29"/>
        <v>746.40132449999999</v>
      </c>
      <c r="G237" s="82"/>
      <c r="H237" s="83"/>
      <c r="I237" s="36"/>
      <c r="L237" s="105"/>
      <c r="M237" s="105"/>
      <c r="N237" s="36"/>
    </row>
    <row r="238" spans="1:14" s="37" customFormat="1" ht="15.75" customHeight="1" x14ac:dyDescent="0.25">
      <c r="A238" s="42">
        <f t="shared" si="28"/>
        <v>6</v>
      </c>
      <c r="B238" s="42" t="s">
        <v>198</v>
      </c>
      <c r="C238" s="42" t="s">
        <v>189</v>
      </c>
      <c r="D238" s="55">
        <f>(38.39+2.1*0.9+0.75*(2.585+2.97))*(10.764)</f>
        <v>478.41943499999996</v>
      </c>
      <c r="E238" s="42">
        <v>0</v>
      </c>
      <c r="F238" s="42">
        <f t="shared" si="29"/>
        <v>717.62915249999992</v>
      </c>
      <c r="G238" s="84"/>
      <c r="H238" s="85"/>
      <c r="I238" s="36"/>
      <c r="L238" s="105"/>
      <c r="M238" s="105"/>
      <c r="N238" s="36"/>
    </row>
    <row r="239" spans="1:14" s="37" customFormat="1" x14ac:dyDescent="0.25">
      <c r="A239" s="89" t="s">
        <v>222</v>
      </c>
      <c r="B239" s="90"/>
      <c r="C239" s="90"/>
      <c r="D239" s="90"/>
      <c r="E239" s="90"/>
      <c r="F239" s="90"/>
      <c r="G239" s="90"/>
      <c r="H239" s="91"/>
      <c r="I239" s="59">
        <v>4</v>
      </c>
      <c r="J239" s="36"/>
    </row>
    <row r="240" spans="1:14" s="37" customFormat="1" ht="15.75" customHeight="1" x14ac:dyDescent="0.25">
      <c r="A240" s="42">
        <v>1</v>
      </c>
      <c r="B240" s="42" t="s">
        <v>198</v>
      </c>
      <c r="C240" s="42" t="s">
        <v>189</v>
      </c>
      <c r="D240" s="55">
        <f>(34.25+2.1*0.9+0.75*(2.245+2.88))*(10.764)</f>
        <v>430.385085</v>
      </c>
      <c r="E240" s="42">
        <v>0</v>
      </c>
      <c r="F240" s="42">
        <f>D240*(($F$166)+1)+(IF(E240&lt;101,E240,IF(E240&lt;201,E240/2,IF(E240&lt;=301,E240/3,E240/4))))</f>
        <v>645.57762750000006</v>
      </c>
      <c r="G240" s="80" t="str">
        <f>A239</f>
        <v>23rd Floor (Part Refuge Area)</v>
      </c>
      <c r="H240" s="81"/>
      <c r="I240" s="36">
        <f>2.82*4.55+2.25*2.16+2.1*2.35+1.2*2+3.15*3.05+1.2*2.25+0.9*1.4</f>
        <v>38.593499999999999</v>
      </c>
      <c r="J240" s="37">
        <f>4500000/F240</f>
        <v>6970.5017774953785</v>
      </c>
      <c r="L240" s="105"/>
      <c r="M240" s="105"/>
      <c r="N240" s="36"/>
    </row>
    <row r="241" spans="1:14" s="37" customFormat="1" ht="15.75" customHeight="1" x14ac:dyDescent="0.25">
      <c r="A241" s="42">
        <f t="shared" ref="A241:A245" si="30">A240+1</f>
        <v>2</v>
      </c>
      <c r="B241" s="42" t="s">
        <v>198</v>
      </c>
      <c r="C241" s="42" t="s">
        <v>189</v>
      </c>
      <c r="D241" s="55">
        <f>(35.37+2.1*0.9+0.75*(2.245+3.05))*(10.764)</f>
        <v>443.81317499999994</v>
      </c>
      <c r="E241" s="42">
        <v>0</v>
      </c>
      <c r="F241" s="42">
        <f>D241*(($F$166)+1)+(IF(E241&lt;101,E241,IF(E241&lt;201,E241/2,IF(E241&lt;=301,E241/3,E241/4))))</f>
        <v>665.71976249999989</v>
      </c>
      <c r="G241" s="82"/>
      <c r="H241" s="83"/>
      <c r="I241" s="36"/>
      <c r="L241" s="105"/>
      <c r="M241" s="105"/>
      <c r="N241" s="36"/>
    </row>
    <row r="242" spans="1:14" s="37" customFormat="1" ht="15.75" customHeight="1" x14ac:dyDescent="0.25">
      <c r="A242" s="42">
        <f t="shared" si="30"/>
        <v>3</v>
      </c>
      <c r="B242" s="98" t="s">
        <v>192</v>
      </c>
      <c r="C242" s="99"/>
      <c r="D242" s="99"/>
      <c r="E242" s="99"/>
      <c r="F242" s="100"/>
      <c r="G242" s="82"/>
      <c r="H242" s="83"/>
      <c r="I242" s="36"/>
      <c r="L242" s="105"/>
      <c r="M242" s="105"/>
      <c r="N242" s="36"/>
    </row>
    <row r="243" spans="1:14" s="37" customFormat="1" ht="15.75" customHeight="1" x14ac:dyDescent="0.25">
      <c r="A243" s="42">
        <f t="shared" si="30"/>
        <v>4</v>
      </c>
      <c r="B243" s="42" t="s">
        <v>198</v>
      </c>
      <c r="C243" s="42" t="s">
        <v>225</v>
      </c>
      <c r="D243" s="55">
        <f>(46.42+2.08*0.9+0.75*(2.245+2.33+3.745))*(10.764)</f>
        <v>586.98244799999998</v>
      </c>
      <c r="E243" s="42">
        <v>0</v>
      </c>
      <c r="F243" s="42">
        <f t="shared" ref="F243:F245" si="31">D243*(($F$166)+1)+(IF(E243&lt;101,E243,IF(E243&lt;201,E243/2,IF(E243&lt;=301,E243/3,E243/4))))</f>
        <v>880.47367199999997</v>
      </c>
      <c r="G243" s="82"/>
      <c r="H243" s="83"/>
      <c r="I243" s="36"/>
      <c r="J243" s="37">
        <f>4500000/F243</f>
        <v>5110.8853598975074</v>
      </c>
      <c r="L243" s="105"/>
      <c r="M243" s="105"/>
      <c r="N243" s="36"/>
    </row>
    <row r="244" spans="1:14" s="37" customFormat="1" ht="15.75" customHeight="1" x14ac:dyDescent="0.25">
      <c r="A244" s="42">
        <f t="shared" si="30"/>
        <v>5</v>
      </c>
      <c r="B244" s="42" t="s">
        <v>198</v>
      </c>
      <c r="C244" s="42" t="s">
        <v>189</v>
      </c>
      <c r="D244" s="55">
        <f>(39.86+2.08*0.9+0.75*(3.745+2.25))*(10.764)</f>
        <v>497.60088300000001</v>
      </c>
      <c r="E244" s="42">
        <v>0</v>
      </c>
      <c r="F244" s="42">
        <f t="shared" si="31"/>
        <v>746.40132449999999</v>
      </c>
      <c r="G244" s="82"/>
      <c r="H244" s="83"/>
      <c r="I244" s="36"/>
      <c r="L244" s="105"/>
      <c r="M244" s="105"/>
      <c r="N244" s="36"/>
    </row>
    <row r="245" spans="1:14" s="37" customFormat="1" ht="15.75" customHeight="1" x14ac:dyDescent="0.25">
      <c r="A245" s="42">
        <f t="shared" si="30"/>
        <v>6</v>
      </c>
      <c r="B245" s="42" t="s">
        <v>198</v>
      </c>
      <c r="C245" s="42" t="s">
        <v>189</v>
      </c>
      <c r="D245" s="55">
        <f>(38.39+2.1*0.9+0.75*(2.585+2.97))*(10.764)</f>
        <v>478.41943499999996</v>
      </c>
      <c r="E245" s="42">
        <v>0</v>
      </c>
      <c r="F245" s="42">
        <f t="shared" si="31"/>
        <v>717.62915249999992</v>
      </c>
      <c r="G245" s="84"/>
      <c r="H245" s="85"/>
      <c r="I245" s="36"/>
      <c r="L245" s="105"/>
      <c r="M245" s="105"/>
      <c r="N245" s="36"/>
    </row>
    <row r="246" spans="1:14" s="37" customFormat="1" x14ac:dyDescent="0.25">
      <c r="A246" s="95" t="s">
        <v>191</v>
      </c>
      <c r="B246" s="96"/>
      <c r="C246" s="96"/>
      <c r="D246" s="96"/>
      <c r="E246" s="96"/>
      <c r="F246" s="96"/>
      <c r="G246" s="96"/>
      <c r="H246" s="97"/>
      <c r="J246" s="36"/>
    </row>
    <row r="247" spans="1:14" s="37" customFormat="1" x14ac:dyDescent="0.25">
      <c r="A247" s="95" t="s">
        <v>187</v>
      </c>
      <c r="B247" s="96"/>
      <c r="C247" s="96"/>
      <c r="D247" s="96"/>
      <c r="E247" s="96"/>
      <c r="F247" s="96"/>
      <c r="G247" s="96"/>
      <c r="H247" s="97"/>
      <c r="J247" s="36"/>
    </row>
    <row r="248" spans="1:14" s="37" customFormat="1" x14ac:dyDescent="0.25">
      <c r="A248" s="95" t="s">
        <v>250</v>
      </c>
      <c r="B248" s="96"/>
      <c r="C248" s="96"/>
      <c r="D248" s="96"/>
      <c r="E248" s="96"/>
      <c r="F248" s="96"/>
      <c r="G248" s="96"/>
      <c r="H248" s="97"/>
      <c r="J248" s="36"/>
      <c r="L248" s="55">
        <f>10.764</f>
        <v>10.763999999999999</v>
      </c>
    </row>
    <row r="249" spans="1:14" s="37" customFormat="1" ht="15.75" customHeight="1" x14ac:dyDescent="0.25">
      <c r="A249" s="42">
        <v>1</v>
      </c>
      <c r="B249" s="42" t="s">
        <v>198</v>
      </c>
      <c r="C249" s="42" t="s">
        <v>190</v>
      </c>
      <c r="D249" s="55">
        <f>(49.7+2.1*0.9+0.75*(2.76+3.6+2.22))*(10.764)</f>
        <v>624.58109999999999</v>
      </c>
      <c r="E249" s="42">
        <v>0</v>
      </c>
      <c r="F249" s="42">
        <f>D249*(($F$166)+1)+(IF(E249&lt;101,E249,IF(E249&lt;201,E249/2,IF(E249&lt;=301,E249/3,E249/4))))</f>
        <v>936.87165000000005</v>
      </c>
      <c r="G249" s="80" t="str">
        <f>A247</f>
        <v>1st &amp; 2nd Podium Floor For Parking</v>
      </c>
      <c r="H249" s="81"/>
      <c r="I249" s="36">
        <f>2.82*4.55+2.25*2.16+2.1*2.35+1.2*2+3.15*3.05+1.2*2.25+0.9*1.4</f>
        <v>38.593499999999999</v>
      </c>
      <c r="J249" s="37">
        <f>6000000/F249</f>
        <v>6404.2924129468529</v>
      </c>
      <c r="L249" s="105"/>
      <c r="M249" s="105"/>
      <c r="N249" s="36"/>
    </row>
    <row r="250" spans="1:14" s="37" customFormat="1" ht="15.75" customHeight="1" x14ac:dyDescent="0.25">
      <c r="A250" s="42">
        <f t="shared" ref="A250:A255" si="32">A249+1</f>
        <v>2</v>
      </c>
      <c r="B250" s="98" t="s">
        <v>223</v>
      </c>
      <c r="C250" s="99"/>
      <c r="D250" s="99"/>
      <c r="E250" s="99"/>
      <c r="F250" s="100"/>
      <c r="G250" s="82"/>
      <c r="H250" s="83"/>
      <c r="I250" s="36"/>
      <c r="J250" s="36">
        <f>468*1.46</f>
        <v>683.28</v>
      </c>
      <c r="L250" s="105"/>
      <c r="M250" s="105"/>
      <c r="N250" s="36"/>
    </row>
    <row r="251" spans="1:14" s="37" customFormat="1" ht="15.75" customHeight="1" x14ac:dyDescent="0.25">
      <c r="A251" s="42">
        <f t="shared" si="32"/>
        <v>3</v>
      </c>
      <c r="B251" s="98" t="s">
        <v>224</v>
      </c>
      <c r="C251" s="99"/>
      <c r="D251" s="99"/>
      <c r="E251" s="99"/>
      <c r="F251" s="100"/>
      <c r="G251" s="82"/>
      <c r="H251" s="83"/>
      <c r="I251" s="36"/>
      <c r="L251" s="105"/>
      <c r="M251" s="105"/>
      <c r="N251" s="36"/>
    </row>
    <row r="252" spans="1:14" s="37" customFormat="1" ht="15.75" customHeight="1" x14ac:dyDescent="0.25">
      <c r="A252" s="42">
        <f t="shared" si="32"/>
        <v>4</v>
      </c>
      <c r="B252" s="42" t="s">
        <v>198</v>
      </c>
      <c r="C252" s="42" t="s">
        <v>190</v>
      </c>
      <c r="D252" s="55">
        <f>(49.42+2.1*0.9+0.75*(2.25+2.75+2.75))*(10.764)</f>
        <v>614.86658999999997</v>
      </c>
      <c r="E252" s="42">
        <v>0</v>
      </c>
      <c r="F252" s="42">
        <f>D252*(($F$166)+1)+(IF(E252&lt;101,E252,IF(E252&lt;201,E252/2,IF(E252&lt;=301,E252/3,E252/4))))</f>
        <v>922.2998849999999</v>
      </c>
      <c r="G252" s="82"/>
      <c r="H252" s="83"/>
      <c r="I252" s="36"/>
      <c r="L252" s="105"/>
      <c r="M252" s="105"/>
      <c r="N252" s="36"/>
    </row>
    <row r="253" spans="1:14" s="37" customFormat="1" ht="15.75" customHeight="1" x14ac:dyDescent="0.25">
      <c r="A253" s="42">
        <f t="shared" si="32"/>
        <v>5</v>
      </c>
      <c r="B253" s="42" t="s">
        <v>198</v>
      </c>
      <c r="C253" s="42" t="s">
        <v>189</v>
      </c>
      <c r="D253" s="55">
        <f>(40.33+2.1*0.9+0.75*(2.25+3.745))*(10.764)</f>
        <v>502.85371499999997</v>
      </c>
      <c r="E253" s="42">
        <v>0</v>
      </c>
      <c r="F253" s="42">
        <f t="shared" ref="F253:F255" si="33">D253*(($F$166)+1)+(IF(E253&lt;101,E253,IF(E253&lt;201,E253/2,IF(E253&lt;=301,E253/3,E253/4))))</f>
        <v>754.28057249999995</v>
      </c>
      <c r="G253" s="82"/>
      <c r="H253" s="83"/>
      <c r="I253" s="36"/>
      <c r="L253" s="105"/>
      <c r="M253" s="105"/>
      <c r="N253" s="36"/>
    </row>
    <row r="254" spans="1:14" s="37" customFormat="1" ht="15.75" customHeight="1" x14ac:dyDescent="0.25">
      <c r="A254" s="42">
        <f t="shared" si="32"/>
        <v>6</v>
      </c>
      <c r="B254" s="42" t="s">
        <v>198</v>
      </c>
      <c r="C254" s="42" t="s">
        <v>189</v>
      </c>
      <c r="D254" s="55">
        <f>(40.33+2.1*0.9+0.75*(2.25+3.745))*(10.764)</f>
        <v>502.85371499999997</v>
      </c>
      <c r="E254" s="42">
        <v>0</v>
      </c>
      <c r="F254" s="42">
        <f t="shared" si="33"/>
        <v>754.28057249999995</v>
      </c>
      <c r="G254" s="82"/>
      <c r="H254" s="83"/>
      <c r="I254" s="36"/>
      <c r="L254" s="105"/>
      <c r="M254" s="105"/>
      <c r="N254" s="36"/>
    </row>
    <row r="255" spans="1:14" s="37" customFormat="1" ht="15.75" customHeight="1" x14ac:dyDescent="0.25">
      <c r="A255" s="42">
        <f t="shared" si="32"/>
        <v>7</v>
      </c>
      <c r="B255" s="42" t="s">
        <v>198</v>
      </c>
      <c r="C255" s="42" t="s">
        <v>190</v>
      </c>
      <c r="D255" s="55">
        <f>(49.6+2.1*0.9+0.75*(2.25+2.75+2.75))*(10.764)</f>
        <v>616.80411000000004</v>
      </c>
      <c r="E255" s="42">
        <v>0</v>
      </c>
      <c r="F255" s="42">
        <f t="shared" si="33"/>
        <v>925.20616500000006</v>
      </c>
      <c r="G255" s="84"/>
      <c r="H255" s="85"/>
      <c r="I255" s="36"/>
      <c r="L255" s="105"/>
      <c r="M255" s="105"/>
      <c r="N255" s="36"/>
    </row>
    <row r="256" spans="1:14" s="37" customFormat="1" x14ac:dyDescent="0.25">
      <c r="A256" s="95" t="s">
        <v>214</v>
      </c>
      <c r="B256" s="96"/>
      <c r="C256" s="96"/>
      <c r="D256" s="96"/>
      <c r="E256" s="96"/>
      <c r="F256" s="96"/>
      <c r="G256" s="96"/>
      <c r="H256" s="97"/>
      <c r="J256" s="36"/>
    </row>
    <row r="257" spans="1:14" s="37" customFormat="1" ht="15.75" customHeight="1" x14ac:dyDescent="0.25">
      <c r="A257" s="42">
        <v>1</v>
      </c>
      <c r="B257" s="42" t="s">
        <v>198</v>
      </c>
      <c r="C257" s="42" t="s">
        <v>190</v>
      </c>
      <c r="D257" s="55">
        <f>(49.7+2.1*0.9+0.75*(2.76+3.6+2.22))*(10.764)</f>
        <v>624.58109999999999</v>
      </c>
      <c r="E257" s="42">
        <v>0</v>
      </c>
      <c r="F257" s="42">
        <f>D257*(($F$166)+1)+(IF(E257&lt;101,E257,IF(E257&lt;201,E257/2,IF(E257&lt;=301,E257/3,E257/4))))</f>
        <v>936.87165000000005</v>
      </c>
      <c r="G257" s="80" t="str">
        <f>A256</f>
        <v>2nd Floor</v>
      </c>
      <c r="H257" s="81"/>
      <c r="I257" s="36">
        <f>2.82*4.55+2.25*2.16+2.1*2.35+1.2*2+3.15*3.05+1.2*2.25+0.9*1.4</f>
        <v>38.593499999999999</v>
      </c>
      <c r="J257" s="37">
        <v>915</v>
      </c>
      <c r="K257" s="37">
        <f t="shared" ref="K257:K263" si="34">J257/D257</f>
        <v>1.4649818894615927</v>
      </c>
      <c r="L257" s="105"/>
      <c r="M257" s="105"/>
      <c r="N257" s="36"/>
    </row>
    <row r="258" spans="1:14" s="37" customFormat="1" ht="15.75" customHeight="1" x14ac:dyDescent="0.25">
      <c r="A258" s="42">
        <f t="shared" ref="A258:A263" si="35">A257+1</f>
        <v>2</v>
      </c>
      <c r="B258" s="42" t="s">
        <v>198</v>
      </c>
      <c r="C258" s="42" t="s">
        <v>189</v>
      </c>
      <c r="D258" s="55">
        <f>(39.84+2.1*0.9+0.75*(2.22+3.53))*(10.764)</f>
        <v>495.60147000000001</v>
      </c>
      <c r="E258" s="42">
        <v>0</v>
      </c>
      <c r="F258" s="42">
        <f t="shared" ref="F258:F263" si="36">D258*(($F$166)+1)+(IF(E258&lt;101,E258,IF(E258&lt;201,E258/2,IF(E258&lt;=301,E258/3,E258/4))))</f>
        <v>743.40220499999998</v>
      </c>
      <c r="G258" s="82"/>
      <c r="H258" s="83"/>
      <c r="I258" s="36"/>
      <c r="J258" s="37">
        <v>718</v>
      </c>
      <c r="K258" s="37">
        <f t="shared" si="34"/>
        <v>1.4487446939977802</v>
      </c>
      <c r="L258" s="105"/>
      <c r="M258" s="105"/>
      <c r="N258" s="36"/>
    </row>
    <row r="259" spans="1:14" s="37" customFormat="1" ht="15.75" customHeight="1" x14ac:dyDescent="0.25">
      <c r="A259" s="42">
        <f t="shared" si="35"/>
        <v>3</v>
      </c>
      <c r="B259" s="42" t="s">
        <v>199</v>
      </c>
      <c r="C259" s="42" t="s">
        <v>189</v>
      </c>
      <c r="D259" s="55">
        <f>(37.75+2.1*0.9+0.75*(2.02+2.78))*(10.764)</f>
        <v>465.43536</v>
      </c>
      <c r="E259" s="42">
        <v>0</v>
      </c>
      <c r="F259" s="42">
        <f t="shared" si="36"/>
        <v>698.15304000000003</v>
      </c>
      <c r="G259" s="82"/>
      <c r="H259" s="83"/>
      <c r="I259" s="36"/>
      <c r="J259" s="37">
        <v>718</v>
      </c>
      <c r="K259" s="37">
        <f t="shared" si="34"/>
        <v>1.5426417107630155</v>
      </c>
      <c r="L259" s="105"/>
      <c r="M259" s="105"/>
      <c r="N259" s="36"/>
    </row>
    <row r="260" spans="1:14" s="37" customFormat="1" ht="15.75" customHeight="1" x14ac:dyDescent="0.25">
      <c r="A260" s="42">
        <f t="shared" si="35"/>
        <v>4</v>
      </c>
      <c r="B260" s="42" t="s">
        <v>198</v>
      </c>
      <c r="C260" s="42" t="s">
        <v>190</v>
      </c>
      <c r="D260" s="55">
        <f>(49.42+2.1*0.9+0.75*(2.25+2.75+2.75))*(10.764)</f>
        <v>614.86658999999997</v>
      </c>
      <c r="E260" s="42">
        <v>0</v>
      </c>
      <c r="F260" s="42">
        <f t="shared" si="36"/>
        <v>922.2998849999999</v>
      </c>
      <c r="G260" s="82"/>
      <c r="H260" s="83"/>
      <c r="I260" s="36"/>
      <c r="J260" s="37">
        <v>915</v>
      </c>
      <c r="K260" s="37">
        <f t="shared" si="34"/>
        <v>1.4881276928707414</v>
      </c>
      <c r="L260" s="105"/>
      <c r="M260" s="105"/>
      <c r="N260" s="36"/>
    </row>
    <row r="261" spans="1:14" s="37" customFormat="1" ht="15.75" customHeight="1" x14ac:dyDescent="0.25">
      <c r="A261" s="42">
        <f t="shared" si="35"/>
        <v>5</v>
      </c>
      <c r="B261" s="42" t="s">
        <v>198</v>
      </c>
      <c r="C261" s="42" t="s">
        <v>189</v>
      </c>
      <c r="D261" s="55">
        <f>(40.33+2.1*0.9+0.75*(2.25+3.745))*(10.764)</f>
        <v>502.85371499999997</v>
      </c>
      <c r="E261" s="42">
        <v>0</v>
      </c>
      <c r="F261" s="42">
        <f>D261*(($F$166)+1)+(IF(E261&lt;101,E261,IF(E261&lt;201,E261/2,IF(E261&lt;=301,E261/3,E261/4))))</f>
        <v>754.28057249999995</v>
      </c>
      <c r="G261" s="82"/>
      <c r="H261" s="83"/>
      <c r="I261" s="36"/>
      <c r="J261" s="37">
        <v>718</v>
      </c>
      <c r="K261" s="37">
        <f t="shared" si="34"/>
        <v>1.4278506424080013</v>
      </c>
      <c r="L261" s="105"/>
      <c r="M261" s="105"/>
      <c r="N261" s="36"/>
    </row>
    <row r="262" spans="1:14" s="37" customFormat="1" ht="15.75" customHeight="1" x14ac:dyDescent="0.25">
      <c r="A262" s="42">
        <f t="shared" si="35"/>
        <v>6</v>
      </c>
      <c r="B262" s="42" t="s">
        <v>198</v>
      </c>
      <c r="C262" s="42" t="s">
        <v>189</v>
      </c>
      <c r="D262" s="55">
        <f>(40.33+2.1*0.9+0.75*(2.25+3.745))*(10.764)</f>
        <v>502.85371499999997</v>
      </c>
      <c r="E262" s="42">
        <v>0</v>
      </c>
      <c r="F262" s="42">
        <f t="shared" si="36"/>
        <v>754.28057249999995</v>
      </c>
      <c r="G262" s="82"/>
      <c r="H262" s="83"/>
      <c r="I262" s="36"/>
      <c r="J262" s="37">
        <v>718</v>
      </c>
      <c r="K262" s="37">
        <f t="shared" si="34"/>
        <v>1.4278506424080013</v>
      </c>
      <c r="L262" s="105"/>
      <c r="M262" s="105"/>
      <c r="N262" s="36"/>
    </row>
    <row r="263" spans="1:14" s="37" customFormat="1" ht="15.75" customHeight="1" x14ac:dyDescent="0.25">
      <c r="A263" s="42">
        <f t="shared" si="35"/>
        <v>7</v>
      </c>
      <c r="B263" s="42" t="s">
        <v>198</v>
      </c>
      <c r="C263" s="42" t="s">
        <v>190</v>
      </c>
      <c r="D263" s="55">
        <f>(49.6+2.1*0.9+0.75*(2.25+2.75+2.75))*(10.764)</f>
        <v>616.80411000000004</v>
      </c>
      <c r="E263" s="42">
        <v>0</v>
      </c>
      <c r="F263" s="42">
        <f t="shared" si="36"/>
        <v>925.20616500000006</v>
      </c>
      <c r="G263" s="84"/>
      <c r="H263" s="85"/>
      <c r="I263" s="36"/>
      <c r="J263" s="37">
        <v>915</v>
      </c>
      <c r="K263" s="37">
        <f t="shared" si="34"/>
        <v>1.483453150141947</v>
      </c>
      <c r="L263" s="105"/>
      <c r="M263" s="105"/>
      <c r="N263" s="36"/>
    </row>
    <row r="264" spans="1:14" s="37" customFormat="1" x14ac:dyDescent="0.25">
      <c r="A264" s="95" t="s">
        <v>215</v>
      </c>
      <c r="B264" s="96"/>
      <c r="C264" s="96"/>
      <c r="D264" s="96"/>
      <c r="E264" s="96"/>
      <c r="F264" s="96"/>
      <c r="G264" s="96"/>
      <c r="H264" s="97"/>
      <c r="J264" s="36"/>
    </row>
    <row r="265" spans="1:14" s="37" customFormat="1" ht="15.75" customHeight="1" x14ac:dyDescent="0.25">
      <c r="A265" s="42">
        <v>1</v>
      </c>
      <c r="B265" s="42" t="s">
        <v>198</v>
      </c>
      <c r="C265" s="42" t="s">
        <v>190</v>
      </c>
      <c r="D265" s="55">
        <f>(49.7+2.1*0.9+0.75*(2.76+3.6+2.22))*(10.764)</f>
        <v>624.58109999999999</v>
      </c>
      <c r="E265" s="42">
        <v>0</v>
      </c>
      <c r="F265" s="42">
        <f>D265*(($F$166)+1)+(IF(E265&lt;101,E265,IF(E265&lt;201,E265/2,IF(E265&lt;=301,E265/3,E265/4))))</f>
        <v>936.87165000000005</v>
      </c>
      <c r="G265" s="80" t="str">
        <f>A264</f>
        <v>3rd Floor (Part Refuge Area)</v>
      </c>
      <c r="H265" s="81"/>
      <c r="I265" s="36">
        <f>2.82*4.55+2.25*2.16+2.1*2.35+1.2*2+3.15*3.05+1.2*2.25+0.9*1.4</f>
        <v>38.593499999999999</v>
      </c>
      <c r="L265" s="105"/>
      <c r="M265" s="105"/>
      <c r="N265" s="36"/>
    </row>
    <row r="266" spans="1:14" s="37" customFormat="1" ht="15.75" customHeight="1" x14ac:dyDescent="0.25">
      <c r="A266" s="42">
        <v>2</v>
      </c>
      <c r="B266" s="42" t="s">
        <v>198</v>
      </c>
      <c r="C266" s="42" t="s">
        <v>189</v>
      </c>
      <c r="D266" s="55">
        <f>(39.84+2.1*0.9+0.75*(2.22+3.53))*(10.764)</f>
        <v>495.60147000000001</v>
      </c>
      <c r="E266" s="42">
        <v>0</v>
      </c>
      <c r="F266" s="42">
        <f t="shared" ref="F266" si="37">D266*(($F$166)+1)+(IF(E266&lt;101,E266,IF(E266&lt;201,E266/2,IF(E266&lt;=301,E266/3,E266/4))))</f>
        <v>743.40220499999998</v>
      </c>
      <c r="G266" s="82"/>
      <c r="H266" s="83"/>
      <c r="I266" s="36"/>
      <c r="L266" s="105"/>
      <c r="M266" s="105"/>
      <c r="N266" s="36"/>
    </row>
    <row r="267" spans="1:14" s="37" customFormat="1" ht="15.75" customHeight="1" x14ac:dyDescent="0.25">
      <c r="A267" s="42">
        <v>3</v>
      </c>
      <c r="B267" s="42" t="s">
        <v>199</v>
      </c>
      <c r="C267" s="42" t="s">
        <v>189</v>
      </c>
      <c r="D267" s="55">
        <f>(37.75+2.1*0.9+0.75*(2.02+2.78))*(10.764)</f>
        <v>465.43536</v>
      </c>
      <c r="E267" s="42">
        <v>0</v>
      </c>
      <c r="F267" s="42">
        <f>D267*(($F$166)+1)+(IF(E267&lt;101,E267,IF(E267&lt;201,E267/2,IF(E267&lt;=301,E267/3,E267/4))))</f>
        <v>698.15304000000003</v>
      </c>
      <c r="G267" s="82"/>
      <c r="H267" s="83"/>
      <c r="I267" s="36"/>
      <c r="L267" s="105"/>
      <c r="M267" s="105"/>
      <c r="N267" s="36"/>
    </row>
    <row r="268" spans="1:14" s="37" customFormat="1" ht="15.75" customHeight="1" x14ac:dyDescent="0.25">
      <c r="A268" s="42">
        <v>4</v>
      </c>
      <c r="B268" s="98" t="s">
        <v>192</v>
      </c>
      <c r="C268" s="99"/>
      <c r="D268" s="99"/>
      <c r="E268" s="99"/>
      <c r="F268" s="100"/>
      <c r="G268" s="82"/>
      <c r="H268" s="83"/>
      <c r="I268" s="36"/>
      <c r="L268" s="105"/>
      <c r="M268" s="105"/>
      <c r="N268" s="36"/>
    </row>
    <row r="269" spans="1:14" s="37" customFormat="1" ht="15.75" customHeight="1" x14ac:dyDescent="0.25">
      <c r="A269" s="42">
        <v>5</v>
      </c>
      <c r="B269" s="42" t="s">
        <v>198</v>
      </c>
      <c r="C269" s="42" t="s">
        <v>189</v>
      </c>
      <c r="D269" s="55">
        <f>(40.33+2.1*0.9+0.75*(2.25+3.745))*(10.764)</f>
        <v>502.85371499999997</v>
      </c>
      <c r="E269" s="42">
        <v>0</v>
      </c>
      <c r="F269" s="42">
        <f>D269*(($F$166)+1)+(IF(E269&lt;101,E269,IF(E269&lt;201,E269/2,IF(E269&lt;=301,E269/3,E269/4))))</f>
        <v>754.28057249999995</v>
      </c>
      <c r="G269" s="82"/>
      <c r="H269" s="83"/>
      <c r="I269" s="36"/>
      <c r="L269" s="105"/>
      <c r="M269" s="105"/>
      <c r="N269" s="36"/>
    </row>
    <row r="270" spans="1:14" s="37" customFormat="1" ht="15.75" customHeight="1" x14ac:dyDescent="0.25">
      <c r="A270" s="42">
        <v>6</v>
      </c>
      <c r="B270" s="42" t="s">
        <v>198</v>
      </c>
      <c r="C270" s="42" t="s">
        <v>189</v>
      </c>
      <c r="D270" s="55">
        <f>(40.33+2.1*0.9+0.75*(2.25+3.745))*(10.764)</f>
        <v>502.85371499999997</v>
      </c>
      <c r="E270" s="42">
        <v>0</v>
      </c>
      <c r="F270" s="42">
        <f t="shared" ref="F270" si="38">D270*(($F$166)+1)+(IF(E270&lt;101,E270,IF(E270&lt;201,E270/2,IF(E270&lt;=301,E270/3,E270/4))))</f>
        <v>754.28057249999995</v>
      </c>
      <c r="G270" s="82"/>
      <c r="H270" s="83"/>
      <c r="I270" s="36"/>
      <c r="L270" s="105"/>
      <c r="M270" s="105"/>
      <c r="N270" s="36"/>
    </row>
    <row r="271" spans="1:14" s="37" customFormat="1" ht="15.75" customHeight="1" x14ac:dyDescent="0.25">
      <c r="A271" s="42">
        <v>7</v>
      </c>
      <c r="B271" s="42" t="s">
        <v>198</v>
      </c>
      <c r="C271" s="42" t="s">
        <v>190</v>
      </c>
      <c r="D271" s="55">
        <f>(49.6+2.1*0.9+0.75*(2.25+2.75+2.75))*(10.764)</f>
        <v>616.80411000000004</v>
      </c>
      <c r="E271" s="42">
        <v>0</v>
      </c>
      <c r="F271" s="42">
        <f>D271*(($F$166)+1)+(IF(E271&lt;101,E271,IF(E271&lt;201,E271/2,IF(E271&lt;=301,E271/3,E271/4))))</f>
        <v>925.20616500000006</v>
      </c>
      <c r="G271" s="84"/>
      <c r="H271" s="85"/>
      <c r="I271" s="36"/>
      <c r="L271" s="105"/>
      <c r="M271" s="105"/>
      <c r="N271" s="36"/>
    </row>
    <row r="272" spans="1:14" s="37" customFormat="1" x14ac:dyDescent="0.25">
      <c r="A272" s="95" t="s">
        <v>216</v>
      </c>
      <c r="B272" s="96"/>
      <c r="C272" s="96"/>
      <c r="D272" s="96"/>
      <c r="E272" s="96"/>
      <c r="F272" s="96"/>
      <c r="G272" s="96"/>
      <c r="H272" s="97"/>
      <c r="J272" s="36"/>
    </row>
    <row r="273" spans="1:14" s="37" customFormat="1" ht="15.75" customHeight="1" x14ac:dyDescent="0.25">
      <c r="A273" s="42">
        <v>1</v>
      </c>
      <c r="B273" s="42" t="s">
        <v>198</v>
      </c>
      <c r="C273" s="42" t="s">
        <v>190</v>
      </c>
      <c r="D273" s="55">
        <f>(49.7+2.1*0.9+0.75*(2.76+3.6+2.22))*(10.764)</f>
        <v>624.58109999999999</v>
      </c>
      <c r="E273" s="42">
        <v>0</v>
      </c>
      <c r="F273" s="42">
        <f>D273*(($F$166)+1)+(IF(E273&lt;101,E273,IF(E273&lt;201,E273/2,IF(E273&lt;=301,E273/3,E273/4))))</f>
        <v>936.87165000000005</v>
      </c>
      <c r="G273" s="80" t="str">
        <f>A272</f>
        <v>4th to 6th Floor</v>
      </c>
      <c r="H273" s="81"/>
      <c r="I273" s="36">
        <f>2.82*4.55+2.25*2.16+2.1*2.35+1.2*2+3.15*3.05+1.2*2.25+0.9*1.4</f>
        <v>38.593499999999999</v>
      </c>
      <c r="J273" s="37">
        <v>915</v>
      </c>
      <c r="K273" s="37">
        <f t="shared" ref="K273:K279" si="39">J273/D273</f>
        <v>1.4649818894615927</v>
      </c>
      <c r="L273" s="105"/>
      <c r="M273" s="105"/>
      <c r="N273" s="36"/>
    </row>
    <row r="274" spans="1:14" s="37" customFormat="1" ht="15.75" customHeight="1" x14ac:dyDescent="0.25">
      <c r="A274" s="42">
        <f t="shared" ref="A274:A279" si="40">A273+1</f>
        <v>2</v>
      </c>
      <c r="B274" s="42" t="s">
        <v>198</v>
      </c>
      <c r="C274" s="42" t="s">
        <v>189</v>
      </c>
      <c r="D274" s="55">
        <f>(39.84+2.1*0.9+0.75*(2.22+3.53))*(10.764)</f>
        <v>495.60147000000001</v>
      </c>
      <c r="E274" s="42">
        <v>0</v>
      </c>
      <c r="F274" s="42">
        <f t="shared" ref="F274" si="41">D274*(($F$166)+1)+(IF(E274&lt;101,E274,IF(E274&lt;201,E274/2,IF(E274&lt;=301,E274/3,E274/4))))</f>
        <v>743.40220499999998</v>
      </c>
      <c r="G274" s="82"/>
      <c r="H274" s="83"/>
      <c r="I274" s="36"/>
      <c r="J274" s="37">
        <v>718</v>
      </c>
      <c r="K274" s="37">
        <f t="shared" si="39"/>
        <v>1.4487446939977802</v>
      </c>
      <c r="L274" s="105"/>
      <c r="M274" s="105"/>
      <c r="N274" s="36"/>
    </row>
    <row r="275" spans="1:14" s="37" customFormat="1" ht="15.75" customHeight="1" x14ac:dyDescent="0.25">
      <c r="A275" s="42">
        <f t="shared" si="40"/>
        <v>3</v>
      </c>
      <c r="B275" s="42" t="s">
        <v>199</v>
      </c>
      <c r="C275" s="42" t="s">
        <v>189</v>
      </c>
      <c r="D275" s="55">
        <f>(37.75+2.1*0.9+0.75*(2.02+2.78))*(10.764)</f>
        <v>465.43536</v>
      </c>
      <c r="E275" s="42">
        <v>0</v>
      </c>
      <c r="F275" s="42">
        <f>D275*(($F$166)+1)+(IF(E275&lt;101,E275,IF(E275&lt;201,E275/2,IF(E275&lt;=301,E275/3,E275/4))))</f>
        <v>698.15304000000003</v>
      </c>
      <c r="G275" s="82"/>
      <c r="H275" s="83"/>
      <c r="I275" s="36"/>
      <c r="J275" s="37">
        <v>718</v>
      </c>
      <c r="K275" s="37">
        <f t="shared" si="39"/>
        <v>1.5426417107630155</v>
      </c>
      <c r="L275" s="105"/>
      <c r="M275" s="105"/>
      <c r="N275" s="36"/>
    </row>
    <row r="276" spans="1:14" s="37" customFormat="1" ht="15.75" customHeight="1" x14ac:dyDescent="0.25">
      <c r="A276" s="42">
        <f t="shared" si="40"/>
        <v>4</v>
      </c>
      <c r="B276" s="42" t="s">
        <v>198</v>
      </c>
      <c r="C276" s="42" t="s">
        <v>190</v>
      </c>
      <c r="D276" s="55">
        <f>(49.42+2.1*0.9+0.75*(2.25+2.75+2.75))*(10.764)</f>
        <v>614.86658999999997</v>
      </c>
      <c r="E276" s="42">
        <v>0</v>
      </c>
      <c r="F276" s="42">
        <f t="shared" ref="F276:F279" si="42">D276*(($F$166)+1)+(IF(E276&lt;101,E276,IF(E276&lt;201,E276/2,IF(E276&lt;=301,E276/3,E276/4))))</f>
        <v>922.2998849999999</v>
      </c>
      <c r="G276" s="82"/>
      <c r="H276" s="83"/>
      <c r="I276" s="36"/>
      <c r="J276" s="37">
        <v>915</v>
      </c>
      <c r="K276" s="37">
        <f t="shared" si="39"/>
        <v>1.4881276928707414</v>
      </c>
      <c r="L276" s="105"/>
      <c r="M276" s="105"/>
      <c r="N276" s="36"/>
    </row>
    <row r="277" spans="1:14" s="37" customFormat="1" ht="15.75" customHeight="1" x14ac:dyDescent="0.25">
      <c r="A277" s="42">
        <f t="shared" si="40"/>
        <v>5</v>
      </c>
      <c r="B277" s="42" t="s">
        <v>198</v>
      </c>
      <c r="C277" s="42" t="s">
        <v>189</v>
      </c>
      <c r="D277" s="55">
        <f>(40.33+2.1*0.9+0.75*(2.25+3.745))*(10.764)</f>
        <v>502.85371499999997</v>
      </c>
      <c r="E277" s="42">
        <v>0</v>
      </c>
      <c r="F277" s="42">
        <f t="shared" si="42"/>
        <v>754.28057249999995</v>
      </c>
      <c r="G277" s="82"/>
      <c r="H277" s="83"/>
      <c r="I277" s="36"/>
      <c r="J277" s="37">
        <v>718</v>
      </c>
      <c r="K277" s="37">
        <f t="shared" si="39"/>
        <v>1.4278506424080013</v>
      </c>
      <c r="L277" s="105"/>
      <c r="M277" s="105"/>
      <c r="N277" s="36"/>
    </row>
    <row r="278" spans="1:14" s="37" customFormat="1" ht="15.75" customHeight="1" x14ac:dyDescent="0.25">
      <c r="A278" s="42">
        <f t="shared" si="40"/>
        <v>6</v>
      </c>
      <c r="B278" s="42" t="s">
        <v>198</v>
      </c>
      <c r="C278" s="42" t="s">
        <v>189</v>
      </c>
      <c r="D278" s="55">
        <f>(40.33+2.1*0.9+0.75*(2.25+3.745))*(10.764)</f>
        <v>502.85371499999997</v>
      </c>
      <c r="E278" s="42">
        <v>0</v>
      </c>
      <c r="F278" s="42">
        <f t="shared" si="42"/>
        <v>754.28057249999995</v>
      </c>
      <c r="G278" s="82"/>
      <c r="H278" s="83"/>
      <c r="I278" s="36"/>
      <c r="J278" s="37">
        <v>718</v>
      </c>
      <c r="K278" s="37">
        <f t="shared" si="39"/>
        <v>1.4278506424080013</v>
      </c>
      <c r="L278" s="105"/>
      <c r="M278" s="105"/>
      <c r="N278" s="36"/>
    </row>
    <row r="279" spans="1:14" s="37" customFormat="1" ht="15.75" customHeight="1" x14ac:dyDescent="0.25">
      <c r="A279" s="42">
        <f t="shared" si="40"/>
        <v>7</v>
      </c>
      <c r="B279" s="42" t="s">
        <v>198</v>
      </c>
      <c r="C279" s="42" t="s">
        <v>190</v>
      </c>
      <c r="D279" s="55">
        <f>(49.6+2.1*0.9+0.75*(2.25+2.75+2.75))*(10.764)</f>
        <v>616.80411000000004</v>
      </c>
      <c r="E279" s="42">
        <v>0</v>
      </c>
      <c r="F279" s="42">
        <f t="shared" si="42"/>
        <v>925.20616500000006</v>
      </c>
      <c r="G279" s="84"/>
      <c r="H279" s="85"/>
      <c r="I279" s="36"/>
      <c r="J279" s="37">
        <v>915</v>
      </c>
      <c r="K279" s="37">
        <f t="shared" si="39"/>
        <v>1.483453150141947</v>
      </c>
      <c r="L279" s="105"/>
      <c r="M279" s="105"/>
      <c r="N279" s="36"/>
    </row>
    <row r="280" spans="1:14" s="37" customFormat="1" x14ac:dyDescent="0.25">
      <c r="A280" s="95" t="s">
        <v>217</v>
      </c>
      <c r="B280" s="96"/>
      <c r="C280" s="96"/>
      <c r="D280" s="96"/>
      <c r="E280" s="96"/>
      <c r="F280" s="96"/>
      <c r="G280" s="96"/>
      <c r="H280" s="97"/>
      <c r="J280" s="36"/>
    </row>
    <row r="281" spans="1:14" s="37" customFormat="1" ht="15.75" customHeight="1" x14ac:dyDescent="0.25">
      <c r="A281" s="42">
        <v>1</v>
      </c>
      <c r="B281" s="42" t="s">
        <v>198</v>
      </c>
      <c r="C281" s="42" t="s">
        <v>190</v>
      </c>
      <c r="D281" s="55">
        <f>(49.7+2.1*0.9+0.75*(2.76+3.6+2.22))*(10.764)</f>
        <v>624.58109999999999</v>
      </c>
      <c r="E281" s="42">
        <v>0</v>
      </c>
      <c r="F281" s="42">
        <f>D281*(($F$166)+1)+(IF(E281&lt;101,E281,IF(E281&lt;201,E281/2,IF(E281&lt;=301,E281/3,E281/4))))</f>
        <v>936.87165000000005</v>
      </c>
      <c r="G281" s="80" t="str">
        <f>A280</f>
        <v>7th, 11th &amp; 15th Floor (Part Refuge Area)</v>
      </c>
      <c r="H281" s="81"/>
      <c r="I281" s="36">
        <f>2.82*4.55+2.25*2.16+2.1*2.35+1.2*2+3.15*3.05+1.2*2.25+0.9*1.4</f>
        <v>38.593499999999999</v>
      </c>
      <c r="J281" s="37">
        <v>915</v>
      </c>
      <c r="K281" s="37">
        <f t="shared" ref="K281:K287" si="43">J281/D281</f>
        <v>1.4649818894615927</v>
      </c>
      <c r="L281" s="105"/>
      <c r="M281" s="105"/>
      <c r="N281" s="36"/>
    </row>
    <row r="282" spans="1:14" s="37" customFormat="1" ht="15.75" customHeight="1" x14ac:dyDescent="0.25">
      <c r="A282" s="42">
        <f t="shared" ref="A282:A287" si="44">A281+1</f>
        <v>2</v>
      </c>
      <c r="B282" s="42" t="s">
        <v>198</v>
      </c>
      <c r="C282" s="42" t="s">
        <v>189</v>
      </c>
      <c r="D282" s="55">
        <f>(39.84+2.1*0.9+0.75*(2.22+3.53))*(10.764)</f>
        <v>495.60147000000001</v>
      </c>
      <c r="E282" s="42">
        <v>0</v>
      </c>
      <c r="F282" s="42">
        <f t="shared" ref="F282" si="45">D282*(($F$166)+1)+(IF(E282&lt;101,E282,IF(E282&lt;201,E282/2,IF(E282&lt;=301,E282/3,E282/4))))</f>
        <v>743.40220499999998</v>
      </c>
      <c r="G282" s="82"/>
      <c r="H282" s="83"/>
      <c r="I282" s="36"/>
      <c r="J282" s="37">
        <v>718</v>
      </c>
      <c r="K282" s="37">
        <f t="shared" si="43"/>
        <v>1.4487446939977802</v>
      </c>
      <c r="L282" s="105"/>
      <c r="M282" s="105"/>
      <c r="N282" s="36"/>
    </row>
    <row r="283" spans="1:14" s="37" customFormat="1" ht="15.75" customHeight="1" x14ac:dyDescent="0.25">
      <c r="A283" s="42">
        <f t="shared" si="44"/>
        <v>3</v>
      </c>
      <c r="B283" s="42" t="s">
        <v>198</v>
      </c>
      <c r="C283" s="42" t="s">
        <v>189</v>
      </c>
      <c r="D283" s="55">
        <f>(37.75+2.1*0.9+0.75*(2.02+2.78))*(10.764)</f>
        <v>465.43536</v>
      </c>
      <c r="E283" s="42">
        <v>0</v>
      </c>
      <c r="F283" s="42">
        <f>D283*(($F$166)+1)+(IF(E283&lt;101,E283,IF(E283&lt;201,E283/2,IF(E283&lt;=301,E283/3,E283/4))))</f>
        <v>698.15304000000003</v>
      </c>
      <c r="G283" s="82"/>
      <c r="H283" s="83"/>
      <c r="I283" s="36"/>
      <c r="J283" s="37">
        <v>718</v>
      </c>
      <c r="K283" s="37">
        <f t="shared" si="43"/>
        <v>1.5426417107630155</v>
      </c>
      <c r="L283" s="105"/>
      <c r="M283" s="105"/>
      <c r="N283" s="36"/>
    </row>
    <row r="284" spans="1:14" s="37" customFormat="1" ht="15.75" customHeight="1" x14ac:dyDescent="0.25">
      <c r="A284" s="42">
        <f t="shared" si="44"/>
        <v>4</v>
      </c>
      <c r="B284" s="98" t="s">
        <v>192</v>
      </c>
      <c r="C284" s="99"/>
      <c r="D284" s="99"/>
      <c r="E284" s="99"/>
      <c r="F284" s="100"/>
      <c r="G284" s="82"/>
      <c r="H284" s="83"/>
      <c r="I284" s="36"/>
      <c r="J284" s="37">
        <v>915</v>
      </c>
      <c r="K284" s="37" t="e">
        <f t="shared" si="43"/>
        <v>#DIV/0!</v>
      </c>
      <c r="L284" s="105"/>
      <c r="M284" s="105"/>
      <c r="N284" s="36"/>
    </row>
    <row r="285" spans="1:14" s="37" customFormat="1" ht="15.75" customHeight="1" x14ac:dyDescent="0.25">
      <c r="A285" s="42">
        <f t="shared" si="44"/>
        <v>5</v>
      </c>
      <c r="B285" s="42" t="s">
        <v>198</v>
      </c>
      <c r="C285" s="42" t="s">
        <v>189</v>
      </c>
      <c r="D285" s="55">
        <f>(40.33+2.1*0.9+0.75*(2.25+3.745))*(10.764)</f>
        <v>502.85371499999997</v>
      </c>
      <c r="E285" s="42">
        <v>0</v>
      </c>
      <c r="F285" s="42">
        <f>D285*(($F$166)+1)+(IF(E285&lt;101,E285,IF(E285&lt;201,E285/2,IF(E285&lt;=301,E285/3,E285/4))))</f>
        <v>754.28057249999995</v>
      </c>
      <c r="G285" s="82"/>
      <c r="H285" s="83"/>
      <c r="I285" s="36"/>
      <c r="J285" s="37">
        <v>718</v>
      </c>
      <c r="K285" s="37">
        <f t="shared" si="43"/>
        <v>1.4278506424080013</v>
      </c>
      <c r="L285" s="105"/>
      <c r="M285" s="105"/>
      <c r="N285" s="36"/>
    </row>
    <row r="286" spans="1:14" s="37" customFormat="1" ht="15.75" customHeight="1" x14ac:dyDescent="0.25">
      <c r="A286" s="42">
        <f t="shared" si="44"/>
        <v>6</v>
      </c>
      <c r="B286" s="42" t="s">
        <v>198</v>
      </c>
      <c r="C286" s="42" t="s">
        <v>189</v>
      </c>
      <c r="D286" s="55">
        <f>(40.33+2.1*0.9+0.75*(2.25+3.745))*(10.764)</f>
        <v>502.85371499999997</v>
      </c>
      <c r="E286" s="42">
        <v>0</v>
      </c>
      <c r="F286" s="42">
        <f t="shared" ref="F286" si="46">D286*(($F$166)+1)+(IF(E286&lt;101,E286,IF(E286&lt;201,E286/2,IF(E286&lt;=301,E286/3,E286/4))))</f>
        <v>754.28057249999995</v>
      </c>
      <c r="G286" s="82"/>
      <c r="H286" s="83"/>
      <c r="I286" s="36"/>
      <c r="J286" s="37">
        <v>718</v>
      </c>
      <c r="K286" s="37">
        <f t="shared" si="43"/>
        <v>1.4278506424080013</v>
      </c>
      <c r="L286" s="105"/>
      <c r="M286" s="105"/>
      <c r="N286" s="36"/>
    </row>
    <row r="287" spans="1:14" s="37" customFormat="1" ht="15.75" customHeight="1" x14ac:dyDescent="0.25">
      <c r="A287" s="42">
        <f t="shared" si="44"/>
        <v>7</v>
      </c>
      <c r="B287" s="42" t="s">
        <v>198</v>
      </c>
      <c r="C287" s="42" t="s">
        <v>190</v>
      </c>
      <c r="D287" s="55">
        <f>(49.6+2.1*0.9+0.75*(2.25+2.75+2.75))*(10.764)</f>
        <v>616.80411000000004</v>
      </c>
      <c r="E287" s="42">
        <v>0</v>
      </c>
      <c r="F287" s="42">
        <f>D287*(($F$166)+1)+(IF(E287&lt;101,E287,IF(E287&lt;201,E287/2,IF(E287&lt;=301,E287/3,E287/4))))</f>
        <v>925.20616500000006</v>
      </c>
      <c r="G287" s="84"/>
      <c r="H287" s="85"/>
      <c r="I287" s="36"/>
      <c r="J287" s="37">
        <v>915</v>
      </c>
      <c r="K287" s="37">
        <f t="shared" si="43"/>
        <v>1.483453150141947</v>
      </c>
      <c r="L287" s="105"/>
      <c r="M287" s="105"/>
      <c r="N287" s="36"/>
    </row>
    <row r="288" spans="1:14" s="37" customFormat="1" x14ac:dyDescent="0.25">
      <c r="A288" s="95" t="s">
        <v>218</v>
      </c>
      <c r="B288" s="96"/>
      <c r="C288" s="96"/>
      <c r="D288" s="96"/>
      <c r="E288" s="96"/>
      <c r="F288" s="96"/>
      <c r="G288" s="96"/>
      <c r="H288" s="97"/>
      <c r="J288" s="36"/>
    </row>
    <row r="289" spans="1:14" s="37" customFormat="1" ht="15.75" customHeight="1" x14ac:dyDescent="0.25">
      <c r="A289" s="42">
        <v>1</v>
      </c>
      <c r="B289" s="42" t="s">
        <v>198</v>
      </c>
      <c r="C289" s="42" t="s">
        <v>190</v>
      </c>
      <c r="D289" s="55">
        <f>(49.7+2.1*0.9+0.75*(2.76+3.6+2.22))*(10.764)</f>
        <v>624.58109999999999</v>
      </c>
      <c r="E289" s="42">
        <v>0</v>
      </c>
      <c r="F289" s="42">
        <f>D289*(($F$166)+1)+(IF(E289&lt;101,E289,IF(E289&lt;201,E289/2,IF(E289&lt;=301,E289/3,E289/4))))</f>
        <v>936.87165000000005</v>
      </c>
      <c r="G289" s="80" t="str">
        <f>A288</f>
        <v>8th to 10th, 12th to 14th &amp; 16th Floor</v>
      </c>
      <c r="H289" s="81"/>
      <c r="I289" s="36">
        <f>2.82*4.55+2.25*2.16+2.1*2.35+1.2*2+3.15*3.05+1.2*2.25+0.9*1.4</f>
        <v>38.593499999999999</v>
      </c>
      <c r="J289" s="37">
        <v>915</v>
      </c>
      <c r="K289" s="37">
        <f t="shared" ref="K289:K295" si="47">J289/D289</f>
        <v>1.4649818894615927</v>
      </c>
      <c r="L289" s="105"/>
      <c r="M289" s="105"/>
      <c r="N289" s="36"/>
    </row>
    <row r="290" spans="1:14" s="37" customFormat="1" ht="15.75" customHeight="1" x14ac:dyDescent="0.25">
      <c r="A290" s="42">
        <f t="shared" ref="A290:A295" si="48">A289+1</f>
        <v>2</v>
      </c>
      <c r="B290" s="42" t="s">
        <v>198</v>
      </c>
      <c r="C290" s="42" t="s">
        <v>189</v>
      </c>
      <c r="D290" s="55">
        <f>(39.84+2.1*0.9+0.75*(2.22+3.53))*(10.764)</f>
        <v>495.60147000000001</v>
      </c>
      <c r="E290" s="42">
        <v>0</v>
      </c>
      <c r="F290" s="42">
        <f t="shared" ref="F290" si="49">D290*(($F$166)+1)+(IF(E290&lt;101,E290,IF(E290&lt;201,E290/2,IF(E290&lt;=301,E290/3,E290/4))))</f>
        <v>743.40220499999998</v>
      </c>
      <c r="G290" s="82"/>
      <c r="H290" s="83"/>
      <c r="I290" s="36"/>
      <c r="J290" s="37">
        <v>718</v>
      </c>
      <c r="K290" s="37">
        <f t="shared" si="47"/>
        <v>1.4487446939977802</v>
      </c>
      <c r="L290" s="105"/>
      <c r="M290" s="105"/>
      <c r="N290" s="36"/>
    </row>
    <row r="291" spans="1:14" s="37" customFormat="1" ht="15.75" customHeight="1" x14ac:dyDescent="0.25">
      <c r="A291" s="42">
        <f t="shared" si="48"/>
        <v>3</v>
      </c>
      <c r="B291" s="42" t="s">
        <v>198</v>
      </c>
      <c r="C291" s="42" t="s">
        <v>189</v>
      </c>
      <c r="D291" s="55">
        <f>(37.75+2.1*0.9+0.75*(2.02+2.78))*(10.764)</f>
        <v>465.43536</v>
      </c>
      <c r="E291" s="42">
        <v>0</v>
      </c>
      <c r="F291" s="42">
        <f>D291*(($F$166)+1)+(IF(E291&lt;101,E291,IF(E291&lt;201,E291/2,IF(E291&lt;=301,E291/3,E291/4))))</f>
        <v>698.15304000000003</v>
      </c>
      <c r="G291" s="82"/>
      <c r="H291" s="83"/>
      <c r="I291" s="36"/>
      <c r="J291" s="37">
        <v>718</v>
      </c>
      <c r="K291" s="37">
        <f t="shared" si="47"/>
        <v>1.5426417107630155</v>
      </c>
      <c r="L291" s="105"/>
      <c r="M291" s="105"/>
      <c r="N291" s="36"/>
    </row>
    <row r="292" spans="1:14" s="37" customFormat="1" ht="15.75" customHeight="1" x14ac:dyDescent="0.25">
      <c r="A292" s="42">
        <f t="shared" si="48"/>
        <v>4</v>
      </c>
      <c r="B292" s="42" t="s">
        <v>198</v>
      </c>
      <c r="C292" s="42" t="s">
        <v>190</v>
      </c>
      <c r="D292" s="55">
        <f>(49.42+2.1*0.9+0.75*(2.25+2.75+2.75))*(10.764)</f>
        <v>614.86658999999997</v>
      </c>
      <c r="E292" s="42">
        <v>0</v>
      </c>
      <c r="F292" s="42">
        <f t="shared" ref="F292:F295" si="50">D292*(($F$166)+1)+(IF(E292&lt;101,E292,IF(E292&lt;201,E292/2,IF(E292&lt;=301,E292/3,E292/4))))</f>
        <v>922.2998849999999</v>
      </c>
      <c r="G292" s="82"/>
      <c r="H292" s="83"/>
      <c r="I292" s="36"/>
      <c r="J292" s="37">
        <v>915</v>
      </c>
      <c r="K292" s="37">
        <f t="shared" si="47"/>
        <v>1.4881276928707414</v>
      </c>
      <c r="L292" s="105"/>
      <c r="M292" s="105"/>
      <c r="N292" s="36"/>
    </row>
    <row r="293" spans="1:14" s="37" customFormat="1" ht="15.75" customHeight="1" x14ac:dyDescent="0.25">
      <c r="A293" s="42">
        <f t="shared" si="48"/>
        <v>5</v>
      </c>
      <c r="B293" s="42" t="s">
        <v>198</v>
      </c>
      <c r="C293" s="42" t="s">
        <v>189</v>
      </c>
      <c r="D293" s="55">
        <f>(40.33+2.1*0.9+0.75*(2.25+3.745))*(10.764)</f>
        <v>502.85371499999997</v>
      </c>
      <c r="E293" s="42">
        <v>0</v>
      </c>
      <c r="F293" s="42">
        <f t="shared" si="50"/>
        <v>754.28057249999995</v>
      </c>
      <c r="G293" s="82"/>
      <c r="H293" s="83"/>
      <c r="I293" s="36"/>
      <c r="J293" s="37">
        <v>718</v>
      </c>
      <c r="K293" s="37">
        <f t="shared" si="47"/>
        <v>1.4278506424080013</v>
      </c>
      <c r="L293" s="105"/>
      <c r="M293" s="105"/>
      <c r="N293" s="36"/>
    </row>
    <row r="294" spans="1:14" s="37" customFormat="1" ht="15.75" customHeight="1" x14ac:dyDescent="0.25">
      <c r="A294" s="42">
        <f t="shared" si="48"/>
        <v>6</v>
      </c>
      <c r="B294" s="42" t="s">
        <v>198</v>
      </c>
      <c r="C294" s="42" t="s">
        <v>189</v>
      </c>
      <c r="D294" s="55">
        <f>(40.33+2.1*0.9+0.75*(2.25+3.745))*(10.764)</f>
        <v>502.85371499999997</v>
      </c>
      <c r="E294" s="42">
        <v>0</v>
      </c>
      <c r="F294" s="42">
        <f t="shared" si="50"/>
        <v>754.28057249999995</v>
      </c>
      <c r="G294" s="82"/>
      <c r="H294" s="83"/>
      <c r="I294" s="36"/>
      <c r="J294" s="37">
        <v>718</v>
      </c>
      <c r="K294" s="37">
        <f t="shared" si="47"/>
        <v>1.4278506424080013</v>
      </c>
      <c r="L294" s="105"/>
      <c r="M294" s="105"/>
      <c r="N294" s="36"/>
    </row>
    <row r="295" spans="1:14" s="37" customFormat="1" ht="15.75" customHeight="1" x14ac:dyDescent="0.25">
      <c r="A295" s="42">
        <f t="shared" si="48"/>
        <v>7</v>
      </c>
      <c r="B295" s="42" t="s">
        <v>198</v>
      </c>
      <c r="C295" s="42" t="s">
        <v>190</v>
      </c>
      <c r="D295" s="55">
        <f>(49.6+2.1*0.9+0.75*(2.25+2.75+2.75))*(10.764)</f>
        <v>616.80411000000004</v>
      </c>
      <c r="E295" s="42">
        <v>0</v>
      </c>
      <c r="F295" s="42">
        <f t="shared" si="50"/>
        <v>925.20616500000006</v>
      </c>
      <c r="G295" s="84"/>
      <c r="H295" s="85"/>
      <c r="I295" s="36"/>
      <c r="J295" s="37">
        <v>915</v>
      </c>
      <c r="K295" s="37">
        <f t="shared" si="47"/>
        <v>1.483453150141947</v>
      </c>
      <c r="L295" s="105"/>
      <c r="M295" s="105"/>
      <c r="N295" s="36"/>
    </row>
    <row r="296" spans="1:14" s="37" customFormat="1" x14ac:dyDescent="0.25">
      <c r="A296" s="95" t="s">
        <v>219</v>
      </c>
      <c r="B296" s="96"/>
      <c r="C296" s="96"/>
      <c r="D296" s="96"/>
      <c r="E296" s="96"/>
      <c r="F296" s="96"/>
      <c r="G296" s="96"/>
      <c r="H296" s="97"/>
      <c r="J296" s="36"/>
    </row>
    <row r="297" spans="1:14" s="37" customFormat="1" ht="15.75" customHeight="1" x14ac:dyDescent="0.25">
      <c r="A297" s="42">
        <v>1</v>
      </c>
      <c r="B297" s="42" t="s">
        <v>198</v>
      </c>
      <c r="C297" s="42" t="s">
        <v>190</v>
      </c>
      <c r="D297" s="55">
        <f>(49.7+2.1*0.9+0.75*(2.76+3.6+2.22))*(10.764)</f>
        <v>624.58109999999999</v>
      </c>
      <c r="E297" s="42">
        <v>0</v>
      </c>
      <c r="F297" s="42">
        <f>D297*(($F$166)+1)+(IF(E297&lt;101,E297,IF(E297&lt;201,E297/2,IF(E297&lt;=301,E297/3,E297/4))))</f>
        <v>936.87165000000005</v>
      </c>
      <c r="G297" s="80" t="str">
        <f>A296</f>
        <v>17th &amp; 18th Floor</v>
      </c>
      <c r="H297" s="81"/>
      <c r="I297" s="36">
        <f>2.82*4.55+2.25*2.16+2.1*2.35+1.2*2+3.15*3.05+1.2*2.25+0.9*1.4</f>
        <v>38.593499999999999</v>
      </c>
      <c r="J297" s="37">
        <v>915</v>
      </c>
      <c r="K297" s="37">
        <f t="shared" ref="K297:K303" si="51">J297/D297</f>
        <v>1.4649818894615927</v>
      </c>
      <c r="L297" s="105"/>
      <c r="M297" s="105"/>
      <c r="N297" s="36"/>
    </row>
    <row r="298" spans="1:14" s="37" customFormat="1" ht="15.75" customHeight="1" x14ac:dyDescent="0.25">
      <c r="A298" s="42">
        <f t="shared" ref="A298:A303" si="52">A297+1</f>
        <v>2</v>
      </c>
      <c r="B298" s="42" t="s">
        <v>198</v>
      </c>
      <c r="C298" s="42" t="s">
        <v>189</v>
      </c>
      <c r="D298" s="55">
        <f>(39.84+2.1*0.9+0.75*(2.22+3.53))*(10.764)</f>
        <v>495.60147000000001</v>
      </c>
      <c r="E298" s="42">
        <v>0</v>
      </c>
      <c r="F298" s="42">
        <f t="shared" ref="F298" si="53">D298*(($F$166)+1)+(IF(E298&lt;101,E298,IF(E298&lt;201,E298/2,IF(E298&lt;=301,E298/3,E298/4))))</f>
        <v>743.40220499999998</v>
      </c>
      <c r="G298" s="82"/>
      <c r="H298" s="83"/>
      <c r="I298" s="36"/>
      <c r="J298" s="37">
        <v>718</v>
      </c>
      <c r="K298" s="37">
        <f t="shared" si="51"/>
        <v>1.4487446939977802</v>
      </c>
      <c r="L298" s="105"/>
      <c r="M298" s="105"/>
      <c r="N298" s="36"/>
    </row>
    <row r="299" spans="1:14" s="37" customFormat="1" ht="15.75" customHeight="1" x14ac:dyDescent="0.25">
      <c r="A299" s="42">
        <f t="shared" si="52"/>
        <v>3</v>
      </c>
      <c r="B299" s="42" t="s">
        <v>198</v>
      </c>
      <c r="C299" s="42" t="s">
        <v>189</v>
      </c>
      <c r="D299" s="55">
        <f>(37.75+2.1*0.9+0.75*(2.02+2.78))*(10.764)</f>
        <v>465.43536</v>
      </c>
      <c r="E299" s="42">
        <v>0</v>
      </c>
      <c r="F299" s="42">
        <f>D299*(($F$166)+1)+(IF(E299&lt;101,E299,IF(E299&lt;201,E299/2,IF(E299&lt;=301,E299/3,E299/4))))</f>
        <v>698.15304000000003</v>
      </c>
      <c r="G299" s="82"/>
      <c r="H299" s="83"/>
      <c r="I299" s="36"/>
      <c r="J299" s="37">
        <v>718</v>
      </c>
      <c r="K299" s="37">
        <f t="shared" si="51"/>
        <v>1.5426417107630155</v>
      </c>
      <c r="L299" s="105"/>
      <c r="M299" s="105"/>
      <c r="N299" s="36"/>
    </row>
    <row r="300" spans="1:14" s="37" customFormat="1" ht="15.75" customHeight="1" x14ac:dyDescent="0.25">
      <c r="A300" s="42">
        <f t="shared" si="52"/>
        <v>4</v>
      </c>
      <c r="B300" s="42" t="s">
        <v>198</v>
      </c>
      <c r="C300" s="42" t="s">
        <v>190</v>
      </c>
      <c r="D300" s="55">
        <f>(49.42+2.1*0.9+0.75*(2.25+2.75+2.75))*(10.764)</f>
        <v>614.86658999999997</v>
      </c>
      <c r="E300" s="42">
        <v>0</v>
      </c>
      <c r="F300" s="42">
        <f t="shared" ref="F300:F303" si="54">D300*(($F$166)+1)+(IF(E300&lt;101,E300,IF(E300&lt;201,E300/2,IF(E300&lt;=301,E300/3,E300/4))))</f>
        <v>922.2998849999999</v>
      </c>
      <c r="G300" s="82"/>
      <c r="H300" s="83"/>
      <c r="I300" s="36"/>
      <c r="J300" s="37">
        <v>915</v>
      </c>
      <c r="K300" s="37">
        <f t="shared" si="51"/>
        <v>1.4881276928707414</v>
      </c>
      <c r="L300" s="105"/>
      <c r="M300" s="105"/>
      <c r="N300" s="36"/>
    </row>
    <row r="301" spans="1:14" s="37" customFormat="1" ht="15.75" customHeight="1" x14ac:dyDescent="0.25">
      <c r="A301" s="42">
        <f t="shared" si="52"/>
        <v>5</v>
      </c>
      <c r="B301" s="42" t="s">
        <v>198</v>
      </c>
      <c r="C301" s="42" t="s">
        <v>189</v>
      </c>
      <c r="D301" s="55">
        <f>(40.33+2.1*0.9+0.75*(2.25+3.745))*(10.764)</f>
        <v>502.85371499999997</v>
      </c>
      <c r="E301" s="42">
        <v>0</v>
      </c>
      <c r="F301" s="42">
        <f t="shared" si="54"/>
        <v>754.28057249999995</v>
      </c>
      <c r="G301" s="82"/>
      <c r="H301" s="83"/>
      <c r="I301" s="36"/>
      <c r="J301" s="37">
        <v>718</v>
      </c>
      <c r="K301" s="37">
        <f t="shared" si="51"/>
        <v>1.4278506424080013</v>
      </c>
      <c r="L301" s="105"/>
      <c r="M301" s="105"/>
      <c r="N301" s="36"/>
    </row>
    <row r="302" spans="1:14" s="37" customFormat="1" ht="15.75" customHeight="1" x14ac:dyDescent="0.25">
      <c r="A302" s="42">
        <f t="shared" si="52"/>
        <v>6</v>
      </c>
      <c r="B302" s="42" t="s">
        <v>198</v>
      </c>
      <c r="C302" s="42" t="s">
        <v>189</v>
      </c>
      <c r="D302" s="55">
        <f>(40.33+2.1*0.9+0.75*(2.25+3.745))*(10.764)</f>
        <v>502.85371499999997</v>
      </c>
      <c r="E302" s="42">
        <v>0</v>
      </c>
      <c r="F302" s="42">
        <f t="shared" si="54"/>
        <v>754.28057249999995</v>
      </c>
      <c r="G302" s="82"/>
      <c r="H302" s="83"/>
      <c r="I302" s="36"/>
      <c r="J302" s="37">
        <v>718</v>
      </c>
      <c r="K302" s="37">
        <f t="shared" si="51"/>
        <v>1.4278506424080013</v>
      </c>
      <c r="L302" s="105"/>
      <c r="M302" s="105"/>
      <c r="N302" s="36"/>
    </row>
    <row r="303" spans="1:14" s="37" customFormat="1" ht="15.75" customHeight="1" x14ac:dyDescent="0.25">
      <c r="A303" s="42">
        <f t="shared" si="52"/>
        <v>7</v>
      </c>
      <c r="B303" s="42" t="s">
        <v>198</v>
      </c>
      <c r="C303" s="42" t="s">
        <v>190</v>
      </c>
      <c r="D303" s="55">
        <f>(49.6+2.1*0.9+0.75*(2.25+2.75+2.75))*(10.764)</f>
        <v>616.80411000000004</v>
      </c>
      <c r="E303" s="42">
        <v>0</v>
      </c>
      <c r="F303" s="42">
        <f t="shared" si="54"/>
        <v>925.20616500000006</v>
      </c>
      <c r="G303" s="84"/>
      <c r="H303" s="85"/>
      <c r="I303" s="36"/>
      <c r="J303" s="37">
        <v>915</v>
      </c>
      <c r="K303" s="37">
        <f t="shared" si="51"/>
        <v>1.483453150141947</v>
      </c>
      <c r="L303" s="105"/>
      <c r="M303" s="105"/>
      <c r="N303" s="36"/>
    </row>
    <row r="304" spans="1:14" s="37" customFormat="1" x14ac:dyDescent="0.25">
      <c r="A304" s="95" t="s">
        <v>226</v>
      </c>
      <c r="B304" s="96"/>
      <c r="C304" s="96"/>
      <c r="D304" s="96"/>
      <c r="E304" s="96"/>
      <c r="F304" s="96"/>
      <c r="G304" s="96"/>
      <c r="H304" s="97"/>
      <c r="J304" s="36"/>
    </row>
    <row r="305" spans="1:14" s="37" customFormat="1" ht="15.75" customHeight="1" x14ac:dyDescent="0.25">
      <c r="A305" s="42">
        <v>1</v>
      </c>
      <c r="B305" s="42" t="s">
        <v>198</v>
      </c>
      <c r="C305" s="42" t="s">
        <v>190</v>
      </c>
      <c r="D305" s="55">
        <f>(49.7+2.1*0.9+0.75*(2.76+3.6+2.22))*(10.764)</f>
        <v>624.58109999999999</v>
      </c>
      <c r="E305" s="42">
        <v>0</v>
      </c>
      <c r="F305" s="42">
        <f>D305*(($F$166)+1)+(IF(E305&lt;101,E305,IF(E305&lt;201,E305/2,IF(E305&lt;=301,E305/3,E305/4))))</f>
        <v>936.87165000000005</v>
      </c>
      <c r="G305" s="80" t="str">
        <f>A304</f>
        <v>19th Floor (Part Refuge Area)</v>
      </c>
      <c r="H305" s="81"/>
      <c r="I305" s="36">
        <f>2.82*4.55+2.25*2.16+2.1*2.35+1.2*2+3.15*3.05+1.2*2.25+0.9*1.4</f>
        <v>38.593499999999999</v>
      </c>
      <c r="J305" s="37">
        <v>915</v>
      </c>
      <c r="K305" s="37">
        <f t="shared" ref="K305:K311" si="55">J305/D305</f>
        <v>1.4649818894615927</v>
      </c>
      <c r="L305" s="105"/>
      <c r="M305" s="105"/>
      <c r="N305" s="36"/>
    </row>
    <row r="306" spans="1:14" s="37" customFormat="1" ht="15.75" customHeight="1" x14ac:dyDescent="0.25">
      <c r="A306" s="42">
        <f t="shared" ref="A306:A311" si="56">A305+1</f>
        <v>2</v>
      </c>
      <c r="B306" s="42" t="s">
        <v>198</v>
      </c>
      <c r="C306" s="42" t="s">
        <v>189</v>
      </c>
      <c r="D306" s="55">
        <f>(39.84+2.1*0.9+0.75*(2.22+3.53))*(10.764)</f>
        <v>495.60147000000001</v>
      </c>
      <c r="E306" s="42">
        <v>0</v>
      </c>
      <c r="F306" s="42">
        <f t="shared" ref="F306" si="57">D306*(($F$166)+1)+(IF(E306&lt;101,E306,IF(E306&lt;201,E306/2,IF(E306&lt;=301,E306/3,E306/4))))</f>
        <v>743.40220499999998</v>
      </c>
      <c r="G306" s="82"/>
      <c r="H306" s="83"/>
      <c r="I306" s="36"/>
      <c r="J306" s="37">
        <v>718</v>
      </c>
      <c r="K306" s="37">
        <f t="shared" si="55"/>
        <v>1.4487446939977802</v>
      </c>
      <c r="L306" s="105"/>
      <c r="M306" s="105"/>
      <c r="N306" s="36"/>
    </row>
    <row r="307" spans="1:14" s="37" customFormat="1" ht="15.75" customHeight="1" x14ac:dyDescent="0.25">
      <c r="A307" s="42">
        <f t="shared" si="56"/>
        <v>3</v>
      </c>
      <c r="B307" s="42" t="s">
        <v>198</v>
      </c>
      <c r="C307" s="42" t="s">
        <v>189</v>
      </c>
      <c r="D307" s="55">
        <f>(37.75+2.1*0.9+0.75*(2.02+2.78))*(10.764)</f>
        <v>465.43536</v>
      </c>
      <c r="E307" s="42">
        <v>0</v>
      </c>
      <c r="F307" s="42">
        <f>D307*(($F$166)+1)+(IF(E307&lt;101,E307,IF(E307&lt;201,E307/2,IF(E307&lt;=301,E307/3,E307/4))))</f>
        <v>698.15304000000003</v>
      </c>
      <c r="G307" s="82"/>
      <c r="H307" s="83"/>
      <c r="I307" s="36"/>
      <c r="J307" s="37">
        <v>718</v>
      </c>
      <c r="K307" s="37">
        <f t="shared" si="55"/>
        <v>1.5426417107630155</v>
      </c>
      <c r="L307" s="105"/>
      <c r="M307" s="105"/>
      <c r="N307" s="36"/>
    </row>
    <row r="308" spans="1:14" s="37" customFormat="1" ht="15.75" customHeight="1" x14ac:dyDescent="0.25">
      <c r="A308" s="42">
        <f t="shared" si="56"/>
        <v>4</v>
      </c>
      <c r="B308" s="98" t="s">
        <v>192</v>
      </c>
      <c r="C308" s="99"/>
      <c r="D308" s="99"/>
      <c r="E308" s="99"/>
      <c r="F308" s="100"/>
      <c r="G308" s="82"/>
      <c r="H308" s="83"/>
      <c r="I308" s="36"/>
      <c r="J308" s="37">
        <v>915</v>
      </c>
      <c r="K308" s="37" t="e">
        <f t="shared" si="55"/>
        <v>#DIV/0!</v>
      </c>
      <c r="L308" s="105"/>
      <c r="M308" s="105"/>
      <c r="N308" s="36"/>
    </row>
    <row r="309" spans="1:14" s="37" customFormat="1" ht="15.75" customHeight="1" x14ac:dyDescent="0.25">
      <c r="A309" s="42">
        <f t="shared" si="56"/>
        <v>5</v>
      </c>
      <c r="B309" s="42" t="s">
        <v>198</v>
      </c>
      <c r="C309" s="42" t="s">
        <v>189</v>
      </c>
      <c r="D309" s="55">
        <f>(40.33+2.1*0.9+0.75*(2.25+3.745))*(10.764)</f>
        <v>502.85371499999997</v>
      </c>
      <c r="E309" s="42">
        <v>0</v>
      </c>
      <c r="F309" s="42">
        <f>D309*(($F$166)+1)+(IF(E309&lt;101,E309,IF(E309&lt;201,E309/2,IF(E309&lt;=301,E309/3,E309/4))))</f>
        <v>754.28057249999995</v>
      </c>
      <c r="G309" s="82"/>
      <c r="H309" s="83"/>
      <c r="I309" s="36"/>
      <c r="J309" s="37">
        <v>718</v>
      </c>
      <c r="K309" s="37">
        <f t="shared" si="55"/>
        <v>1.4278506424080013</v>
      </c>
      <c r="L309" s="105"/>
      <c r="M309" s="105"/>
      <c r="N309" s="36"/>
    </row>
    <row r="310" spans="1:14" s="37" customFormat="1" ht="15.75" customHeight="1" x14ac:dyDescent="0.25">
      <c r="A310" s="42">
        <f t="shared" si="56"/>
        <v>6</v>
      </c>
      <c r="B310" s="42" t="s">
        <v>198</v>
      </c>
      <c r="C310" s="42" t="s">
        <v>189</v>
      </c>
      <c r="D310" s="55">
        <f>(40.33+2.1*0.9+0.75*(2.25+3.745))*(10.764)</f>
        <v>502.85371499999997</v>
      </c>
      <c r="E310" s="42">
        <v>0</v>
      </c>
      <c r="F310" s="42">
        <f t="shared" ref="F310" si="58">D310*(($F$166)+1)+(IF(E310&lt;101,E310,IF(E310&lt;201,E310/2,IF(E310&lt;=301,E310/3,E310/4))))</f>
        <v>754.28057249999995</v>
      </c>
      <c r="G310" s="82"/>
      <c r="H310" s="83"/>
      <c r="I310" s="36"/>
      <c r="J310" s="37">
        <v>718</v>
      </c>
      <c r="K310" s="37">
        <f t="shared" si="55"/>
        <v>1.4278506424080013</v>
      </c>
      <c r="L310" s="105"/>
      <c r="M310" s="105"/>
      <c r="N310" s="36"/>
    </row>
    <row r="311" spans="1:14" s="37" customFormat="1" ht="15.75" customHeight="1" x14ac:dyDescent="0.25">
      <c r="A311" s="42">
        <f t="shared" si="56"/>
        <v>7</v>
      </c>
      <c r="B311" s="42" t="s">
        <v>198</v>
      </c>
      <c r="C311" s="42" t="s">
        <v>190</v>
      </c>
      <c r="D311" s="55">
        <f>(49.6+2.1*0.9+0.75*(2.25+2.75+2.75))*(10.764)</f>
        <v>616.80411000000004</v>
      </c>
      <c r="E311" s="42">
        <v>0</v>
      </c>
      <c r="F311" s="42">
        <f>D311*(($F$166)+1)+(IF(E311&lt;101,E311,IF(E311&lt;201,E311/2,IF(E311&lt;=301,E311/3,E311/4))))</f>
        <v>925.20616500000006</v>
      </c>
      <c r="G311" s="84"/>
      <c r="H311" s="85"/>
      <c r="I311" s="36"/>
      <c r="J311" s="37">
        <v>915</v>
      </c>
      <c r="K311" s="37">
        <f t="shared" si="55"/>
        <v>1.483453150141947</v>
      </c>
      <c r="L311" s="105"/>
      <c r="M311" s="105"/>
      <c r="N311" s="36"/>
    </row>
    <row r="312" spans="1:14" s="37" customFormat="1" x14ac:dyDescent="0.25">
      <c r="A312" s="95" t="s">
        <v>220</v>
      </c>
      <c r="B312" s="96"/>
      <c r="C312" s="96"/>
      <c r="D312" s="96"/>
      <c r="E312" s="96"/>
      <c r="F312" s="96"/>
      <c r="G312" s="96"/>
      <c r="H312" s="97"/>
      <c r="J312" s="36"/>
    </row>
    <row r="313" spans="1:14" s="37" customFormat="1" ht="15.75" customHeight="1" x14ac:dyDescent="0.25">
      <c r="A313" s="42">
        <v>1</v>
      </c>
      <c r="B313" s="42" t="s">
        <v>198</v>
      </c>
      <c r="C313" s="42" t="s">
        <v>190</v>
      </c>
      <c r="D313" s="55">
        <f>(49.7+2.1*0.9+0.75*(2.76+3.6+2.22))*(10.764)</f>
        <v>624.58109999999999</v>
      </c>
      <c r="E313" s="42">
        <v>0</v>
      </c>
      <c r="F313" s="42">
        <f>D313*(($F$166)+1)+(IF(E313&lt;101,E313,IF(E313&lt;201,E313/2,IF(E313&lt;=301,E313/3,E313/4))))</f>
        <v>936.87165000000005</v>
      </c>
      <c r="G313" s="80" t="str">
        <f>A312</f>
        <v>20th Floor</v>
      </c>
      <c r="H313" s="81"/>
      <c r="I313" s="36">
        <f>2.82*4.55+2.25*2.16+2.1*2.35+1.2*2+3.15*3.05+1.2*2.25+0.9*1.4</f>
        <v>38.593499999999999</v>
      </c>
      <c r="J313" s="37">
        <v>915</v>
      </c>
      <c r="K313" s="37">
        <f t="shared" ref="K313:K319" si="59">J313/D313</f>
        <v>1.4649818894615927</v>
      </c>
      <c r="L313" s="105"/>
      <c r="M313" s="105"/>
      <c r="N313" s="36"/>
    </row>
    <row r="314" spans="1:14" s="37" customFormat="1" ht="15.75" customHeight="1" x14ac:dyDescent="0.25">
      <c r="A314" s="42">
        <f t="shared" ref="A314:A319" si="60">A313+1</f>
        <v>2</v>
      </c>
      <c r="B314" s="42" t="s">
        <v>198</v>
      </c>
      <c r="C314" s="42" t="s">
        <v>189</v>
      </c>
      <c r="D314" s="55">
        <f>(39.84+2.1*0.9+0.75*(2.22+3.53))*(10.764)</f>
        <v>495.60147000000001</v>
      </c>
      <c r="E314" s="42">
        <v>0</v>
      </c>
      <c r="F314" s="42">
        <f t="shared" ref="F314" si="61">D314*(($F$166)+1)+(IF(E314&lt;101,E314,IF(E314&lt;201,E314/2,IF(E314&lt;=301,E314/3,E314/4))))</f>
        <v>743.40220499999998</v>
      </c>
      <c r="G314" s="82"/>
      <c r="H314" s="83"/>
      <c r="I314" s="36"/>
      <c r="J314" s="37">
        <v>718</v>
      </c>
      <c r="K314" s="37">
        <f t="shared" si="59"/>
        <v>1.4487446939977802</v>
      </c>
      <c r="L314" s="105"/>
      <c r="M314" s="105"/>
      <c r="N314" s="36"/>
    </row>
    <row r="315" spans="1:14" s="37" customFormat="1" ht="15.75" customHeight="1" x14ac:dyDescent="0.25">
      <c r="A315" s="42">
        <f t="shared" si="60"/>
        <v>3</v>
      </c>
      <c r="B315" s="42" t="s">
        <v>198</v>
      </c>
      <c r="C315" s="42" t="s">
        <v>189</v>
      </c>
      <c r="D315" s="55">
        <f>(37.75+2.1*0.9+0.75*(2.02+2.78))*(10.764)</f>
        <v>465.43536</v>
      </c>
      <c r="E315" s="42">
        <v>0</v>
      </c>
      <c r="F315" s="42">
        <f>D315*(($F$166)+1)+(IF(E315&lt;101,E315,IF(E315&lt;201,E315/2,IF(E315&lt;=301,E315/3,E315/4))))</f>
        <v>698.15304000000003</v>
      </c>
      <c r="G315" s="82"/>
      <c r="H315" s="83"/>
      <c r="I315" s="36"/>
      <c r="J315" s="37">
        <v>718</v>
      </c>
      <c r="K315" s="37">
        <f t="shared" si="59"/>
        <v>1.5426417107630155</v>
      </c>
      <c r="L315" s="105"/>
      <c r="M315" s="105"/>
      <c r="N315" s="36"/>
    </row>
    <row r="316" spans="1:14" s="37" customFormat="1" ht="15.75" customHeight="1" x14ac:dyDescent="0.25">
      <c r="A316" s="42">
        <f t="shared" si="60"/>
        <v>4</v>
      </c>
      <c r="B316" s="42" t="s">
        <v>198</v>
      </c>
      <c r="C316" s="42" t="s">
        <v>190</v>
      </c>
      <c r="D316" s="55">
        <f>(49.42+2.1*0.9+0.75*(2.25+2.75+2.75))*(10.764)</f>
        <v>614.86658999999997</v>
      </c>
      <c r="E316" s="42">
        <v>0</v>
      </c>
      <c r="F316" s="42">
        <f t="shared" ref="F316:F319" si="62">D316*(($F$166)+1)+(IF(E316&lt;101,E316,IF(E316&lt;201,E316/2,IF(E316&lt;=301,E316/3,E316/4))))</f>
        <v>922.2998849999999</v>
      </c>
      <c r="G316" s="82"/>
      <c r="H316" s="83"/>
      <c r="I316" s="36"/>
      <c r="J316" s="37">
        <v>915</v>
      </c>
      <c r="K316" s="37">
        <f t="shared" si="59"/>
        <v>1.4881276928707414</v>
      </c>
      <c r="L316" s="105"/>
      <c r="M316" s="105"/>
      <c r="N316" s="36"/>
    </row>
    <row r="317" spans="1:14" s="37" customFormat="1" ht="15.75" customHeight="1" x14ac:dyDescent="0.25">
      <c r="A317" s="42">
        <f t="shared" si="60"/>
        <v>5</v>
      </c>
      <c r="B317" s="42" t="s">
        <v>198</v>
      </c>
      <c r="C317" s="42" t="s">
        <v>189</v>
      </c>
      <c r="D317" s="55">
        <f>(40.33+2.1*0.9+0.75*(2.25+3.745))*(10.764)</f>
        <v>502.85371499999997</v>
      </c>
      <c r="E317" s="42">
        <v>0</v>
      </c>
      <c r="F317" s="42">
        <f t="shared" si="62"/>
        <v>754.28057249999995</v>
      </c>
      <c r="G317" s="82"/>
      <c r="H317" s="83"/>
      <c r="I317" s="36"/>
      <c r="J317" s="37">
        <v>718</v>
      </c>
      <c r="K317" s="37">
        <f t="shared" si="59"/>
        <v>1.4278506424080013</v>
      </c>
      <c r="L317" s="105"/>
      <c r="M317" s="105"/>
      <c r="N317" s="36"/>
    </row>
    <row r="318" spans="1:14" s="37" customFormat="1" ht="15.75" customHeight="1" x14ac:dyDescent="0.25">
      <c r="A318" s="42">
        <f t="shared" si="60"/>
        <v>6</v>
      </c>
      <c r="B318" s="42" t="s">
        <v>198</v>
      </c>
      <c r="C318" s="42" t="s">
        <v>189</v>
      </c>
      <c r="D318" s="55">
        <f>(40.33+2.1*0.9+0.75*(2.25+3.745))*(10.764)</f>
        <v>502.85371499999997</v>
      </c>
      <c r="E318" s="42">
        <v>0</v>
      </c>
      <c r="F318" s="42">
        <f t="shared" si="62"/>
        <v>754.28057249999995</v>
      </c>
      <c r="G318" s="82"/>
      <c r="H318" s="83"/>
      <c r="I318" s="36"/>
      <c r="J318" s="37">
        <v>718</v>
      </c>
      <c r="K318" s="37">
        <f t="shared" si="59"/>
        <v>1.4278506424080013</v>
      </c>
      <c r="L318" s="105"/>
      <c r="M318" s="105"/>
      <c r="N318" s="36"/>
    </row>
    <row r="319" spans="1:14" s="37" customFormat="1" ht="15.75" customHeight="1" x14ac:dyDescent="0.25">
      <c r="A319" s="42">
        <f t="shared" si="60"/>
        <v>7</v>
      </c>
      <c r="B319" s="42" t="s">
        <v>198</v>
      </c>
      <c r="C319" s="42" t="s">
        <v>190</v>
      </c>
      <c r="D319" s="55">
        <f>(49.6+2.1*0.9+0.75*(2.25+2.75+2.75))*(10.764)</f>
        <v>616.80411000000004</v>
      </c>
      <c r="E319" s="42">
        <v>0</v>
      </c>
      <c r="F319" s="42">
        <f t="shared" si="62"/>
        <v>925.20616500000006</v>
      </c>
      <c r="G319" s="84"/>
      <c r="H319" s="85"/>
      <c r="I319" s="36"/>
      <c r="J319" s="37">
        <v>915</v>
      </c>
      <c r="K319" s="37">
        <f t="shared" si="59"/>
        <v>1.483453150141947</v>
      </c>
      <c r="L319" s="105"/>
      <c r="M319" s="105"/>
      <c r="N319" s="36"/>
    </row>
    <row r="320" spans="1:14" s="37" customFormat="1" x14ac:dyDescent="0.25">
      <c r="A320" s="95" t="s">
        <v>221</v>
      </c>
      <c r="B320" s="96"/>
      <c r="C320" s="96"/>
      <c r="D320" s="96"/>
      <c r="E320" s="96"/>
      <c r="F320" s="96"/>
      <c r="G320" s="96"/>
      <c r="H320" s="97"/>
      <c r="J320" s="36"/>
    </row>
    <row r="321" spans="1:14" s="37" customFormat="1" ht="15.75" customHeight="1" x14ac:dyDescent="0.25">
      <c r="A321" s="42">
        <v>1</v>
      </c>
      <c r="B321" s="42" t="s">
        <v>198</v>
      </c>
      <c r="C321" s="42" t="s">
        <v>190</v>
      </c>
      <c r="D321" s="55">
        <f>(49.7+2.1*0.9+0.75*(2.76+3.6+2.22))*(10.764)</f>
        <v>624.58109999999999</v>
      </c>
      <c r="E321" s="42">
        <v>0</v>
      </c>
      <c r="F321" s="42">
        <f>D321*(($F$166)+1)+(IF(E321&lt;101,E321,IF(E321&lt;201,E321/2,IF(E321&lt;=301,E321/3,E321/4))))</f>
        <v>936.87165000000005</v>
      </c>
      <c r="G321" s="80" t="str">
        <f>A320</f>
        <v>21st, 22nd, 24th &amp; 25th Floor</v>
      </c>
      <c r="H321" s="81"/>
      <c r="I321" s="36">
        <f>2.82*4.55+2.25*2.16+2.1*2.35+1.2*2+3.15*3.05+1.2*2.25+0.9*1.4</f>
        <v>38.593499999999999</v>
      </c>
      <c r="J321" s="37">
        <v>915</v>
      </c>
      <c r="K321" s="37">
        <f t="shared" ref="K321:K327" si="63">J321/D321</f>
        <v>1.4649818894615927</v>
      </c>
      <c r="L321" s="105"/>
      <c r="M321" s="105"/>
      <c r="N321" s="36"/>
    </row>
    <row r="322" spans="1:14" s="37" customFormat="1" ht="15.75" customHeight="1" x14ac:dyDescent="0.25">
      <c r="A322" s="42">
        <f t="shared" ref="A322:A327" si="64">A321+1</f>
        <v>2</v>
      </c>
      <c r="B322" s="42" t="s">
        <v>198</v>
      </c>
      <c r="C322" s="42" t="s">
        <v>189</v>
      </c>
      <c r="D322" s="55">
        <f>(39.84+2.1*0.9+0.75*(2.22+3.53))*(10.764)</f>
        <v>495.60147000000001</v>
      </c>
      <c r="E322" s="42">
        <v>0</v>
      </c>
      <c r="F322" s="42">
        <f t="shared" ref="F322" si="65">D322*(($F$166)+1)+(IF(E322&lt;101,E322,IF(E322&lt;201,E322/2,IF(E322&lt;=301,E322/3,E322/4))))</f>
        <v>743.40220499999998</v>
      </c>
      <c r="G322" s="82"/>
      <c r="H322" s="83"/>
      <c r="I322" s="36"/>
      <c r="J322" s="37">
        <v>718</v>
      </c>
      <c r="K322" s="37">
        <f t="shared" si="63"/>
        <v>1.4487446939977802</v>
      </c>
      <c r="L322" s="105"/>
      <c r="M322" s="105"/>
      <c r="N322" s="36"/>
    </row>
    <row r="323" spans="1:14" s="37" customFormat="1" ht="15.75" customHeight="1" x14ac:dyDescent="0.25">
      <c r="A323" s="42">
        <f t="shared" si="64"/>
        <v>3</v>
      </c>
      <c r="B323" s="42" t="s">
        <v>199</v>
      </c>
      <c r="C323" s="42" t="s">
        <v>189</v>
      </c>
      <c r="D323" s="55">
        <f>(37.75+2.1*0.9+0.75*(2.02+2.78))*(10.764)</f>
        <v>465.43536</v>
      </c>
      <c r="E323" s="42">
        <v>0</v>
      </c>
      <c r="F323" s="42">
        <f>D323*(($F$166)+1)+(IF(E323&lt;101,E323,IF(E323&lt;201,E323/2,IF(E323&lt;=301,E323/3,E323/4))))</f>
        <v>698.15304000000003</v>
      </c>
      <c r="G323" s="82"/>
      <c r="H323" s="83"/>
      <c r="I323" s="36"/>
      <c r="J323" s="37">
        <v>718</v>
      </c>
      <c r="K323" s="37">
        <f t="shared" si="63"/>
        <v>1.5426417107630155</v>
      </c>
      <c r="L323" s="105"/>
      <c r="M323" s="105"/>
      <c r="N323" s="36"/>
    </row>
    <row r="324" spans="1:14" s="37" customFormat="1" ht="15.75" customHeight="1" x14ac:dyDescent="0.25">
      <c r="A324" s="42">
        <f t="shared" si="64"/>
        <v>4</v>
      </c>
      <c r="B324" s="42" t="s">
        <v>198</v>
      </c>
      <c r="C324" s="42" t="s">
        <v>190</v>
      </c>
      <c r="D324" s="55">
        <f>(49.42+2.1*0.9+0.75*(2.25+2.75+2.75))*(10.764)</f>
        <v>614.86658999999997</v>
      </c>
      <c r="E324" s="42">
        <v>0</v>
      </c>
      <c r="F324" s="42">
        <f t="shared" ref="F324:F327" si="66">D324*(($F$166)+1)+(IF(E324&lt;101,E324,IF(E324&lt;201,E324/2,IF(E324&lt;=301,E324/3,E324/4))))</f>
        <v>922.2998849999999</v>
      </c>
      <c r="G324" s="82"/>
      <c r="H324" s="83"/>
      <c r="I324" s="36"/>
      <c r="J324" s="37">
        <v>915</v>
      </c>
      <c r="K324" s="37">
        <f t="shared" si="63"/>
        <v>1.4881276928707414</v>
      </c>
      <c r="L324" s="105"/>
      <c r="M324" s="105"/>
      <c r="N324" s="36"/>
    </row>
    <row r="325" spans="1:14" s="37" customFormat="1" ht="15.75" customHeight="1" x14ac:dyDescent="0.25">
      <c r="A325" s="42">
        <f t="shared" si="64"/>
        <v>5</v>
      </c>
      <c r="B325" s="42" t="s">
        <v>198</v>
      </c>
      <c r="C325" s="42" t="s">
        <v>189</v>
      </c>
      <c r="D325" s="55">
        <f>(40.33+2.1*0.9+0.75*(2.25+3.745))*(10.764)</f>
        <v>502.85371499999997</v>
      </c>
      <c r="E325" s="42">
        <v>0</v>
      </c>
      <c r="F325" s="42">
        <f t="shared" si="66"/>
        <v>754.28057249999995</v>
      </c>
      <c r="G325" s="82"/>
      <c r="H325" s="83"/>
      <c r="I325" s="36"/>
      <c r="J325" s="37">
        <v>718</v>
      </c>
      <c r="K325" s="37">
        <f t="shared" si="63"/>
        <v>1.4278506424080013</v>
      </c>
      <c r="L325" s="105"/>
      <c r="M325" s="105"/>
      <c r="N325" s="36"/>
    </row>
    <row r="326" spans="1:14" s="37" customFormat="1" ht="15.75" customHeight="1" x14ac:dyDescent="0.25">
      <c r="A326" s="42">
        <f t="shared" si="64"/>
        <v>6</v>
      </c>
      <c r="B326" s="42" t="s">
        <v>198</v>
      </c>
      <c r="C326" s="42" t="s">
        <v>189</v>
      </c>
      <c r="D326" s="55">
        <f>(40.33+2.1*0.9+0.75*(2.25+3.745))*(10.764)</f>
        <v>502.85371499999997</v>
      </c>
      <c r="E326" s="42">
        <v>0</v>
      </c>
      <c r="F326" s="42">
        <f t="shared" si="66"/>
        <v>754.28057249999995</v>
      </c>
      <c r="G326" s="82"/>
      <c r="H326" s="83"/>
      <c r="I326" s="36"/>
      <c r="J326" s="37">
        <v>718</v>
      </c>
      <c r="K326" s="37">
        <f t="shared" si="63"/>
        <v>1.4278506424080013</v>
      </c>
      <c r="L326" s="105"/>
      <c r="M326" s="105"/>
      <c r="N326" s="36"/>
    </row>
    <row r="327" spans="1:14" s="37" customFormat="1" ht="15.75" customHeight="1" x14ac:dyDescent="0.25">
      <c r="A327" s="42">
        <f t="shared" si="64"/>
        <v>7</v>
      </c>
      <c r="B327" s="42" t="s">
        <v>198</v>
      </c>
      <c r="C327" s="42" t="s">
        <v>190</v>
      </c>
      <c r="D327" s="55">
        <f>(49.6+2.1*0.9+0.75*(2.25+2.75+2.75))*(10.764)</f>
        <v>616.80411000000004</v>
      </c>
      <c r="E327" s="42">
        <v>0</v>
      </c>
      <c r="F327" s="42">
        <f t="shared" si="66"/>
        <v>925.20616500000006</v>
      </c>
      <c r="G327" s="84"/>
      <c r="H327" s="85"/>
      <c r="I327" s="36"/>
      <c r="J327" s="37">
        <v>915</v>
      </c>
      <c r="K327" s="37">
        <f t="shared" si="63"/>
        <v>1.483453150141947</v>
      </c>
      <c r="L327" s="105"/>
      <c r="M327" s="105"/>
      <c r="N327" s="36"/>
    </row>
    <row r="328" spans="1:14" s="37" customFormat="1" x14ac:dyDescent="0.25">
      <c r="A328" s="95" t="s">
        <v>222</v>
      </c>
      <c r="B328" s="96"/>
      <c r="C328" s="96"/>
      <c r="D328" s="96"/>
      <c r="E328" s="96"/>
      <c r="F328" s="96"/>
      <c r="G328" s="96"/>
      <c r="H328" s="97"/>
      <c r="J328" s="36"/>
    </row>
    <row r="329" spans="1:14" s="37" customFormat="1" ht="15.75" customHeight="1" x14ac:dyDescent="0.25">
      <c r="A329" s="42">
        <v>1</v>
      </c>
      <c r="B329" s="42" t="s">
        <v>198</v>
      </c>
      <c r="C329" s="42" t="s">
        <v>190</v>
      </c>
      <c r="D329" s="55">
        <f>(49.7+2.1*0.9+0.75*(2.76+3.6+2.22))*(10.764)</f>
        <v>624.58109999999999</v>
      </c>
      <c r="E329" s="42">
        <v>0</v>
      </c>
      <c r="F329" s="42">
        <f>D329*(($F$166)+1)+(IF(E329&lt;101,E329,IF(E329&lt;201,E329/2,IF(E329&lt;=301,E329/3,E329/4))))</f>
        <v>936.87165000000005</v>
      </c>
      <c r="G329" s="80" t="str">
        <f>A328</f>
        <v>23rd Floor (Part Refuge Area)</v>
      </c>
      <c r="H329" s="81"/>
      <c r="I329" s="36">
        <f>2.82*4.55+2.25*2.16+2.1*2.35+1.2*2+3.15*3.05+1.2*2.25+0.9*1.4</f>
        <v>38.593499999999999</v>
      </c>
      <c r="J329" s="37">
        <v>915</v>
      </c>
      <c r="K329" s="37">
        <f t="shared" ref="K329:K335" si="67">J329/D329</f>
        <v>1.4649818894615927</v>
      </c>
      <c r="L329" s="105"/>
      <c r="M329" s="105"/>
      <c r="N329" s="36"/>
    </row>
    <row r="330" spans="1:14" s="37" customFormat="1" ht="15.75" customHeight="1" x14ac:dyDescent="0.25">
      <c r="A330" s="42">
        <f t="shared" ref="A330:A335" si="68">A329+1</f>
        <v>2</v>
      </c>
      <c r="B330" s="42" t="s">
        <v>198</v>
      </c>
      <c r="C330" s="42" t="s">
        <v>189</v>
      </c>
      <c r="D330" s="55">
        <f>(39.84+2.1*0.9+0.75*(2.22+3.53))*(10.764)</f>
        <v>495.60147000000001</v>
      </c>
      <c r="E330" s="42">
        <v>0</v>
      </c>
      <c r="F330" s="42">
        <f t="shared" ref="F330" si="69">D330*(($F$166)+1)+(IF(E330&lt;101,E330,IF(E330&lt;201,E330/2,IF(E330&lt;=301,E330/3,E330/4))))</f>
        <v>743.40220499999998</v>
      </c>
      <c r="G330" s="82"/>
      <c r="H330" s="83"/>
      <c r="I330" s="36"/>
      <c r="J330" s="37">
        <v>718</v>
      </c>
      <c r="K330" s="37">
        <f t="shared" si="67"/>
        <v>1.4487446939977802</v>
      </c>
      <c r="L330" s="105"/>
      <c r="M330" s="105"/>
      <c r="N330" s="36"/>
    </row>
    <row r="331" spans="1:14" s="37" customFormat="1" ht="15.75" customHeight="1" x14ac:dyDescent="0.25">
      <c r="A331" s="42">
        <f t="shared" si="68"/>
        <v>3</v>
      </c>
      <c r="B331" s="42" t="s">
        <v>199</v>
      </c>
      <c r="C331" s="42" t="s">
        <v>189</v>
      </c>
      <c r="D331" s="55">
        <f>(37.75+2.1*0.9+0.75*(2.02+2.78))*(10.764)</f>
        <v>465.43536</v>
      </c>
      <c r="E331" s="42">
        <v>0</v>
      </c>
      <c r="F331" s="42">
        <f>D331*(($F$166)+1)+(IF(E331&lt;101,E331,IF(E331&lt;201,E331/2,IF(E331&lt;=301,E331/3,E331/4))))</f>
        <v>698.15304000000003</v>
      </c>
      <c r="G331" s="82"/>
      <c r="H331" s="83"/>
      <c r="I331" s="36"/>
      <c r="J331" s="37">
        <v>718</v>
      </c>
      <c r="K331" s="37">
        <f t="shared" si="67"/>
        <v>1.5426417107630155</v>
      </c>
      <c r="L331" s="105"/>
      <c r="M331" s="105"/>
      <c r="N331" s="36"/>
    </row>
    <row r="332" spans="1:14" s="37" customFormat="1" ht="15.75" customHeight="1" x14ac:dyDescent="0.25">
      <c r="A332" s="42">
        <f t="shared" si="68"/>
        <v>4</v>
      </c>
      <c r="B332" s="98" t="s">
        <v>192</v>
      </c>
      <c r="C332" s="99"/>
      <c r="D332" s="99"/>
      <c r="E332" s="99"/>
      <c r="F332" s="100"/>
      <c r="G332" s="82"/>
      <c r="H332" s="83"/>
      <c r="I332" s="36"/>
      <c r="J332" s="37">
        <v>915</v>
      </c>
      <c r="K332" s="37" t="e">
        <f t="shared" si="67"/>
        <v>#DIV/0!</v>
      </c>
      <c r="L332" s="105"/>
      <c r="M332" s="105"/>
      <c r="N332" s="36"/>
    </row>
    <row r="333" spans="1:14" s="37" customFormat="1" ht="15.75" customHeight="1" x14ac:dyDescent="0.25">
      <c r="A333" s="42">
        <f t="shared" si="68"/>
        <v>5</v>
      </c>
      <c r="B333" s="42" t="s">
        <v>198</v>
      </c>
      <c r="C333" s="42" t="s">
        <v>225</v>
      </c>
      <c r="D333" s="55">
        <f>(47.11+2.1*0.9+0.75*(2.25+3.745+2.33))*(10.764)</f>
        <v>594.6437249999999</v>
      </c>
      <c r="E333" s="42">
        <v>0</v>
      </c>
      <c r="F333" s="42">
        <f>D333*(($F$166)+1)+(IF(E333&lt;101,E333,IF(E333&lt;201,E333/2,IF(E333&lt;=301,E333/3,E333/4))))</f>
        <v>891.96558749999986</v>
      </c>
      <c r="G333" s="82"/>
      <c r="H333" s="83"/>
      <c r="I333" s="36"/>
      <c r="J333" s="37">
        <v>718</v>
      </c>
      <c r="K333" s="37">
        <f t="shared" si="67"/>
        <v>1.2074456852294206</v>
      </c>
      <c r="L333" s="105"/>
      <c r="M333" s="105"/>
      <c r="N333" s="36"/>
    </row>
    <row r="334" spans="1:14" s="37" customFormat="1" ht="15.75" customHeight="1" x14ac:dyDescent="0.25">
      <c r="A334" s="42">
        <f t="shared" si="68"/>
        <v>6</v>
      </c>
      <c r="B334" s="42" t="s">
        <v>198</v>
      </c>
      <c r="C334" s="42" t="s">
        <v>189</v>
      </c>
      <c r="D334" s="55">
        <f>(40.33+2.1*0.9+0.75*(2.25+3.745))*(10.764)</f>
        <v>502.85371499999997</v>
      </c>
      <c r="E334" s="42">
        <v>0</v>
      </c>
      <c r="F334" s="42">
        <f t="shared" ref="F334" si="70">D334*(($F$166)+1)+(IF(E334&lt;101,E334,IF(E334&lt;201,E334/2,IF(E334&lt;=301,E334/3,E334/4))))</f>
        <v>754.28057249999995</v>
      </c>
      <c r="G334" s="82"/>
      <c r="H334" s="83"/>
      <c r="I334" s="36"/>
      <c r="J334" s="37">
        <v>718</v>
      </c>
      <c r="K334" s="37">
        <f t="shared" si="67"/>
        <v>1.4278506424080013</v>
      </c>
      <c r="L334" s="105"/>
      <c r="M334" s="105"/>
      <c r="N334" s="36"/>
    </row>
    <row r="335" spans="1:14" s="37" customFormat="1" ht="15.75" customHeight="1" x14ac:dyDescent="0.25">
      <c r="A335" s="42">
        <f t="shared" si="68"/>
        <v>7</v>
      </c>
      <c r="B335" s="42" t="s">
        <v>198</v>
      </c>
      <c r="C335" s="42" t="s">
        <v>190</v>
      </c>
      <c r="D335" s="55">
        <f>(49.6+2.1*0.9+0.75*(2.25+2.75+2.75))*(10.764)</f>
        <v>616.80411000000004</v>
      </c>
      <c r="E335" s="42">
        <v>0</v>
      </c>
      <c r="F335" s="42">
        <f>D335*(($F$166)+1)+(IF(E335&lt;101,E335,IF(E335&lt;201,E335/2,IF(E335&lt;=301,E335/3,E335/4))))</f>
        <v>925.20616500000006</v>
      </c>
      <c r="G335" s="84"/>
      <c r="H335" s="85"/>
      <c r="I335" s="36"/>
      <c r="J335" s="37">
        <v>915</v>
      </c>
      <c r="K335" s="37">
        <f t="shared" si="67"/>
        <v>1.483453150141947</v>
      </c>
      <c r="L335" s="105"/>
      <c r="M335" s="105"/>
      <c r="N335" s="36"/>
    </row>
    <row r="336" spans="1:14" s="37" customFormat="1" x14ac:dyDescent="0.25">
      <c r="A336" s="95" t="s">
        <v>186</v>
      </c>
      <c r="B336" s="96"/>
      <c r="C336" s="96"/>
      <c r="D336" s="96"/>
      <c r="E336" s="96"/>
      <c r="F336" s="96"/>
      <c r="G336" s="96"/>
      <c r="H336" s="97"/>
      <c r="I336" s="36"/>
    </row>
    <row r="337" spans="1:9" s="37" customFormat="1" x14ac:dyDescent="0.25">
      <c r="A337" s="95" t="s">
        <v>227</v>
      </c>
      <c r="B337" s="96"/>
      <c r="C337" s="96"/>
      <c r="D337" s="96"/>
      <c r="E337" s="96"/>
      <c r="F337" s="96"/>
      <c r="G337" s="96"/>
      <c r="H337" s="97"/>
      <c r="I337" s="36"/>
    </row>
    <row r="338" spans="1:9" s="37" customFormat="1" x14ac:dyDescent="0.25">
      <c r="A338" s="95" t="s">
        <v>187</v>
      </c>
      <c r="B338" s="96"/>
      <c r="C338" s="96"/>
      <c r="D338" s="96"/>
      <c r="E338" s="96"/>
      <c r="F338" s="96"/>
      <c r="G338" s="96"/>
      <c r="H338" s="97"/>
      <c r="I338" s="36"/>
    </row>
    <row r="339" spans="1:9" s="37" customFormat="1" x14ac:dyDescent="0.25">
      <c r="A339" s="95" t="s">
        <v>249</v>
      </c>
      <c r="B339" s="96"/>
      <c r="C339" s="96"/>
      <c r="D339" s="96"/>
      <c r="E339" s="96"/>
      <c r="F339" s="96"/>
      <c r="G339" s="96"/>
      <c r="H339" s="97"/>
      <c r="I339" s="36"/>
    </row>
    <row r="340" spans="1:9" s="37" customFormat="1" ht="15.75" customHeight="1" x14ac:dyDescent="0.25">
      <c r="A340" s="42">
        <v>1</v>
      </c>
      <c r="B340" s="98" t="s">
        <v>228</v>
      </c>
      <c r="C340" s="99"/>
      <c r="D340" s="99"/>
      <c r="E340" s="99"/>
      <c r="F340" s="100"/>
      <c r="G340" s="80" t="str">
        <f>A339</f>
        <v>1st Floor For Residential &amp; Part Creche Room, Society Office &amp; Parking</v>
      </c>
      <c r="H340" s="81"/>
      <c r="I340" s="36"/>
    </row>
    <row r="341" spans="1:9" s="37" customFormat="1" ht="15.75" customHeight="1" x14ac:dyDescent="0.25">
      <c r="A341" s="42">
        <f>A340+1</f>
        <v>2</v>
      </c>
      <c r="B341" s="98" t="s">
        <v>229</v>
      </c>
      <c r="C341" s="99"/>
      <c r="D341" s="99"/>
      <c r="E341" s="99"/>
      <c r="F341" s="100"/>
      <c r="G341" s="82"/>
      <c r="H341" s="83"/>
      <c r="I341" s="36"/>
    </row>
    <row r="342" spans="1:9" s="37" customFormat="1" ht="15.75" customHeight="1" x14ac:dyDescent="0.25">
      <c r="A342" s="42">
        <f t="shared" ref="A342:A344" si="71">A341+1</f>
        <v>3</v>
      </c>
      <c r="B342" s="42" t="s">
        <v>198</v>
      </c>
      <c r="C342" s="42" t="s">
        <v>189</v>
      </c>
      <c r="D342" s="55">
        <f>(37.87+0.9*2.1+0.75*(2.1+3.53))*(10.764)</f>
        <v>473.42762999999997</v>
      </c>
      <c r="E342" s="42">
        <v>0</v>
      </c>
      <c r="F342" s="42">
        <f>D342*(($F$166)+1)+(IF(E342&lt;101,E342,IF(E342&lt;201,E342/2,IF(E342&lt;=301,E342/3,E342/4))))</f>
        <v>710.14144499999998</v>
      </c>
      <c r="G342" s="82"/>
      <c r="H342" s="83"/>
      <c r="I342" s="36"/>
    </row>
    <row r="343" spans="1:9" s="37" customFormat="1" ht="15.75" customHeight="1" x14ac:dyDescent="0.25">
      <c r="A343" s="42">
        <f t="shared" si="71"/>
        <v>4</v>
      </c>
      <c r="B343" s="42" t="s">
        <v>198</v>
      </c>
      <c r="C343" s="42" t="s">
        <v>189</v>
      </c>
      <c r="D343" s="55">
        <f>(39.12+0.9*2.1+0.75*(3.53+2.1))*(10.764)</f>
        <v>486.88263000000001</v>
      </c>
      <c r="E343" s="42">
        <v>0</v>
      </c>
      <c r="F343" s="42">
        <f t="shared" ref="F343" si="72">D343*(($F$166)+1)+(IF(E343&lt;101,E343,IF(E343&lt;201,E343/2,IF(E343&lt;=301,E343/3,E343/4))))</f>
        <v>730.32394499999998</v>
      </c>
      <c r="G343" s="82"/>
      <c r="H343" s="83"/>
      <c r="I343" s="36"/>
    </row>
    <row r="344" spans="1:9" s="37" customFormat="1" ht="15.75" customHeight="1" x14ac:dyDescent="0.25">
      <c r="A344" s="42">
        <f t="shared" si="71"/>
        <v>5</v>
      </c>
      <c r="B344" s="42" t="s">
        <v>198</v>
      </c>
      <c r="C344" s="42" t="s">
        <v>189</v>
      </c>
      <c r="D344" s="55">
        <f>(39.7+0.9*2.1+0.75*(2.1+3.745))*(10.764)</f>
        <v>494.861445</v>
      </c>
      <c r="E344" s="42">
        <v>0</v>
      </c>
      <c r="F344" s="42">
        <f>D344*(($F$166)+1)+(IF(E344&lt;101,E344,IF(E344&lt;201,E344/2,IF(E344&lt;=301,E344/3,E344/4))))</f>
        <v>742.29216750000001</v>
      </c>
      <c r="G344" s="82"/>
      <c r="H344" s="83"/>
      <c r="I344" s="36"/>
    </row>
    <row r="345" spans="1:9" s="37" customFormat="1" ht="15.75" customHeight="1" x14ac:dyDescent="0.25">
      <c r="A345" s="42">
        <f t="shared" ref="A345:A346" si="73">A344+1</f>
        <v>6</v>
      </c>
      <c r="B345" s="42" t="s">
        <v>198</v>
      </c>
      <c r="C345" s="42" t="s">
        <v>189</v>
      </c>
      <c r="D345" s="55">
        <f>(39.7+0.9*2.1+0.75*(2.1+3.745))*(10.764)</f>
        <v>494.861445</v>
      </c>
      <c r="E345" s="42">
        <v>0</v>
      </c>
      <c r="F345" s="42">
        <f>D345*(($F$166)+1)+(IF(E345&lt;101,E345,IF(E345&lt;201,E345/2,IF(E345&lt;=301,E345/3,E345/4))))</f>
        <v>742.29216750000001</v>
      </c>
      <c r="G345" s="82"/>
      <c r="H345" s="83"/>
      <c r="I345" s="36"/>
    </row>
    <row r="346" spans="1:9" s="37" customFormat="1" ht="15.75" customHeight="1" x14ac:dyDescent="0.25">
      <c r="A346" s="42">
        <f t="shared" si="73"/>
        <v>7</v>
      </c>
      <c r="B346" s="42" t="s">
        <v>198</v>
      </c>
      <c r="C346" s="42" t="s">
        <v>190</v>
      </c>
      <c r="D346" s="55">
        <f>(48.85+0.9*2.1+0.75*(2.75+2.75+2.1))*(10.764)</f>
        <v>607.52015999999992</v>
      </c>
      <c r="E346" s="42">
        <v>0</v>
      </c>
      <c r="F346" s="42">
        <f t="shared" ref="F346" si="74">D346*(($F$166)+1)+(IF(E346&lt;101,E346,IF(E346&lt;201,E346/2,IF(E346&lt;=301,E346/3,E346/4))))</f>
        <v>911.28023999999982</v>
      </c>
      <c r="G346" s="84"/>
      <c r="H346" s="85"/>
      <c r="I346" s="36"/>
    </row>
    <row r="347" spans="1:9" s="37" customFormat="1" x14ac:dyDescent="0.25">
      <c r="A347" s="95" t="s">
        <v>214</v>
      </c>
      <c r="B347" s="96"/>
      <c r="C347" s="96"/>
      <c r="D347" s="96"/>
      <c r="E347" s="96"/>
      <c r="F347" s="96"/>
      <c r="G347" s="96"/>
      <c r="H347" s="97"/>
      <c r="I347" s="36"/>
    </row>
    <row r="348" spans="1:9" s="37" customFormat="1" ht="15.75" customHeight="1" x14ac:dyDescent="0.25">
      <c r="A348" s="42">
        <v>1</v>
      </c>
      <c r="B348" s="42" t="s">
        <v>199</v>
      </c>
      <c r="C348" s="42" t="s">
        <v>189</v>
      </c>
      <c r="D348" s="55">
        <f>(37.24+0.9*2.1+0.75*(2.1+2.78))*(10.764)</f>
        <v>460.59156000000002</v>
      </c>
      <c r="E348" s="42">
        <v>0</v>
      </c>
      <c r="F348" s="42">
        <f>D348*(($F$166)+1)+(IF(E348&lt;101,E348,IF(E348&lt;201,E348/2,IF(E348&lt;=301,E348/3,E348/4))))</f>
        <v>690.88733999999999</v>
      </c>
      <c r="G348" s="80" t="str">
        <f>A347</f>
        <v>2nd Floor</v>
      </c>
      <c r="H348" s="81"/>
      <c r="I348" s="36"/>
    </row>
    <row r="349" spans="1:9" s="37" customFormat="1" ht="15.75" customHeight="1" x14ac:dyDescent="0.25">
      <c r="A349" s="42">
        <f>A348+1</f>
        <v>2</v>
      </c>
      <c r="B349" s="42" t="s">
        <v>198</v>
      </c>
      <c r="C349" s="42" t="s">
        <v>189</v>
      </c>
      <c r="D349" s="55">
        <f>(37.88+0.9*2.1+0.75*(2.1+3.53))*(10.764)</f>
        <v>473.53527000000003</v>
      </c>
      <c r="E349" s="42">
        <v>0</v>
      </c>
      <c r="F349" s="42">
        <f t="shared" ref="F349" si="75">D349*(($F$166)+1)+(IF(E349&lt;101,E349,IF(E349&lt;201,E349/2,IF(E349&lt;=301,E349/3,E349/4))))</f>
        <v>710.30290500000001</v>
      </c>
      <c r="G349" s="82"/>
      <c r="H349" s="83"/>
      <c r="I349" s="36"/>
    </row>
    <row r="350" spans="1:9" s="37" customFormat="1" ht="15.75" customHeight="1" x14ac:dyDescent="0.25">
      <c r="A350" s="42">
        <f t="shared" ref="A350:A354" si="76">A349+1</f>
        <v>3</v>
      </c>
      <c r="B350" s="42" t="s">
        <v>198</v>
      </c>
      <c r="C350" s="42" t="s">
        <v>189</v>
      </c>
      <c r="D350" s="55">
        <f>(37.87+0.9*2.1+0.75*(2.1+3.53))*(10.764)</f>
        <v>473.42762999999997</v>
      </c>
      <c r="E350" s="42">
        <v>0</v>
      </c>
      <c r="F350" s="42">
        <f>D350*(($F$166)+1)+(IF(E350&lt;101,E350,IF(E350&lt;201,E350/2,IF(E350&lt;=301,E350/3,E350/4))))</f>
        <v>710.14144499999998</v>
      </c>
      <c r="G350" s="82"/>
      <c r="H350" s="83"/>
      <c r="I350" s="36"/>
    </row>
    <row r="351" spans="1:9" s="37" customFormat="1" ht="15.75" customHeight="1" x14ac:dyDescent="0.25">
      <c r="A351" s="42">
        <f t="shared" si="76"/>
        <v>4</v>
      </c>
      <c r="B351" s="42" t="s">
        <v>198</v>
      </c>
      <c r="C351" s="42" t="s">
        <v>189</v>
      </c>
      <c r="D351" s="55">
        <f>(39.12+0.9*2.1+0.75*(3.53+2.1))*(10.764)</f>
        <v>486.88263000000001</v>
      </c>
      <c r="E351" s="42">
        <v>0</v>
      </c>
      <c r="F351" s="42">
        <f>D351*(($F$166)+1)+(IF(E351&lt;101,E351,IF(E351&lt;201,E351/2,IF(E351&lt;=301,E351/3,E351/4))))</f>
        <v>730.32394499999998</v>
      </c>
      <c r="G351" s="82"/>
      <c r="H351" s="83"/>
      <c r="I351" s="36"/>
    </row>
    <row r="352" spans="1:9" s="37" customFormat="1" ht="15.75" customHeight="1" x14ac:dyDescent="0.25">
      <c r="A352" s="42">
        <f t="shared" si="76"/>
        <v>5</v>
      </c>
      <c r="B352" s="42" t="s">
        <v>198</v>
      </c>
      <c r="C352" s="42" t="s">
        <v>189</v>
      </c>
      <c r="D352" s="55">
        <f>(39.7+0.9*2.1+0.75*(2.1+3.745))*(10.764)</f>
        <v>494.861445</v>
      </c>
      <c r="E352" s="42">
        <v>0</v>
      </c>
      <c r="F352" s="42">
        <f t="shared" ref="F352" si="77">D352*(($F$166)+1)+(IF(E352&lt;101,E352,IF(E352&lt;201,E352/2,IF(E352&lt;=301,E352/3,E352/4))))</f>
        <v>742.29216750000001</v>
      </c>
      <c r="G352" s="82"/>
      <c r="H352" s="83"/>
      <c r="I352" s="36"/>
    </row>
    <row r="353" spans="1:9" s="37" customFormat="1" ht="15.75" customHeight="1" x14ac:dyDescent="0.25">
      <c r="A353" s="42">
        <f t="shared" si="76"/>
        <v>6</v>
      </c>
      <c r="B353" s="42" t="s">
        <v>198</v>
      </c>
      <c r="C353" s="42" t="s">
        <v>189</v>
      </c>
      <c r="D353" s="55">
        <f>(39.7+0.9*2.1+0.75*(2.1+3.745))*(10.764)</f>
        <v>494.861445</v>
      </c>
      <c r="E353" s="42">
        <v>0</v>
      </c>
      <c r="F353" s="42">
        <f>D353*(($F$166)+1)+(IF(E353&lt;101,E353,IF(E353&lt;201,E353/2,IF(E353&lt;=301,E353/3,E353/4))))</f>
        <v>742.29216750000001</v>
      </c>
      <c r="G353" s="82"/>
      <c r="H353" s="83"/>
      <c r="I353" s="36"/>
    </row>
    <row r="354" spans="1:9" s="37" customFormat="1" ht="15.75" customHeight="1" x14ac:dyDescent="0.25">
      <c r="A354" s="42">
        <f t="shared" si="76"/>
        <v>7</v>
      </c>
      <c r="B354" s="42" t="s">
        <v>198</v>
      </c>
      <c r="C354" s="42" t="s">
        <v>190</v>
      </c>
      <c r="D354" s="55">
        <f>(48.85+0.9*2.1+0.75*(2.75+2.75+2.1))*(10.764)</f>
        <v>607.52015999999992</v>
      </c>
      <c r="E354" s="42">
        <v>0</v>
      </c>
      <c r="F354" s="42">
        <f t="shared" ref="F354" si="78">D354*(($F$166)+1)+(IF(E354&lt;101,E354,IF(E354&lt;201,E354/2,IF(E354&lt;=301,E354/3,E354/4))))</f>
        <v>911.28023999999982</v>
      </c>
      <c r="G354" s="84"/>
      <c r="H354" s="85"/>
      <c r="I354" s="36"/>
    </row>
    <row r="355" spans="1:9" s="37" customFormat="1" x14ac:dyDescent="0.25">
      <c r="A355" s="95" t="s">
        <v>215</v>
      </c>
      <c r="B355" s="96"/>
      <c r="C355" s="96"/>
      <c r="D355" s="96"/>
      <c r="E355" s="96"/>
      <c r="F355" s="96"/>
      <c r="G355" s="96"/>
      <c r="H355" s="97"/>
      <c r="I355" s="36"/>
    </row>
    <row r="356" spans="1:9" s="37" customFormat="1" ht="15.75" customHeight="1" x14ac:dyDescent="0.25">
      <c r="A356" s="42">
        <v>1</v>
      </c>
      <c r="B356" s="42" t="s">
        <v>198</v>
      </c>
      <c r="C356" s="42" t="s">
        <v>189</v>
      </c>
      <c r="D356" s="55">
        <f>(37.24+0.9*2.1+0.75*(2.1+2.78))*(10.764)</f>
        <v>460.59156000000002</v>
      </c>
      <c r="E356" s="42">
        <v>0</v>
      </c>
      <c r="F356" s="42">
        <f>D356*(($F$166)+1)+(IF(E356&lt;101,E356,IF(E356&lt;201,E356/2,IF(E356&lt;=301,E356/3,E356/4))))</f>
        <v>690.88733999999999</v>
      </c>
      <c r="G356" s="80" t="str">
        <f>A355</f>
        <v>3rd Floor (Part Refuge Area)</v>
      </c>
      <c r="H356" s="81"/>
      <c r="I356" s="36"/>
    </row>
    <row r="357" spans="1:9" s="37" customFormat="1" ht="15.75" customHeight="1" x14ac:dyDescent="0.25">
      <c r="A357" s="42">
        <f>A356+1</f>
        <v>2</v>
      </c>
      <c r="B357" s="42" t="s">
        <v>198</v>
      </c>
      <c r="C357" s="42" t="s">
        <v>189</v>
      </c>
      <c r="D357" s="55">
        <f>(37.88+0.9*2.1+0.75*(2.1+3.53))*(10.764)</f>
        <v>473.53527000000003</v>
      </c>
      <c r="E357" s="42">
        <v>0</v>
      </c>
      <c r="F357" s="42">
        <f t="shared" ref="F357" si="79">D357*(($F$166)+1)+(IF(E357&lt;101,E357,IF(E357&lt;201,E357/2,IF(E357&lt;=301,E357/3,E357/4))))</f>
        <v>710.30290500000001</v>
      </c>
      <c r="G357" s="82"/>
      <c r="H357" s="83"/>
      <c r="I357" s="36"/>
    </row>
    <row r="358" spans="1:9" s="37" customFormat="1" ht="15.75" customHeight="1" x14ac:dyDescent="0.25">
      <c r="A358" s="42">
        <f t="shared" ref="A358:A362" si="80">A357+1</f>
        <v>3</v>
      </c>
      <c r="B358" s="42" t="s">
        <v>198</v>
      </c>
      <c r="C358" s="42" t="s">
        <v>189</v>
      </c>
      <c r="D358" s="55">
        <f>(37.87+0.9*2.1+0.75*(2.1+3.53))*(10.764)</f>
        <v>473.42762999999997</v>
      </c>
      <c r="E358" s="42">
        <v>0</v>
      </c>
      <c r="F358" s="42">
        <f>D358*(($F$166)+1)+(IF(E358&lt;101,E358,IF(E358&lt;201,E358/2,IF(E358&lt;=301,E358/3,E358/4))))</f>
        <v>710.14144499999998</v>
      </c>
      <c r="G358" s="82"/>
      <c r="H358" s="83"/>
      <c r="I358" s="36"/>
    </row>
    <row r="359" spans="1:9" s="37" customFormat="1" ht="15.75" customHeight="1" x14ac:dyDescent="0.25">
      <c r="A359" s="42">
        <f t="shared" si="80"/>
        <v>4</v>
      </c>
      <c r="B359" s="42" t="s">
        <v>198</v>
      </c>
      <c r="C359" s="42" t="s">
        <v>189</v>
      </c>
      <c r="D359" s="55">
        <f>(39.12+0.9*2.1+0.75*(3.53+2.1))*(10.764)</f>
        <v>486.88263000000001</v>
      </c>
      <c r="E359" s="42">
        <v>0</v>
      </c>
      <c r="F359" s="42">
        <f>D359*(($F$166)+1)+(IF(E359&lt;101,E359,IF(E359&lt;201,E359/2,IF(E359&lt;=301,E359/3,E359/4))))</f>
        <v>730.32394499999998</v>
      </c>
      <c r="G359" s="82"/>
      <c r="H359" s="83"/>
      <c r="I359" s="36"/>
    </row>
    <row r="360" spans="1:9" s="37" customFormat="1" ht="15.75" customHeight="1" x14ac:dyDescent="0.25">
      <c r="A360" s="42">
        <f t="shared" si="80"/>
        <v>5</v>
      </c>
      <c r="B360" s="42" t="s">
        <v>198</v>
      </c>
      <c r="C360" s="42" t="s">
        <v>189</v>
      </c>
      <c r="D360" s="55">
        <f>(39.7+0.9*2.1+0.75*(2.1+3.745))*(10.764)</f>
        <v>494.861445</v>
      </c>
      <c r="E360" s="42">
        <v>0</v>
      </c>
      <c r="F360" s="42">
        <f>D360*(($F$166)+1)+(IF(E360&lt;101,E360,IF(E360&lt;201,E360/2,IF(E360&lt;=301,E360/3,E360/4))))</f>
        <v>742.29216750000001</v>
      </c>
      <c r="G360" s="82"/>
      <c r="H360" s="83"/>
      <c r="I360" s="36"/>
    </row>
    <row r="361" spans="1:9" s="37" customFormat="1" ht="15.75" customHeight="1" x14ac:dyDescent="0.25">
      <c r="A361" s="42">
        <f t="shared" si="80"/>
        <v>6</v>
      </c>
      <c r="B361" s="42" t="s">
        <v>198</v>
      </c>
      <c r="C361" s="42" t="s">
        <v>189</v>
      </c>
      <c r="D361" s="55">
        <f>(39.7+0.9*2.1+0.75*(2.1+3.745))*(10.764)</f>
        <v>494.861445</v>
      </c>
      <c r="E361" s="42">
        <v>0</v>
      </c>
      <c r="F361" s="42">
        <f t="shared" ref="F361" si="81">D361*(($F$166)+1)+(IF(E361&lt;101,E361,IF(E361&lt;201,E361/2,IF(E361&lt;=301,E361/3,E361/4))))</f>
        <v>742.29216750000001</v>
      </c>
      <c r="G361" s="82"/>
      <c r="H361" s="83"/>
      <c r="I361" s="36"/>
    </row>
    <row r="362" spans="1:9" s="37" customFormat="1" ht="15.75" customHeight="1" x14ac:dyDescent="0.25">
      <c r="A362" s="42">
        <f t="shared" si="80"/>
        <v>7</v>
      </c>
      <c r="B362" s="98" t="s">
        <v>192</v>
      </c>
      <c r="C362" s="99"/>
      <c r="D362" s="99"/>
      <c r="E362" s="99"/>
      <c r="F362" s="100"/>
      <c r="G362" s="84"/>
      <c r="H362" s="85"/>
      <c r="I362" s="36"/>
    </row>
    <row r="363" spans="1:9" s="37" customFormat="1" x14ac:dyDescent="0.25">
      <c r="A363" s="95" t="s">
        <v>216</v>
      </c>
      <c r="B363" s="96"/>
      <c r="C363" s="96"/>
      <c r="D363" s="96"/>
      <c r="E363" s="96"/>
      <c r="F363" s="96"/>
      <c r="G363" s="96"/>
      <c r="H363" s="97"/>
      <c r="I363" s="36"/>
    </row>
    <row r="364" spans="1:9" s="37" customFormat="1" ht="15.75" customHeight="1" x14ac:dyDescent="0.25">
      <c r="A364" s="42">
        <v>1</v>
      </c>
      <c r="B364" s="42" t="s">
        <v>198</v>
      </c>
      <c r="C364" s="42" t="s">
        <v>189</v>
      </c>
      <c r="D364" s="55">
        <f>(37.24+0.9*2.1+0.75*(2.1+2.78))*(10.764)</f>
        <v>460.59156000000002</v>
      </c>
      <c r="E364" s="42">
        <v>0</v>
      </c>
      <c r="F364" s="42">
        <f>D364*(($F$166)+1)+(IF(E364&lt;101,E364,IF(E364&lt;201,E364/2,IF(E364&lt;=301,E364/3,E364/4))))</f>
        <v>690.88733999999999</v>
      </c>
      <c r="G364" s="80" t="str">
        <f>A363</f>
        <v>4th to 6th Floor</v>
      </c>
      <c r="H364" s="81"/>
      <c r="I364" s="36"/>
    </row>
    <row r="365" spans="1:9" s="37" customFormat="1" ht="15.75" customHeight="1" x14ac:dyDescent="0.25">
      <c r="A365" s="42">
        <f>A364+1</f>
        <v>2</v>
      </c>
      <c r="B365" s="42" t="s">
        <v>198</v>
      </c>
      <c r="C365" s="42" t="s">
        <v>189</v>
      </c>
      <c r="D365" s="55">
        <f>(37.88+0.9*2.1+0.75*(2.1+3.53))*(10.764)</f>
        <v>473.53527000000003</v>
      </c>
      <c r="E365" s="42">
        <v>0</v>
      </c>
      <c r="F365" s="42">
        <f t="shared" ref="F365" si="82">D365*(($F$166)+1)+(IF(E365&lt;101,E365,IF(E365&lt;201,E365/2,IF(E365&lt;=301,E365/3,E365/4))))</f>
        <v>710.30290500000001</v>
      </c>
      <c r="G365" s="82"/>
      <c r="H365" s="83"/>
      <c r="I365" s="36"/>
    </row>
    <row r="366" spans="1:9" s="37" customFormat="1" ht="15.75" customHeight="1" x14ac:dyDescent="0.25">
      <c r="A366" s="42">
        <f t="shared" ref="A366:A370" si="83">A365+1</f>
        <v>3</v>
      </c>
      <c r="B366" s="42" t="s">
        <v>198</v>
      </c>
      <c r="C366" s="42" t="s">
        <v>189</v>
      </c>
      <c r="D366" s="55">
        <f>(37.87+0.9*2.1+0.75*(2.1+3.53))*(10.764)</f>
        <v>473.42762999999997</v>
      </c>
      <c r="E366" s="42">
        <v>0</v>
      </c>
      <c r="F366" s="42">
        <f>D366*(($F$166)+1)+(IF(E366&lt;101,E366,IF(E366&lt;201,E366/2,IF(E366&lt;=301,E366/3,E366/4))))</f>
        <v>710.14144499999998</v>
      </c>
      <c r="G366" s="82"/>
      <c r="H366" s="83"/>
      <c r="I366" s="36"/>
    </row>
    <row r="367" spans="1:9" s="37" customFormat="1" ht="15.75" customHeight="1" x14ac:dyDescent="0.25">
      <c r="A367" s="42">
        <f t="shared" si="83"/>
        <v>4</v>
      </c>
      <c r="B367" s="42" t="s">
        <v>198</v>
      </c>
      <c r="C367" s="42" t="s">
        <v>189</v>
      </c>
      <c r="D367" s="55">
        <f>(39.12+0.9*2.1+0.75*(3.53+2.1))*(10.764)</f>
        <v>486.88263000000001</v>
      </c>
      <c r="E367" s="42">
        <v>0</v>
      </c>
      <c r="F367" s="42">
        <f>D367*(($F$166)+1)+(IF(E367&lt;101,E367,IF(E367&lt;201,E367/2,IF(E367&lt;=301,E367/3,E367/4))))</f>
        <v>730.32394499999998</v>
      </c>
      <c r="G367" s="82"/>
      <c r="H367" s="83"/>
      <c r="I367" s="36"/>
    </row>
    <row r="368" spans="1:9" s="37" customFormat="1" ht="15.75" customHeight="1" x14ac:dyDescent="0.25">
      <c r="A368" s="42">
        <f t="shared" si="83"/>
        <v>5</v>
      </c>
      <c r="B368" s="42" t="s">
        <v>198</v>
      </c>
      <c r="C368" s="42" t="s">
        <v>189</v>
      </c>
      <c r="D368" s="55">
        <f>(39.7+0.9*2.1+0.75*(2.1+3.745))*(10.764)</f>
        <v>494.861445</v>
      </c>
      <c r="E368" s="42">
        <v>0</v>
      </c>
      <c r="F368" s="42">
        <f>D368*(($F$166)+1)+(IF(E368&lt;101,E368,IF(E368&lt;201,E368/2,IF(E368&lt;=301,E368/3,E368/4))))</f>
        <v>742.29216750000001</v>
      </c>
      <c r="G368" s="82"/>
      <c r="H368" s="83"/>
      <c r="I368" s="36"/>
    </row>
    <row r="369" spans="1:9" s="37" customFormat="1" ht="15.75" customHeight="1" x14ac:dyDescent="0.25">
      <c r="A369" s="42">
        <f t="shared" si="83"/>
        <v>6</v>
      </c>
      <c r="B369" s="42" t="s">
        <v>198</v>
      </c>
      <c r="C369" s="42" t="s">
        <v>189</v>
      </c>
      <c r="D369" s="55">
        <f>(39.7+0.9*2.1+0.75*(2.1+3.745))*(10.764)</f>
        <v>494.861445</v>
      </c>
      <c r="E369" s="42">
        <v>0</v>
      </c>
      <c r="F369" s="42">
        <f t="shared" ref="F369" si="84">D369*(($F$166)+1)+(IF(E369&lt;101,E369,IF(E369&lt;201,E369/2,IF(E369&lt;=301,E369/3,E369/4))))</f>
        <v>742.29216750000001</v>
      </c>
      <c r="G369" s="82"/>
      <c r="H369" s="83"/>
      <c r="I369" s="36"/>
    </row>
    <row r="370" spans="1:9" s="37" customFormat="1" ht="15.75" customHeight="1" x14ac:dyDescent="0.25">
      <c r="A370" s="42">
        <f t="shared" si="83"/>
        <v>7</v>
      </c>
      <c r="B370" s="42" t="s">
        <v>198</v>
      </c>
      <c r="C370" s="42" t="s">
        <v>190</v>
      </c>
      <c r="D370" s="55">
        <f>(48.85+0.9*2.1+0.75*(2.75+2.75+2.1))*(10.764)</f>
        <v>607.52015999999992</v>
      </c>
      <c r="E370" s="42">
        <v>0</v>
      </c>
      <c r="F370" s="42">
        <f>D370*(($F$166)+1)+(IF(E370&lt;101,E370,IF(E370&lt;201,E370/2,IF(E370&lt;=301,E370/3,E370/4))))</f>
        <v>911.28023999999982</v>
      </c>
      <c r="G370" s="84"/>
      <c r="H370" s="85"/>
      <c r="I370" s="36"/>
    </row>
    <row r="371" spans="1:9" s="37" customFormat="1" x14ac:dyDescent="0.25">
      <c r="A371" s="95" t="s">
        <v>217</v>
      </c>
      <c r="B371" s="96"/>
      <c r="C371" s="96"/>
      <c r="D371" s="96"/>
      <c r="E371" s="96"/>
      <c r="F371" s="96"/>
      <c r="G371" s="96"/>
      <c r="H371" s="97"/>
      <c r="I371" s="36"/>
    </row>
    <row r="372" spans="1:9" s="37" customFormat="1" ht="15.75" customHeight="1" x14ac:dyDescent="0.25">
      <c r="A372" s="42">
        <v>1</v>
      </c>
      <c r="B372" s="42" t="s">
        <v>198</v>
      </c>
      <c r="C372" s="42" t="s">
        <v>189</v>
      </c>
      <c r="D372" s="55">
        <f>(37.24+0.9*2.1+0.75*(2.1+2.78))*(10.764)</f>
        <v>460.59156000000002</v>
      </c>
      <c r="E372" s="42">
        <v>0</v>
      </c>
      <c r="F372" s="42">
        <f>D372*(($F$166)+1)+(IF(E372&lt;101,E372,IF(E372&lt;201,E372/2,IF(E372&lt;=301,E372/3,E372/4))))</f>
        <v>690.88733999999999</v>
      </c>
      <c r="G372" s="80" t="str">
        <f>A371</f>
        <v>7th, 11th &amp; 15th Floor (Part Refuge Area)</v>
      </c>
      <c r="H372" s="81"/>
      <c r="I372" s="36"/>
    </row>
    <row r="373" spans="1:9" s="37" customFormat="1" ht="15.75" customHeight="1" x14ac:dyDescent="0.25">
      <c r="A373" s="42">
        <f>A372+1</f>
        <v>2</v>
      </c>
      <c r="B373" s="42" t="s">
        <v>198</v>
      </c>
      <c r="C373" s="42" t="s">
        <v>189</v>
      </c>
      <c r="D373" s="55">
        <f>(37.88+0.9*2.1+0.75*(2.1+3.53))*(10.764)</f>
        <v>473.53527000000003</v>
      </c>
      <c r="E373" s="42">
        <v>0</v>
      </c>
      <c r="F373" s="42">
        <f t="shared" ref="F373" si="85">D373*(($F$166)+1)+(IF(E373&lt;101,E373,IF(E373&lt;201,E373/2,IF(E373&lt;=301,E373/3,E373/4))))</f>
        <v>710.30290500000001</v>
      </c>
      <c r="G373" s="82"/>
      <c r="H373" s="83"/>
      <c r="I373" s="36"/>
    </row>
    <row r="374" spans="1:9" s="37" customFormat="1" ht="15.75" customHeight="1" x14ac:dyDescent="0.25">
      <c r="A374" s="42">
        <f t="shared" ref="A374:A378" si="86">A373+1</f>
        <v>3</v>
      </c>
      <c r="B374" s="42" t="s">
        <v>198</v>
      </c>
      <c r="C374" s="42" t="s">
        <v>189</v>
      </c>
      <c r="D374" s="55">
        <f>(37.87+0.9*2.1+0.75*(2.1+3.53))*(10.764)</f>
        <v>473.42762999999997</v>
      </c>
      <c r="E374" s="42">
        <v>0</v>
      </c>
      <c r="F374" s="42">
        <f>D374*(($F$166)+1)+(IF(E374&lt;101,E374,IF(E374&lt;201,E374/2,IF(E374&lt;=301,E374/3,E374/4))))</f>
        <v>710.14144499999998</v>
      </c>
      <c r="G374" s="82"/>
      <c r="H374" s="83"/>
      <c r="I374" s="36"/>
    </row>
    <row r="375" spans="1:9" s="37" customFormat="1" ht="15.75" customHeight="1" x14ac:dyDescent="0.25">
      <c r="A375" s="42">
        <f t="shared" si="86"/>
        <v>4</v>
      </c>
      <c r="B375" s="42" t="s">
        <v>198</v>
      </c>
      <c r="C375" s="42" t="s">
        <v>189</v>
      </c>
      <c r="D375" s="55">
        <f>(39.12+0.9*2.1+0.75*(3.53+2.1))*(10.764)</f>
        <v>486.88263000000001</v>
      </c>
      <c r="E375" s="42">
        <v>0</v>
      </c>
      <c r="F375" s="42">
        <f>D375*(($F$166)+1)+(IF(E375&lt;101,E375,IF(E375&lt;201,E375/2,IF(E375&lt;=301,E375/3,E375/4))))</f>
        <v>730.32394499999998</v>
      </c>
      <c r="G375" s="82"/>
      <c r="H375" s="83"/>
      <c r="I375" s="36"/>
    </row>
    <row r="376" spans="1:9" s="37" customFormat="1" ht="15.75" customHeight="1" x14ac:dyDescent="0.25">
      <c r="A376" s="42">
        <f t="shared" si="86"/>
        <v>5</v>
      </c>
      <c r="B376" s="42" t="s">
        <v>198</v>
      </c>
      <c r="C376" s="42" t="s">
        <v>189</v>
      </c>
      <c r="D376" s="55">
        <f>(39.7+0.9*2.1+0.75*(2.1+3.745))*(10.764)</f>
        <v>494.861445</v>
      </c>
      <c r="E376" s="42">
        <v>0</v>
      </c>
      <c r="F376" s="42">
        <f>D376*(($F$166)+1)+(IF(E376&lt;101,E376,IF(E376&lt;201,E376/2,IF(E376&lt;=301,E376/3,E376/4))))</f>
        <v>742.29216750000001</v>
      </c>
      <c r="G376" s="82"/>
      <c r="H376" s="83"/>
      <c r="I376" s="36"/>
    </row>
    <row r="377" spans="1:9" s="37" customFormat="1" ht="15.75" customHeight="1" x14ac:dyDescent="0.25">
      <c r="A377" s="42">
        <f t="shared" si="86"/>
        <v>6</v>
      </c>
      <c r="B377" s="42" t="s">
        <v>198</v>
      </c>
      <c r="C377" s="42" t="s">
        <v>189</v>
      </c>
      <c r="D377" s="55">
        <f>(39.7+0.9*2.1+0.75*(2.1+3.745))*(10.764)</f>
        <v>494.861445</v>
      </c>
      <c r="E377" s="42">
        <v>0</v>
      </c>
      <c r="F377" s="42">
        <f>D377*(($F$166)+1)+(IF(E377&lt;101,E377,IF(E377&lt;201,E377/2,IF(E377&lt;=301,E377/3,E377/4))))</f>
        <v>742.29216750000001</v>
      </c>
      <c r="G377" s="82"/>
      <c r="H377" s="83"/>
      <c r="I377" s="36"/>
    </row>
    <row r="378" spans="1:9" s="37" customFormat="1" ht="15.75" customHeight="1" x14ac:dyDescent="0.25">
      <c r="A378" s="42">
        <f t="shared" si="86"/>
        <v>7</v>
      </c>
      <c r="B378" s="98" t="s">
        <v>192</v>
      </c>
      <c r="C378" s="99"/>
      <c r="D378" s="99"/>
      <c r="E378" s="99"/>
      <c r="F378" s="100"/>
      <c r="G378" s="84"/>
      <c r="H378" s="85"/>
      <c r="I378" s="36"/>
    </row>
    <row r="379" spans="1:9" s="37" customFormat="1" x14ac:dyDescent="0.25">
      <c r="A379" s="95" t="s">
        <v>218</v>
      </c>
      <c r="B379" s="96"/>
      <c r="C379" s="96"/>
      <c r="D379" s="96"/>
      <c r="E379" s="96"/>
      <c r="F379" s="96"/>
      <c r="G379" s="96"/>
      <c r="H379" s="97"/>
      <c r="I379" s="36"/>
    </row>
    <row r="380" spans="1:9" s="37" customFormat="1" ht="15.75" customHeight="1" x14ac:dyDescent="0.25">
      <c r="A380" s="42">
        <v>1</v>
      </c>
      <c r="B380" s="42" t="s">
        <v>198</v>
      </c>
      <c r="C380" s="42" t="s">
        <v>189</v>
      </c>
      <c r="D380" s="55">
        <f>(37.24+0.9*2.1+0.75*(2.1+2.78))*(10.764)</f>
        <v>460.59156000000002</v>
      </c>
      <c r="E380" s="42">
        <v>0</v>
      </c>
      <c r="F380" s="42">
        <f>D380*(($F$166)+1)+(IF(E380&lt;101,E380,IF(E380&lt;201,E380/2,IF(E380&lt;=301,E380/3,E380/4))))</f>
        <v>690.88733999999999</v>
      </c>
      <c r="G380" s="80" t="str">
        <f>A379</f>
        <v>8th to 10th, 12th to 14th &amp; 16th Floor</v>
      </c>
      <c r="H380" s="81"/>
      <c r="I380" s="36"/>
    </row>
    <row r="381" spans="1:9" s="37" customFormat="1" ht="15.75" customHeight="1" x14ac:dyDescent="0.25">
      <c r="A381" s="42">
        <f>A380+1</f>
        <v>2</v>
      </c>
      <c r="B381" s="42" t="s">
        <v>198</v>
      </c>
      <c r="C381" s="42" t="s">
        <v>189</v>
      </c>
      <c r="D381" s="55">
        <f>(37.88+0.9*2.1+0.75*(2.1+3.53))*(10.764)</f>
        <v>473.53527000000003</v>
      </c>
      <c r="E381" s="42">
        <v>0</v>
      </c>
      <c r="F381" s="42">
        <f t="shared" ref="F381" si="87">D381*(($F$166)+1)+(IF(E381&lt;101,E381,IF(E381&lt;201,E381/2,IF(E381&lt;=301,E381/3,E381/4))))</f>
        <v>710.30290500000001</v>
      </c>
      <c r="G381" s="82"/>
      <c r="H381" s="83"/>
      <c r="I381" s="36"/>
    </row>
    <row r="382" spans="1:9" s="37" customFormat="1" ht="15.75" customHeight="1" x14ac:dyDescent="0.25">
      <c r="A382" s="42">
        <f t="shared" ref="A382:A386" si="88">A381+1</f>
        <v>3</v>
      </c>
      <c r="B382" s="42" t="s">
        <v>198</v>
      </c>
      <c r="C382" s="42" t="s">
        <v>189</v>
      </c>
      <c r="D382" s="55">
        <f>(37.87+0.9*2.1+0.75*(2.1+3.53))*(10.764)</f>
        <v>473.42762999999997</v>
      </c>
      <c r="E382" s="42">
        <v>0</v>
      </c>
      <c r="F382" s="42">
        <f>D382*(($F$166)+1)+(IF(E382&lt;101,E382,IF(E382&lt;201,E382/2,IF(E382&lt;=301,E382/3,E382/4))))</f>
        <v>710.14144499999998</v>
      </c>
      <c r="G382" s="82"/>
      <c r="H382" s="83"/>
      <c r="I382" s="36"/>
    </row>
    <row r="383" spans="1:9" s="37" customFormat="1" ht="15.75" customHeight="1" x14ac:dyDescent="0.25">
      <c r="A383" s="42">
        <f t="shared" si="88"/>
        <v>4</v>
      </c>
      <c r="B383" s="42" t="s">
        <v>198</v>
      </c>
      <c r="C383" s="42" t="s">
        <v>189</v>
      </c>
      <c r="D383" s="55">
        <f>(39.12+0.9*2.1+0.75*(3.53+2.1))*(10.764)</f>
        <v>486.88263000000001</v>
      </c>
      <c r="E383" s="42">
        <v>0</v>
      </c>
      <c r="F383" s="42">
        <f>D383*(($F$166)+1)+(IF(E383&lt;101,E383,IF(E383&lt;201,E383/2,IF(E383&lt;=301,E383/3,E383/4))))</f>
        <v>730.32394499999998</v>
      </c>
      <c r="G383" s="82"/>
      <c r="H383" s="83"/>
      <c r="I383" s="36"/>
    </row>
    <row r="384" spans="1:9" s="37" customFormat="1" ht="15.75" customHeight="1" x14ac:dyDescent="0.25">
      <c r="A384" s="42">
        <f t="shared" si="88"/>
        <v>5</v>
      </c>
      <c r="B384" s="42" t="s">
        <v>198</v>
      </c>
      <c r="C384" s="42" t="s">
        <v>189</v>
      </c>
      <c r="D384" s="55">
        <f>(39.7+0.9*2.1+0.75*(2.1+3.745))*(10.764)</f>
        <v>494.861445</v>
      </c>
      <c r="E384" s="42">
        <v>0</v>
      </c>
      <c r="F384" s="42">
        <f>D384*(($F$166)+1)+(IF(E384&lt;101,E384,IF(E384&lt;201,E384/2,IF(E384&lt;=301,E384/3,E384/4))))</f>
        <v>742.29216750000001</v>
      </c>
      <c r="G384" s="82"/>
      <c r="H384" s="83"/>
      <c r="I384" s="36"/>
    </row>
    <row r="385" spans="1:9" s="37" customFormat="1" ht="15.75" customHeight="1" x14ac:dyDescent="0.25">
      <c r="A385" s="42">
        <f t="shared" si="88"/>
        <v>6</v>
      </c>
      <c r="B385" s="42" t="s">
        <v>198</v>
      </c>
      <c r="C385" s="42" t="s">
        <v>189</v>
      </c>
      <c r="D385" s="55">
        <f>(39.7+0.9*2.1+0.75*(2.1+3.745))*(10.764)</f>
        <v>494.861445</v>
      </c>
      <c r="E385" s="42">
        <v>0</v>
      </c>
      <c r="F385" s="42">
        <f>D385*(($F$166)+1)+(IF(E385&lt;101,E385,IF(E385&lt;201,E385/2,IF(E385&lt;=301,E385/3,E385/4))))</f>
        <v>742.29216750000001</v>
      </c>
      <c r="G385" s="82"/>
      <c r="H385" s="83"/>
      <c r="I385" s="36"/>
    </row>
    <row r="386" spans="1:9" s="37" customFormat="1" ht="15.75" customHeight="1" x14ac:dyDescent="0.25">
      <c r="A386" s="42">
        <f t="shared" si="88"/>
        <v>7</v>
      </c>
      <c r="B386" s="42" t="s">
        <v>198</v>
      </c>
      <c r="C386" s="42" t="s">
        <v>190</v>
      </c>
      <c r="D386" s="55">
        <f>(48.85+0.9*2.1+0.75*(2.75+2.75+2.1))*(10.764)</f>
        <v>607.52015999999992</v>
      </c>
      <c r="E386" s="42">
        <v>0</v>
      </c>
      <c r="F386" s="42">
        <f>D386*(($F$166)+1)+(IF(E386&lt;101,E386,IF(E386&lt;201,E386/2,IF(E386&lt;=301,E386/3,E386/4))))</f>
        <v>911.28023999999982</v>
      </c>
      <c r="G386" s="84"/>
      <c r="H386" s="85"/>
      <c r="I386" s="36"/>
    </row>
    <row r="387" spans="1:9" s="37" customFormat="1" x14ac:dyDescent="0.25">
      <c r="A387" s="95" t="s">
        <v>219</v>
      </c>
      <c r="B387" s="96"/>
      <c r="C387" s="96"/>
      <c r="D387" s="96"/>
      <c r="E387" s="96"/>
      <c r="F387" s="96"/>
      <c r="G387" s="96"/>
      <c r="H387" s="97"/>
      <c r="I387" s="36"/>
    </row>
    <row r="388" spans="1:9" s="37" customFormat="1" ht="15.75" customHeight="1" x14ac:dyDescent="0.25">
      <c r="A388" s="42">
        <v>1</v>
      </c>
      <c r="B388" s="42" t="s">
        <v>198</v>
      </c>
      <c r="C388" s="42" t="s">
        <v>189</v>
      </c>
      <c r="D388" s="55">
        <f>(37.24+0.9*2.1+0.75*(2.1+2.78))*(10.764)</f>
        <v>460.59156000000002</v>
      </c>
      <c r="E388" s="42">
        <v>0</v>
      </c>
      <c r="F388" s="42">
        <f>D388*(($F$166)+1)+(IF(E388&lt;101,E388,IF(E388&lt;201,E388/2,IF(E388&lt;=301,E388/3,E388/4))))</f>
        <v>690.88733999999999</v>
      </c>
      <c r="G388" s="80" t="str">
        <f>A387</f>
        <v>17th &amp; 18th Floor</v>
      </c>
      <c r="H388" s="81"/>
      <c r="I388" s="36"/>
    </row>
    <row r="389" spans="1:9" s="37" customFormat="1" ht="15.75" customHeight="1" x14ac:dyDescent="0.25">
      <c r="A389" s="42">
        <f>A388+1</f>
        <v>2</v>
      </c>
      <c r="B389" s="42" t="s">
        <v>198</v>
      </c>
      <c r="C389" s="42" t="s">
        <v>189</v>
      </c>
      <c r="D389" s="55">
        <f>(37.88+0.9*2.1+0.75*(2.1+3.53))*(10.764)</f>
        <v>473.53527000000003</v>
      </c>
      <c r="E389" s="42">
        <v>0</v>
      </c>
      <c r="F389" s="42">
        <f t="shared" ref="F389" si="89">D389*(($F$166)+1)+(IF(E389&lt;101,E389,IF(E389&lt;201,E389/2,IF(E389&lt;=301,E389/3,E389/4))))</f>
        <v>710.30290500000001</v>
      </c>
      <c r="G389" s="82"/>
      <c r="H389" s="83"/>
      <c r="I389" s="36"/>
    </row>
    <row r="390" spans="1:9" s="37" customFormat="1" ht="15.75" customHeight="1" x14ac:dyDescent="0.25">
      <c r="A390" s="42">
        <f t="shared" ref="A390:A394" si="90">A389+1</f>
        <v>3</v>
      </c>
      <c r="B390" s="42" t="s">
        <v>198</v>
      </c>
      <c r="C390" s="42" t="s">
        <v>189</v>
      </c>
      <c r="D390" s="55">
        <f>(37.87+0.9*2.1+0.75*(2.1+3.53))*(10.764)</f>
        <v>473.42762999999997</v>
      </c>
      <c r="E390" s="42">
        <v>0</v>
      </c>
      <c r="F390" s="42">
        <f>D390*(($F$166)+1)+(IF(E390&lt;101,E390,IF(E390&lt;201,E390/2,IF(E390&lt;=301,E390/3,E390/4))))</f>
        <v>710.14144499999998</v>
      </c>
      <c r="G390" s="82"/>
      <c r="H390" s="83"/>
      <c r="I390" s="36"/>
    </row>
    <row r="391" spans="1:9" s="37" customFormat="1" ht="15.75" customHeight="1" x14ac:dyDescent="0.25">
      <c r="A391" s="42">
        <f t="shared" si="90"/>
        <v>4</v>
      </c>
      <c r="B391" s="42" t="s">
        <v>199</v>
      </c>
      <c r="C391" s="42" t="s">
        <v>189</v>
      </c>
      <c r="D391" s="55">
        <f>(39.12+0.9*2.1+0.75*(3.53+2.1))*(10.764)</f>
        <v>486.88263000000001</v>
      </c>
      <c r="E391" s="42">
        <v>0</v>
      </c>
      <c r="F391" s="42">
        <f>D391*(($F$166)+1)+(IF(E391&lt;101,E391,IF(E391&lt;201,E391/2,IF(E391&lt;=301,E391/3,E391/4))))</f>
        <v>730.32394499999998</v>
      </c>
      <c r="G391" s="82"/>
      <c r="H391" s="83"/>
      <c r="I391" s="36"/>
    </row>
    <row r="392" spans="1:9" s="37" customFormat="1" ht="15.75" customHeight="1" x14ac:dyDescent="0.25">
      <c r="A392" s="42">
        <f t="shared" si="90"/>
        <v>5</v>
      </c>
      <c r="B392" s="42" t="s">
        <v>198</v>
      </c>
      <c r="C392" s="42" t="s">
        <v>189</v>
      </c>
      <c r="D392" s="55">
        <f>(39.7+0.9*2.1+0.75*(2.1+3.745))*(10.764)</f>
        <v>494.861445</v>
      </c>
      <c r="E392" s="42">
        <v>0</v>
      </c>
      <c r="F392" s="42">
        <f>D392*(($F$166)+1)+(IF(E392&lt;101,E392,IF(E392&lt;201,E392/2,IF(E392&lt;=301,E392/3,E392/4))))</f>
        <v>742.29216750000001</v>
      </c>
      <c r="G392" s="82"/>
      <c r="H392" s="83"/>
      <c r="I392" s="36"/>
    </row>
    <row r="393" spans="1:9" s="37" customFormat="1" ht="15.75" customHeight="1" x14ac:dyDescent="0.25">
      <c r="A393" s="42">
        <f t="shared" si="90"/>
        <v>6</v>
      </c>
      <c r="B393" s="42" t="s">
        <v>198</v>
      </c>
      <c r="C393" s="42" t="s">
        <v>189</v>
      </c>
      <c r="D393" s="55">
        <f>(39.7+0.9*2.1+0.75*(2.1+3.745))*(10.764)</f>
        <v>494.861445</v>
      </c>
      <c r="E393" s="42">
        <v>0</v>
      </c>
      <c r="F393" s="42">
        <f>D393*(($F$166)+1)+(IF(E393&lt;101,E393,IF(E393&lt;201,E393/2,IF(E393&lt;=301,E393/3,E393/4))))</f>
        <v>742.29216750000001</v>
      </c>
      <c r="G393" s="82"/>
      <c r="H393" s="83"/>
      <c r="I393" s="36"/>
    </row>
    <row r="394" spans="1:9" s="37" customFormat="1" ht="15.75" customHeight="1" x14ac:dyDescent="0.25">
      <c r="A394" s="42">
        <f t="shared" si="90"/>
        <v>7</v>
      </c>
      <c r="B394" s="42" t="s">
        <v>198</v>
      </c>
      <c r="C394" s="42" t="s">
        <v>190</v>
      </c>
      <c r="D394" s="55">
        <f>(48.85+0.9*2.1+0.75*(2.75+2.75+2.1))*(10.764)</f>
        <v>607.52015999999992</v>
      </c>
      <c r="E394" s="42">
        <v>0</v>
      </c>
      <c r="F394" s="42">
        <f>D394*(($F$166)+1)+(IF(E394&lt;101,E394,IF(E394&lt;201,E394/2,IF(E394&lt;=301,E394/3,E394/4))))</f>
        <v>911.28023999999982</v>
      </c>
      <c r="G394" s="84"/>
      <c r="H394" s="85"/>
      <c r="I394" s="36"/>
    </row>
    <row r="395" spans="1:9" s="37" customFormat="1" x14ac:dyDescent="0.25">
      <c r="A395" s="95" t="s">
        <v>226</v>
      </c>
      <c r="B395" s="96"/>
      <c r="C395" s="96"/>
      <c r="D395" s="96"/>
      <c r="E395" s="96"/>
      <c r="F395" s="96"/>
      <c r="G395" s="96"/>
      <c r="H395" s="97"/>
      <c r="I395" s="36"/>
    </row>
    <row r="396" spans="1:9" s="37" customFormat="1" ht="15.75" customHeight="1" x14ac:dyDescent="0.25">
      <c r="A396" s="42">
        <v>1</v>
      </c>
      <c r="B396" s="42" t="s">
        <v>199</v>
      </c>
      <c r="C396" s="42" t="s">
        <v>189</v>
      </c>
      <c r="D396" s="55">
        <f>(37.24+0.9*2.1+0.75*(2.1+2.78))*(10.764)</f>
        <v>460.59156000000002</v>
      </c>
      <c r="E396" s="42">
        <v>0</v>
      </c>
      <c r="F396" s="42">
        <f>D396*(($F$166)+1)+(IF(E396&lt;101,E396,IF(E396&lt;201,E396/2,IF(E396&lt;=301,E396/3,E396/4))))</f>
        <v>690.88733999999999</v>
      </c>
      <c r="G396" s="80" t="str">
        <f>A395</f>
        <v>19th Floor (Part Refuge Area)</v>
      </c>
      <c r="H396" s="81"/>
      <c r="I396" s="36"/>
    </row>
    <row r="397" spans="1:9" s="37" customFormat="1" ht="15.75" customHeight="1" x14ac:dyDescent="0.25">
      <c r="A397" s="42">
        <f>A396+1</f>
        <v>2</v>
      </c>
      <c r="B397" s="42" t="s">
        <v>198</v>
      </c>
      <c r="C397" s="42" t="s">
        <v>189</v>
      </c>
      <c r="D397" s="55">
        <f>(37.88+0.9*2.1+0.75*(2.1+3.53))*(10.764)</f>
        <v>473.53527000000003</v>
      </c>
      <c r="E397" s="42">
        <v>0</v>
      </c>
      <c r="F397" s="42">
        <f t="shared" ref="F397" si="91">D397*(($F$166)+1)+(IF(E397&lt;101,E397,IF(E397&lt;201,E397/2,IF(E397&lt;=301,E397/3,E397/4))))</f>
        <v>710.30290500000001</v>
      </c>
      <c r="G397" s="82"/>
      <c r="H397" s="83"/>
      <c r="I397" s="36"/>
    </row>
    <row r="398" spans="1:9" s="37" customFormat="1" ht="15.75" customHeight="1" x14ac:dyDescent="0.25">
      <c r="A398" s="42">
        <f t="shared" ref="A398:A402" si="92">A397+1</f>
        <v>3</v>
      </c>
      <c r="B398" s="42" t="s">
        <v>198</v>
      </c>
      <c r="C398" s="42" t="s">
        <v>189</v>
      </c>
      <c r="D398" s="55">
        <f>(37.87+0.9*2.1+0.75*(2.1+3.53))*(10.764)</f>
        <v>473.42762999999997</v>
      </c>
      <c r="E398" s="42">
        <v>0</v>
      </c>
      <c r="F398" s="42">
        <f>D398*(($F$166)+1)+(IF(E398&lt;101,E398,IF(E398&lt;201,E398/2,IF(E398&lt;=301,E398/3,E398/4))))</f>
        <v>710.14144499999998</v>
      </c>
      <c r="G398" s="82"/>
      <c r="H398" s="83"/>
      <c r="I398" s="36"/>
    </row>
    <row r="399" spans="1:9" s="37" customFormat="1" ht="15.75" customHeight="1" x14ac:dyDescent="0.25">
      <c r="A399" s="42">
        <f t="shared" si="92"/>
        <v>4</v>
      </c>
      <c r="B399" s="42" t="s">
        <v>199</v>
      </c>
      <c r="C399" s="42" t="s">
        <v>189</v>
      </c>
      <c r="D399" s="55">
        <f>(39.12+0.9*2.1+0.75*(3.53+2.1))*(10.764)</f>
        <v>486.88263000000001</v>
      </c>
      <c r="E399" s="42">
        <v>0</v>
      </c>
      <c r="F399" s="42">
        <f>D399*(($F$166)+1)+(IF(E399&lt;101,E399,IF(E399&lt;201,E399/2,IF(E399&lt;=301,E399/3,E399/4))))</f>
        <v>730.32394499999998</v>
      </c>
      <c r="G399" s="82"/>
      <c r="H399" s="83"/>
      <c r="I399" s="36"/>
    </row>
    <row r="400" spans="1:9" s="37" customFormat="1" ht="15.75" customHeight="1" x14ac:dyDescent="0.25">
      <c r="A400" s="42">
        <f t="shared" si="92"/>
        <v>5</v>
      </c>
      <c r="B400" s="42" t="s">
        <v>198</v>
      </c>
      <c r="C400" s="42" t="s">
        <v>189</v>
      </c>
      <c r="D400" s="55">
        <f>(39.7+0.9*2.1+0.75*(2.1+3.745))*(10.764)</f>
        <v>494.861445</v>
      </c>
      <c r="E400" s="42">
        <v>0</v>
      </c>
      <c r="F400" s="42">
        <f>D400*(($F$166)+1)+(IF(E400&lt;101,E400,IF(E400&lt;201,E400/2,IF(E400&lt;=301,E400/3,E400/4))))</f>
        <v>742.29216750000001</v>
      </c>
      <c r="G400" s="82"/>
      <c r="H400" s="83"/>
      <c r="I400" s="36"/>
    </row>
    <row r="401" spans="1:9" s="37" customFormat="1" ht="15.75" customHeight="1" x14ac:dyDescent="0.25">
      <c r="A401" s="42">
        <f t="shared" si="92"/>
        <v>6</v>
      </c>
      <c r="B401" s="42" t="s">
        <v>198</v>
      </c>
      <c r="C401" s="42" t="s">
        <v>189</v>
      </c>
      <c r="D401" s="55">
        <f>(39.7+0.9*2.1+0.75*(2.1+3.745))*(10.764)</f>
        <v>494.861445</v>
      </c>
      <c r="E401" s="42">
        <v>0</v>
      </c>
      <c r="F401" s="42">
        <f>D401*(($F$166)+1)+(IF(E401&lt;101,E401,IF(E401&lt;201,E401/2,IF(E401&lt;=301,E401/3,E401/4))))</f>
        <v>742.29216750000001</v>
      </c>
      <c r="G401" s="82"/>
      <c r="H401" s="83"/>
      <c r="I401" s="36"/>
    </row>
    <row r="402" spans="1:9" s="37" customFormat="1" ht="15.75" customHeight="1" x14ac:dyDescent="0.25">
      <c r="A402" s="42">
        <f t="shared" si="92"/>
        <v>7</v>
      </c>
      <c r="B402" s="98" t="s">
        <v>192</v>
      </c>
      <c r="C402" s="99"/>
      <c r="D402" s="99"/>
      <c r="E402" s="99"/>
      <c r="F402" s="100"/>
      <c r="G402" s="84"/>
      <c r="H402" s="85"/>
      <c r="I402" s="36"/>
    </row>
    <row r="403" spans="1:9" s="37" customFormat="1" x14ac:dyDescent="0.25">
      <c r="A403" s="95" t="s">
        <v>220</v>
      </c>
      <c r="B403" s="96"/>
      <c r="C403" s="96"/>
      <c r="D403" s="96"/>
      <c r="E403" s="96"/>
      <c r="F403" s="96"/>
      <c r="G403" s="96"/>
      <c r="H403" s="97"/>
      <c r="I403" s="36"/>
    </row>
    <row r="404" spans="1:9" s="37" customFormat="1" ht="15.75" customHeight="1" x14ac:dyDescent="0.25">
      <c r="A404" s="42">
        <v>1</v>
      </c>
      <c r="B404" s="42" t="s">
        <v>199</v>
      </c>
      <c r="C404" s="42" t="s">
        <v>189</v>
      </c>
      <c r="D404" s="55">
        <f>(37.24+0.9*2.1+0.75*(2.1+2.78))*(10.764)</f>
        <v>460.59156000000002</v>
      </c>
      <c r="E404" s="42">
        <v>0</v>
      </c>
      <c r="F404" s="42">
        <f>D404*(($F$166)+1)+(IF(E404&lt;101,E404,IF(E404&lt;201,E404/2,IF(E404&lt;=301,E404/3,E404/4))))</f>
        <v>690.88733999999999</v>
      </c>
      <c r="G404" s="80" t="str">
        <f>A403</f>
        <v>20th Floor</v>
      </c>
      <c r="H404" s="81"/>
      <c r="I404" s="36"/>
    </row>
    <row r="405" spans="1:9" s="37" customFormat="1" ht="15.75" customHeight="1" x14ac:dyDescent="0.25">
      <c r="A405" s="42">
        <f>A404+1</f>
        <v>2</v>
      </c>
      <c r="B405" s="42" t="s">
        <v>198</v>
      </c>
      <c r="C405" s="42" t="s">
        <v>189</v>
      </c>
      <c r="D405" s="55">
        <f>(37.88+0.9*2.1+0.75*(2.1+3.53))*(10.764)</f>
        <v>473.53527000000003</v>
      </c>
      <c r="E405" s="42">
        <v>0</v>
      </c>
      <c r="F405" s="42">
        <f t="shared" ref="F405" si="93">D405*(($F$166)+1)+(IF(E405&lt;101,E405,IF(E405&lt;201,E405/2,IF(E405&lt;=301,E405/3,E405/4))))</f>
        <v>710.30290500000001</v>
      </c>
      <c r="G405" s="82"/>
      <c r="H405" s="83"/>
      <c r="I405" s="36"/>
    </row>
    <row r="406" spans="1:9" s="37" customFormat="1" ht="15.75" customHeight="1" x14ac:dyDescent="0.25">
      <c r="A406" s="42">
        <f t="shared" ref="A406:A410" si="94">A405+1</f>
        <v>3</v>
      </c>
      <c r="B406" s="42" t="s">
        <v>198</v>
      </c>
      <c r="C406" s="42" t="s">
        <v>189</v>
      </c>
      <c r="D406" s="55">
        <f>(37.87+0.9*2.1+0.75*(2.1+3.53))*(10.764)</f>
        <v>473.42762999999997</v>
      </c>
      <c r="E406" s="42">
        <v>0</v>
      </c>
      <c r="F406" s="42">
        <f>D406*(($F$166)+1)+(IF(E406&lt;101,E406,IF(E406&lt;201,E406/2,IF(E406&lt;=301,E406/3,E406/4))))</f>
        <v>710.14144499999998</v>
      </c>
      <c r="G406" s="82"/>
      <c r="H406" s="83"/>
      <c r="I406" s="36"/>
    </row>
    <row r="407" spans="1:9" s="37" customFormat="1" ht="15.75" customHeight="1" x14ac:dyDescent="0.25">
      <c r="A407" s="42">
        <f t="shared" si="94"/>
        <v>4</v>
      </c>
      <c r="B407" s="42" t="s">
        <v>199</v>
      </c>
      <c r="C407" s="42" t="s">
        <v>189</v>
      </c>
      <c r="D407" s="55">
        <f>(39.12+0.9*2.1+0.75*(3.53+2.1))*(10.764)</f>
        <v>486.88263000000001</v>
      </c>
      <c r="E407" s="42">
        <v>0</v>
      </c>
      <c r="F407" s="42">
        <f>D407*(($F$166)+1)+(IF(E407&lt;101,E407,IF(E407&lt;201,E407/2,IF(E407&lt;=301,E407/3,E407/4))))</f>
        <v>730.32394499999998</v>
      </c>
      <c r="G407" s="82"/>
      <c r="H407" s="83"/>
      <c r="I407" s="36"/>
    </row>
    <row r="408" spans="1:9" s="37" customFormat="1" ht="15.75" customHeight="1" x14ac:dyDescent="0.25">
      <c r="A408" s="42">
        <f t="shared" si="94"/>
        <v>5</v>
      </c>
      <c r="B408" s="42" t="s">
        <v>198</v>
      </c>
      <c r="C408" s="42" t="s">
        <v>189</v>
      </c>
      <c r="D408" s="55">
        <f>(39.7+0.9*2.1+0.75*(2.1+3.745))*(10.764)</f>
        <v>494.861445</v>
      </c>
      <c r="E408" s="42">
        <v>0</v>
      </c>
      <c r="F408" s="42">
        <f>D408*(($F$166)+1)+(IF(E408&lt;101,E408,IF(E408&lt;201,E408/2,IF(E408&lt;=301,E408/3,E408/4))))</f>
        <v>742.29216750000001</v>
      </c>
      <c r="G408" s="82"/>
      <c r="H408" s="83"/>
      <c r="I408" s="36"/>
    </row>
    <row r="409" spans="1:9" s="37" customFormat="1" ht="15.75" customHeight="1" x14ac:dyDescent="0.25">
      <c r="A409" s="42">
        <f t="shared" si="94"/>
        <v>6</v>
      </c>
      <c r="B409" s="42" t="s">
        <v>198</v>
      </c>
      <c r="C409" s="42" t="s">
        <v>189</v>
      </c>
      <c r="D409" s="55">
        <f>(39.7+0.9*2.1+0.75*(2.1+3.745))*(10.764)</f>
        <v>494.861445</v>
      </c>
      <c r="E409" s="42">
        <v>0</v>
      </c>
      <c r="F409" s="42">
        <f>D409*(($F$166)+1)+(IF(E409&lt;101,E409,IF(E409&lt;201,E409/2,IF(E409&lt;=301,E409/3,E409/4))))</f>
        <v>742.29216750000001</v>
      </c>
      <c r="G409" s="82"/>
      <c r="H409" s="83"/>
      <c r="I409" s="36"/>
    </row>
    <row r="410" spans="1:9" s="37" customFormat="1" ht="15.75" customHeight="1" x14ac:dyDescent="0.25">
      <c r="A410" s="42">
        <f t="shared" si="94"/>
        <v>7</v>
      </c>
      <c r="B410" s="42" t="s">
        <v>198</v>
      </c>
      <c r="C410" s="42" t="s">
        <v>190</v>
      </c>
      <c r="D410" s="55">
        <f>(48.85+0.9*2.1+0.75*(2.75+2.75+2.1))*(10.764)</f>
        <v>607.52015999999992</v>
      </c>
      <c r="E410" s="42">
        <v>0</v>
      </c>
      <c r="F410" s="42">
        <f>D410*(($F$166)+1)+(IF(E410&lt;101,E410,IF(E410&lt;201,E410/2,IF(E410&lt;=301,E410/3,E410/4))))</f>
        <v>911.28023999999982</v>
      </c>
      <c r="G410" s="84"/>
      <c r="H410" s="85"/>
      <c r="I410" s="36"/>
    </row>
    <row r="411" spans="1:9" s="37" customFormat="1" x14ac:dyDescent="0.25">
      <c r="A411" s="95" t="s">
        <v>221</v>
      </c>
      <c r="B411" s="96"/>
      <c r="C411" s="96"/>
      <c r="D411" s="96"/>
      <c r="E411" s="96"/>
      <c r="F411" s="96"/>
      <c r="G411" s="96"/>
      <c r="H411" s="97"/>
      <c r="I411" s="36"/>
    </row>
    <row r="412" spans="1:9" s="37" customFormat="1" ht="15.75" customHeight="1" x14ac:dyDescent="0.25">
      <c r="A412" s="42">
        <v>1</v>
      </c>
      <c r="B412" s="42" t="s">
        <v>199</v>
      </c>
      <c r="C412" s="42" t="s">
        <v>189</v>
      </c>
      <c r="D412" s="55">
        <f>(37.24+0.9*2.1+0.75*(2.1+2.78))*(10.764)</f>
        <v>460.59156000000002</v>
      </c>
      <c r="E412" s="42">
        <v>0</v>
      </c>
      <c r="F412" s="42">
        <f>D412*(($F$166)+1)+(IF(E412&lt;101,E412,IF(E412&lt;201,E412/2,IF(E412&lt;=301,E412/3,E412/4))))</f>
        <v>690.88733999999999</v>
      </c>
      <c r="G412" s="80" t="str">
        <f>A411</f>
        <v>21st, 22nd, 24th &amp; 25th Floor</v>
      </c>
      <c r="H412" s="81"/>
      <c r="I412" s="36"/>
    </row>
    <row r="413" spans="1:9" s="37" customFormat="1" ht="15.75" customHeight="1" x14ac:dyDescent="0.25">
      <c r="A413" s="42">
        <f>A412+1</f>
        <v>2</v>
      </c>
      <c r="B413" s="42" t="s">
        <v>198</v>
      </c>
      <c r="C413" s="42" t="s">
        <v>189</v>
      </c>
      <c r="D413" s="55">
        <f>(37.88+0.9*2.1+0.75*(2.1+3.53))*(10.764)</f>
        <v>473.53527000000003</v>
      </c>
      <c r="E413" s="42">
        <v>0</v>
      </c>
      <c r="F413" s="42">
        <f t="shared" ref="F413" si="95">D413*(($F$166)+1)+(IF(E413&lt;101,E413,IF(E413&lt;201,E413/2,IF(E413&lt;=301,E413/3,E413/4))))</f>
        <v>710.30290500000001</v>
      </c>
      <c r="G413" s="82"/>
      <c r="H413" s="83"/>
      <c r="I413" s="36"/>
    </row>
    <row r="414" spans="1:9" s="37" customFormat="1" ht="15.75" customHeight="1" x14ac:dyDescent="0.25">
      <c r="A414" s="42">
        <f t="shared" ref="A414:A418" si="96">A413+1</f>
        <v>3</v>
      </c>
      <c r="B414" s="42" t="s">
        <v>198</v>
      </c>
      <c r="C414" s="42" t="s">
        <v>189</v>
      </c>
      <c r="D414" s="55">
        <f>(37.87+0.9*2.1+0.75*(2.1+3.53))*(10.764)</f>
        <v>473.42762999999997</v>
      </c>
      <c r="E414" s="42">
        <v>0</v>
      </c>
      <c r="F414" s="42">
        <f>D414*(($F$166)+1)+(IF(E414&lt;101,E414,IF(E414&lt;201,E414/2,IF(E414&lt;=301,E414/3,E414/4))))</f>
        <v>710.14144499999998</v>
      </c>
      <c r="G414" s="82"/>
      <c r="H414" s="83"/>
      <c r="I414" s="36"/>
    </row>
    <row r="415" spans="1:9" s="37" customFormat="1" ht="15.75" customHeight="1" x14ac:dyDescent="0.25">
      <c r="A415" s="42">
        <f t="shared" si="96"/>
        <v>4</v>
      </c>
      <c r="B415" s="42" t="s">
        <v>199</v>
      </c>
      <c r="C415" s="42" t="s">
        <v>189</v>
      </c>
      <c r="D415" s="55">
        <f>(39.12+0.9*2.1+0.75*(3.53+2.1))*(10.764)</f>
        <v>486.88263000000001</v>
      </c>
      <c r="E415" s="42">
        <v>0</v>
      </c>
      <c r="F415" s="42">
        <f>D415*(($F$166)+1)+(IF(E415&lt;101,E415,IF(E415&lt;201,E415/2,IF(E415&lt;=301,E415/3,E415/4))))</f>
        <v>730.32394499999998</v>
      </c>
      <c r="G415" s="82"/>
      <c r="H415" s="83"/>
      <c r="I415" s="36"/>
    </row>
    <row r="416" spans="1:9" s="37" customFormat="1" ht="15.75" customHeight="1" x14ac:dyDescent="0.25">
      <c r="A416" s="42">
        <f t="shared" si="96"/>
        <v>5</v>
      </c>
      <c r="B416" s="42" t="s">
        <v>198</v>
      </c>
      <c r="C416" s="42" t="s">
        <v>189</v>
      </c>
      <c r="D416" s="55">
        <f>(39.7+0.9*2.1+0.75*(2.1+3.745))*(10.764)</f>
        <v>494.861445</v>
      </c>
      <c r="E416" s="42">
        <v>0</v>
      </c>
      <c r="F416" s="42">
        <f>D416*(($F$166)+1)+(IF(E416&lt;101,E416,IF(E416&lt;201,E416/2,IF(E416&lt;=301,E416/3,E416/4))))</f>
        <v>742.29216750000001</v>
      </c>
      <c r="G416" s="82"/>
      <c r="H416" s="83"/>
      <c r="I416" s="36"/>
    </row>
    <row r="417" spans="1:9" s="37" customFormat="1" ht="15.75" customHeight="1" x14ac:dyDescent="0.25">
      <c r="A417" s="42">
        <f t="shared" si="96"/>
        <v>6</v>
      </c>
      <c r="B417" s="42" t="s">
        <v>198</v>
      </c>
      <c r="C417" s="42" t="s">
        <v>189</v>
      </c>
      <c r="D417" s="55">
        <f>(39.7+0.9*2.1+0.75*(2.1+3.745))*(10.764)</f>
        <v>494.861445</v>
      </c>
      <c r="E417" s="42">
        <v>0</v>
      </c>
      <c r="F417" s="42">
        <f>D417*(($F$166)+1)+(IF(E417&lt;101,E417,IF(E417&lt;201,E417/2,IF(E417&lt;=301,E417/3,E417/4))))</f>
        <v>742.29216750000001</v>
      </c>
      <c r="G417" s="82"/>
      <c r="H417" s="83"/>
      <c r="I417" s="36"/>
    </row>
    <row r="418" spans="1:9" s="37" customFormat="1" ht="15.75" customHeight="1" x14ac:dyDescent="0.25">
      <c r="A418" s="42">
        <f t="shared" si="96"/>
        <v>7</v>
      </c>
      <c r="B418" s="42" t="s">
        <v>198</v>
      </c>
      <c r="C418" s="42" t="s">
        <v>190</v>
      </c>
      <c r="D418" s="55">
        <f>(48.85+0.9*2.1+0.75*(2.75+2.75+2.1))*(10.764)</f>
        <v>607.52015999999992</v>
      </c>
      <c r="E418" s="42">
        <v>0</v>
      </c>
      <c r="F418" s="42">
        <f>D418*(($F$166)+1)+(IF(E418&lt;101,E418,IF(E418&lt;201,E418/2,IF(E418&lt;=301,E418/3,E418/4))))</f>
        <v>911.28023999999982</v>
      </c>
      <c r="G418" s="84"/>
      <c r="H418" s="85"/>
      <c r="I418" s="36"/>
    </row>
    <row r="419" spans="1:9" s="37" customFormat="1" x14ac:dyDescent="0.25">
      <c r="A419" s="95" t="s">
        <v>222</v>
      </c>
      <c r="B419" s="96"/>
      <c r="C419" s="96"/>
      <c r="D419" s="96"/>
      <c r="E419" s="96"/>
      <c r="F419" s="96"/>
      <c r="G419" s="96"/>
      <c r="H419" s="97"/>
      <c r="I419" s="36"/>
    </row>
    <row r="420" spans="1:9" s="37" customFormat="1" ht="15.75" customHeight="1" x14ac:dyDescent="0.25">
      <c r="A420" s="42">
        <v>1</v>
      </c>
      <c r="B420" s="42" t="s">
        <v>199</v>
      </c>
      <c r="C420" s="42" t="s">
        <v>189</v>
      </c>
      <c r="D420" s="55">
        <f>(37.24+0.9*2.1+0.75*(2.1+2.78))*(10.764)</f>
        <v>460.59156000000002</v>
      </c>
      <c r="E420" s="42">
        <v>0</v>
      </c>
      <c r="F420" s="42">
        <f>D420*(($F$166)+1)+(IF(E420&lt;101,E420,IF(E420&lt;201,E420/2,IF(E420&lt;=301,E420/3,E420/4))))</f>
        <v>690.88733999999999</v>
      </c>
      <c r="G420" s="80" t="str">
        <f>A419</f>
        <v>23rd Floor (Part Refuge Area)</v>
      </c>
      <c r="H420" s="81"/>
      <c r="I420" s="36"/>
    </row>
    <row r="421" spans="1:9" s="37" customFormat="1" ht="15.75" customHeight="1" x14ac:dyDescent="0.25">
      <c r="A421" s="42">
        <f>A420+1</f>
        <v>2</v>
      </c>
      <c r="B421" s="42" t="s">
        <v>198</v>
      </c>
      <c r="C421" s="42" t="s">
        <v>189</v>
      </c>
      <c r="D421" s="55">
        <f>(37.88+0.9*2.1+0.75*(2.1+3.53))*(10.764)</f>
        <v>473.53527000000003</v>
      </c>
      <c r="E421" s="42">
        <v>0</v>
      </c>
      <c r="F421" s="42">
        <f t="shared" ref="F421" si="97">D421*(($F$166)+1)+(IF(E421&lt;101,E421,IF(E421&lt;201,E421/2,IF(E421&lt;=301,E421/3,E421/4))))</f>
        <v>710.30290500000001</v>
      </c>
      <c r="G421" s="82"/>
      <c r="H421" s="83"/>
      <c r="I421" s="36"/>
    </row>
    <row r="422" spans="1:9" s="37" customFormat="1" ht="15.75" customHeight="1" x14ac:dyDescent="0.25">
      <c r="A422" s="42">
        <f t="shared" ref="A422:A426" si="98">A421+1</f>
        <v>3</v>
      </c>
      <c r="B422" s="42" t="s">
        <v>198</v>
      </c>
      <c r="C422" s="42" t="s">
        <v>189</v>
      </c>
      <c r="D422" s="55">
        <f>(37.87+0.9*2.1+0.75*(2.1+3.53))*(10.764)</f>
        <v>473.42762999999997</v>
      </c>
      <c r="E422" s="42">
        <v>0</v>
      </c>
      <c r="F422" s="42">
        <f>D422*(($F$166)+1)+(IF(E422&lt;101,E422,IF(E422&lt;201,E422/2,IF(E422&lt;=301,E422/3,E422/4))))</f>
        <v>710.14144499999998</v>
      </c>
      <c r="G422" s="82"/>
      <c r="H422" s="83"/>
      <c r="I422" s="36"/>
    </row>
    <row r="423" spans="1:9" s="37" customFormat="1" ht="15.75" customHeight="1" x14ac:dyDescent="0.25">
      <c r="A423" s="42">
        <f t="shared" si="98"/>
        <v>4</v>
      </c>
      <c r="B423" s="42" t="s">
        <v>199</v>
      </c>
      <c r="C423" s="42" t="s">
        <v>189</v>
      </c>
      <c r="D423" s="55">
        <f>(39.12+0.9*2.1+0.75*(3.53+2.1))*(10.764)</f>
        <v>486.88263000000001</v>
      </c>
      <c r="E423" s="42">
        <v>0</v>
      </c>
      <c r="F423" s="42">
        <f>D423*(($F$166)+1)+(IF(E423&lt;101,E423,IF(E423&lt;201,E423/2,IF(E423&lt;=301,E423/3,E423/4))))</f>
        <v>730.32394499999998</v>
      </c>
      <c r="G423" s="82"/>
      <c r="H423" s="83"/>
      <c r="I423" s="36"/>
    </row>
    <row r="424" spans="1:9" s="37" customFormat="1" ht="15.75" customHeight="1" x14ac:dyDescent="0.25">
      <c r="A424" s="42">
        <f t="shared" si="98"/>
        <v>5</v>
      </c>
      <c r="B424" s="42" t="s">
        <v>198</v>
      </c>
      <c r="C424" s="42" t="s">
        <v>189</v>
      </c>
      <c r="D424" s="55">
        <f>(39.7+0.9*2.1+0.75*(2.1+3.745))*(10.764)</f>
        <v>494.861445</v>
      </c>
      <c r="E424" s="42">
        <v>0</v>
      </c>
      <c r="F424" s="42">
        <f>D424*(($F$166)+1)+(IF(E424&lt;101,E424,IF(E424&lt;201,E424/2,IF(E424&lt;=301,E424/3,E424/4))))</f>
        <v>742.29216750000001</v>
      </c>
      <c r="G424" s="82"/>
      <c r="H424" s="83"/>
      <c r="I424" s="36"/>
    </row>
    <row r="425" spans="1:9" s="37" customFormat="1" ht="15.75" customHeight="1" x14ac:dyDescent="0.25">
      <c r="A425" s="42">
        <f t="shared" si="98"/>
        <v>6</v>
      </c>
      <c r="B425" s="42" t="s">
        <v>198</v>
      </c>
      <c r="C425" s="42" t="s">
        <v>225</v>
      </c>
      <c r="D425" s="55">
        <f>(46.05+0.9*2.1+0.75*(2.18+2.1+3.745))*(10.764)</f>
        <v>580.81198499999994</v>
      </c>
      <c r="E425" s="42">
        <v>0</v>
      </c>
      <c r="F425" s="42">
        <f>D425*(($F$166)+1)+(IF(E425&lt;101,E425,IF(E425&lt;201,E425/2,IF(E425&lt;=301,E425/3,E425/4))))</f>
        <v>871.21797749999996</v>
      </c>
      <c r="G425" s="82"/>
      <c r="H425" s="83"/>
      <c r="I425" s="36"/>
    </row>
    <row r="426" spans="1:9" s="37" customFormat="1" ht="15.75" customHeight="1" x14ac:dyDescent="0.25">
      <c r="A426" s="42">
        <f t="shared" si="98"/>
        <v>7</v>
      </c>
      <c r="B426" s="98" t="s">
        <v>192</v>
      </c>
      <c r="C426" s="99"/>
      <c r="D426" s="99"/>
      <c r="E426" s="99"/>
      <c r="F426" s="100"/>
      <c r="G426" s="84"/>
      <c r="H426" s="85"/>
      <c r="I426" s="36"/>
    </row>
    <row r="427" spans="1:9" s="35" customFormat="1" x14ac:dyDescent="0.25">
      <c r="A427" s="101" t="s">
        <v>67</v>
      </c>
      <c r="B427" s="101"/>
      <c r="C427" s="101"/>
      <c r="D427" s="101"/>
      <c r="E427" s="101"/>
      <c r="F427" s="101"/>
      <c r="G427" s="101"/>
      <c r="H427" s="101"/>
    </row>
    <row r="428" spans="1:9" s="35" customFormat="1" x14ac:dyDescent="0.25">
      <c r="A428" s="63" t="s">
        <v>152</v>
      </c>
      <c r="B428" s="92" t="s">
        <v>268</v>
      </c>
      <c r="C428" s="93"/>
      <c r="D428" s="93"/>
      <c r="E428" s="93"/>
      <c r="F428" s="93"/>
      <c r="G428" s="93"/>
      <c r="H428" s="94"/>
    </row>
    <row r="429" spans="1:9" s="35" customFormat="1" x14ac:dyDescent="0.25">
      <c r="A429" s="63" t="s">
        <v>152</v>
      </c>
      <c r="B429" s="92" t="str">
        <f>(IF(F165="Saleable area Loading :","We have considered Saleable area of Flats as per our Calculation.","We considered Saleable area of Flat as per Builder area Sheet."))</f>
        <v>We have considered Saleable area of Flats as per our Calculation.</v>
      </c>
      <c r="C429" s="93"/>
      <c r="D429" s="93"/>
      <c r="E429" s="93"/>
      <c r="F429" s="93"/>
      <c r="G429" s="93"/>
      <c r="H429" s="94"/>
    </row>
    <row r="430" spans="1:9" s="35" customFormat="1" x14ac:dyDescent="0.25">
      <c r="A430" s="63" t="s">
        <v>152</v>
      </c>
      <c r="B430" s="92" t="str">
        <f>(IF(F144="Saleable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30" s="93"/>
      <c r="D430" s="93"/>
      <c r="E430" s="93"/>
      <c r="F430" s="93"/>
      <c r="G430" s="93"/>
      <c r="H430" s="94"/>
    </row>
    <row r="431" spans="1:9" s="35" customFormat="1" x14ac:dyDescent="0.25">
      <c r="A431" s="63" t="s">
        <v>152</v>
      </c>
      <c r="B431" s="92" t="s">
        <v>122</v>
      </c>
      <c r="C431" s="93"/>
      <c r="D431" s="93"/>
      <c r="E431" s="93"/>
      <c r="F431" s="93"/>
      <c r="G431" s="93"/>
      <c r="H431" s="94"/>
    </row>
    <row r="432" spans="1:9" s="60" customFormat="1" x14ac:dyDescent="0.25">
      <c r="A432" s="63" t="s">
        <v>152</v>
      </c>
      <c r="B432" s="92" t="s">
        <v>238</v>
      </c>
      <c r="C432" s="93"/>
      <c r="D432" s="93"/>
      <c r="E432" s="93"/>
      <c r="F432" s="93"/>
      <c r="G432" s="93"/>
      <c r="H432" s="94"/>
    </row>
    <row r="433" spans="1:15" s="35" customFormat="1" x14ac:dyDescent="0.25">
      <c r="A433" s="63" t="s">
        <v>152</v>
      </c>
      <c r="B433" s="92" t="s">
        <v>151</v>
      </c>
      <c r="C433" s="93"/>
      <c r="D433" s="93"/>
      <c r="E433" s="93"/>
      <c r="F433" s="93"/>
      <c r="G433" s="93"/>
      <c r="H433" s="94"/>
    </row>
    <row r="434" spans="1:15" s="35" customFormat="1" x14ac:dyDescent="0.25">
      <c r="A434" s="63" t="s">
        <v>152</v>
      </c>
      <c r="B434" s="92" t="s">
        <v>123</v>
      </c>
      <c r="C434" s="93"/>
      <c r="D434" s="93"/>
      <c r="E434" s="93"/>
      <c r="F434" s="93"/>
      <c r="G434" s="93"/>
      <c r="H434" s="94"/>
    </row>
    <row r="435" spans="1:15" s="35" customFormat="1" ht="34.5" customHeight="1" x14ac:dyDescent="0.25">
      <c r="A435" s="63" t="s">
        <v>152</v>
      </c>
      <c r="B435" s="92" t="s">
        <v>153</v>
      </c>
      <c r="C435" s="93"/>
      <c r="D435" s="93"/>
      <c r="E435" s="93"/>
      <c r="F435" s="93"/>
      <c r="G435" s="93"/>
      <c r="H435" s="94"/>
    </row>
    <row r="436" spans="1:15" s="35" customFormat="1" x14ac:dyDescent="0.25">
      <c r="A436" s="47" t="s">
        <v>152</v>
      </c>
      <c r="B436" s="117" t="s">
        <v>124</v>
      </c>
      <c r="C436" s="118"/>
      <c r="D436" s="118"/>
      <c r="E436" s="118"/>
      <c r="F436" s="118"/>
      <c r="G436" s="118"/>
      <c r="H436" s="119"/>
    </row>
    <row r="437" spans="1:15" s="35" customFormat="1" ht="30.95" customHeight="1" x14ac:dyDescent="0.25">
      <c r="A437" s="63" t="s">
        <v>152</v>
      </c>
      <c r="B437" s="92" t="s">
        <v>209</v>
      </c>
      <c r="C437" s="93"/>
      <c r="D437" s="93"/>
      <c r="E437" s="93"/>
      <c r="F437" s="93"/>
      <c r="G437" s="93"/>
      <c r="H437" s="94"/>
      <c r="I437" s="205" t="s">
        <v>204</v>
      </c>
      <c r="J437" s="206"/>
      <c r="K437" s="206"/>
      <c r="L437" s="206"/>
      <c r="M437" s="206"/>
      <c r="N437" s="206"/>
      <c r="O437" s="207"/>
    </row>
    <row r="438" spans="1:15" s="35" customFormat="1" x14ac:dyDescent="0.25">
      <c r="A438" s="63" t="s">
        <v>152</v>
      </c>
      <c r="B438" s="92" t="s">
        <v>251</v>
      </c>
      <c r="C438" s="93"/>
      <c r="D438" s="93"/>
      <c r="E438" s="93"/>
      <c r="F438" s="93"/>
      <c r="G438" s="93"/>
      <c r="H438" s="94"/>
    </row>
    <row r="439" spans="1:15" s="60" customFormat="1" x14ac:dyDescent="0.25">
      <c r="A439" s="63" t="s">
        <v>152</v>
      </c>
      <c r="B439" s="92" t="s">
        <v>255</v>
      </c>
      <c r="C439" s="93"/>
      <c r="D439" s="93"/>
      <c r="E439" s="93"/>
      <c r="F439" s="93"/>
      <c r="G439" s="93"/>
      <c r="H439" s="94"/>
    </row>
    <row r="440" spans="1:15" s="60" customFormat="1" ht="33" customHeight="1" x14ac:dyDescent="0.25">
      <c r="A440" s="63" t="s">
        <v>152</v>
      </c>
      <c r="B440" s="92" t="s">
        <v>265</v>
      </c>
      <c r="C440" s="93"/>
      <c r="D440" s="93"/>
      <c r="E440" s="93"/>
      <c r="F440" s="93"/>
      <c r="G440" s="93"/>
      <c r="H440" s="94"/>
    </row>
    <row r="441" spans="1:15" s="35" customFormat="1" x14ac:dyDescent="0.25">
      <c r="A441" s="47" t="s">
        <v>152</v>
      </c>
      <c r="B441" s="117" t="s">
        <v>260</v>
      </c>
      <c r="C441" s="118"/>
      <c r="D441" s="118"/>
      <c r="E441" s="118"/>
      <c r="F441" s="118"/>
      <c r="G441" s="118"/>
      <c r="H441" s="119"/>
    </row>
    <row r="442" spans="1:15" x14ac:dyDescent="0.25">
      <c r="A442" s="182" t="s">
        <v>60</v>
      </c>
      <c r="B442" s="182"/>
      <c r="C442" s="182"/>
      <c r="D442" s="182"/>
      <c r="E442" s="182"/>
      <c r="F442" s="182"/>
      <c r="G442" s="182"/>
      <c r="H442" s="182"/>
    </row>
    <row r="443" spans="1:15" x14ac:dyDescent="0.25">
      <c r="A443" s="115" t="s">
        <v>61</v>
      </c>
      <c r="B443" s="115"/>
      <c r="C443" s="115"/>
      <c r="D443" s="115"/>
      <c r="E443" s="115"/>
      <c r="F443" s="115"/>
      <c r="G443" s="115"/>
      <c r="H443" s="115"/>
    </row>
    <row r="444" spans="1:15" ht="15.75" customHeight="1" x14ac:dyDescent="0.25">
      <c r="A444" s="187" t="s">
        <v>62</v>
      </c>
      <c r="B444" s="187"/>
      <c r="C444" s="187"/>
      <c r="D444" s="187"/>
      <c r="E444" s="187"/>
      <c r="F444" s="187"/>
      <c r="G444" s="187"/>
      <c r="H444" s="187"/>
    </row>
    <row r="445" spans="1:15" x14ac:dyDescent="0.25">
      <c r="A445" s="115" t="s">
        <v>63</v>
      </c>
      <c r="B445" s="115"/>
      <c r="C445" s="115"/>
      <c r="D445" s="115"/>
      <c r="E445" s="115"/>
      <c r="F445" s="115"/>
      <c r="G445" s="115"/>
      <c r="H445" s="115"/>
    </row>
    <row r="446" spans="1:15" x14ac:dyDescent="0.25">
      <c r="A446" s="115" t="s">
        <v>64</v>
      </c>
      <c r="B446" s="115"/>
      <c r="C446" s="115"/>
      <c r="D446" s="115"/>
      <c r="E446" s="115"/>
      <c r="F446" s="115"/>
      <c r="G446" s="115"/>
      <c r="H446" s="115"/>
    </row>
    <row r="447" spans="1:15" x14ac:dyDescent="0.25">
      <c r="A447" s="115" t="s">
        <v>125</v>
      </c>
      <c r="B447" s="115"/>
      <c r="C447" s="115"/>
      <c r="D447" s="115"/>
      <c r="E447" s="115"/>
      <c r="F447" s="115"/>
      <c r="G447" s="115"/>
      <c r="H447" s="115"/>
    </row>
    <row r="448" spans="1:15" ht="33" customHeight="1" x14ac:dyDescent="0.25">
      <c r="A448" s="171" t="s">
        <v>126</v>
      </c>
      <c r="B448" s="171"/>
      <c r="C448" s="171"/>
      <c r="D448" s="171"/>
      <c r="E448" s="171"/>
      <c r="F448" s="171"/>
      <c r="G448" s="171"/>
      <c r="H448" s="171"/>
    </row>
    <row r="449" spans="1:8" x14ac:dyDescent="0.25">
      <c r="A449" s="180" t="s">
        <v>75</v>
      </c>
      <c r="B449" s="180"/>
      <c r="C449" s="180" t="s">
        <v>270</v>
      </c>
      <c r="D449" s="180"/>
      <c r="E449" s="180" t="s">
        <v>105</v>
      </c>
      <c r="F449" s="180"/>
      <c r="G449" s="180" t="s">
        <v>269</v>
      </c>
      <c r="H449" s="180"/>
    </row>
    <row r="450" spans="1:8" x14ac:dyDescent="0.25">
      <c r="A450" s="179" t="s">
        <v>77</v>
      </c>
      <c r="B450" s="179"/>
      <c r="C450" s="179"/>
      <c r="D450" s="179"/>
      <c r="E450" s="179"/>
      <c r="F450" s="179"/>
      <c r="G450" s="179"/>
      <c r="H450" s="179"/>
    </row>
    <row r="451" spans="1:8" x14ac:dyDescent="0.25">
      <c r="A451" s="179"/>
      <c r="B451" s="179"/>
      <c r="C451" s="179"/>
      <c r="D451" s="179"/>
      <c r="E451" s="179"/>
      <c r="F451" s="179"/>
      <c r="G451" s="179"/>
      <c r="H451" s="179"/>
    </row>
    <row r="452" spans="1:8" x14ac:dyDescent="0.25">
      <c r="A452" s="179"/>
      <c r="B452" s="179"/>
      <c r="C452" s="179"/>
      <c r="D452" s="179"/>
      <c r="E452" s="179"/>
      <c r="F452" s="179"/>
      <c r="G452" s="179"/>
      <c r="H452" s="179"/>
    </row>
    <row r="453" spans="1:8" x14ac:dyDescent="0.25">
      <c r="A453" s="179"/>
      <c r="B453" s="179"/>
      <c r="C453" s="179"/>
      <c r="D453" s="179"/>
      <c r="E453" s="179"/>
      <c r="F453" s="179"/>
      <c r="G453" s="179"/>
      <c r="H453" s="179"/>
    </row>
    <row r="454" spans="1:8" x14ac:dyDescent="0.25">
      <c r="A454" s="38" t="s">
        <v>65</v>
      </c>
      <c r="B454" s="39"/>
      <c r="C454" s="39"/>
      <c r="D454" s="38" t="str">
        <f>E8</f>
        <v>Vastu Luxuria</v>
      </c>
      <c r="F454" s="39"/>
      <c r="G454" s="39"/>
      <c r="H454" s="39"/>
    </row>
    <row r="455" spans="1:8" x14ac:dyDescent="0.25">
      <c r="A455" s="39"/>
      <c r="B455" s="39"/>
      <c r="C455" s="39"/>
      <c r="D455" s="39"/>
      <c r="E455" s="39"/>
      <c r="F455" s="39"/>
      <c r="G455" s="39"/>
      <c r="H455" s="39"/>
    </row>
    <row r="456" spans="1:8" x14ac:dyDescent="0.25">
      <c r="A456" s="39"/>
      <c r="B456" s="39"/>
      <c r="C456" s="39"/>
      <c r="D456" s="39"/>
      <c r="E456" s="39"/>
      <c r="F456" s="39"/>
      <c r="G456" s="39"/>
      <c r="H456" s="39"/>
    </row>
    <row r="457" spans="1:8" ht="15" customHeight="1" x14ac:dyDescent="0.25"/>
    <row r="496" spans="1:1" x14ac:dyDescent="0.25">
      <c r="A496" s="41" t="s">
        <v>165</v>
      </c>
    </row>
    <row r="538" spans="1:1" x14ac:dyDescent="0.25">
      <c r="A538" s="41" t="s">
        <v>66</v>
      </c>
    </row>
  </sheetData>
  <mergeCells count="582">
    <mergeCell ref="B438:H438"/>
    <mergeCell ref="A165:A166"/>
    <mergeCell ref="B165:B166"/>
    <mergeCell ref="C165:C166"/>
    <mergeCell ref="D165:D166"/>
    <mergeCell ref="E165:E166"/>
    <mergeCell ref="G165:H166"/>
    <mergeCell ref="I12:L12"/>
    <mergeCell ref="I437:O437"/>
    <mergeCell ref="L269:M269"/>
    <mergeCell ref="L257:M257"/>
    <mergeCell ref="L258:M258"/>
    <mergeCell ref="L259:M259"/>
    <mergeCell ref="L260:M260"/>
    <mergeCell ref="L261:M261"/>
    <mergeCell ref="L270:M270"/>
    <mergeCell ref="L271:M271"/>
    <mergeCell ref="A347:H347"/>
    <mergeCell ref="A336:H336"/>
    <mergeCell ref="G340:H346"/>
    <mergeCell ref="L268:M268"/>
    <mergeCell ref="A264:H264"/>
    <mergeCell ref="L262:M262"/>
    <mergeCell ref="L263:M263"/>
    <mergeCell ref="L289:M289"/>
    <mergeCell ref="L290:M290"/>
    <mergeCell ref="L265:M265"/>
    <mergeCell ref="L266:M266"/>
    <mergeCell ref="L267:M267"/>
    <mergeCell ref="L273:M273"/>
    <mergeCell ref="L274:M274"/>
    <mergeCell ref="L275:M275"/>
    <mergeCell ref="L276:M276"/>
    <mergeCell ref="L277:M277"/>
    <mergeCell ref="L278:M278"/>
    <mergeCell ref="L279:M279"/>
    <mergeCell ref="L281:M281"/>
    <mergeCell ref="L282:M282"/>
    <mergeCell ref="L283:M283"/>
    <mergeCell ref="L284:M284"/>
    <mergeCell ref="L285:M285"/>
    <mergeCell ref="L286:M286"/>
    <mergeCell ref="L287:M287"/>
    <mergeCell ref="L253:M253"/>
    <mergeCell ref="L254:M254"/>
    <mergeCell ref="L255:M255"/>
    <mergeCell ref="L251:M251"/>
    <mergeCell ref="L252:M252"/>
    <mergeCell ref="B268:F268"/>
    <mergeCell ref="L174:M174"/>
    <mergeCell ref="L175:M175"/>
    <mergeCell ref="G170:H175"/>
    <mergeCell ref="A246:H246"/>
    <mergeCell ref="A247:H247"/>
    <mergeCell ref="L249:M249"/>
    <mergeCell ref="L250:M250"/>
    <mergeCell ref="L173:M173"/>
    <mergeCell ref="L170:M170"/>
    <mergeCell ref="L171:M171"/>
    <mergeCell ref="L172:M172"/>
    <mergeCell ref="A176:H176"/>
    <mergeCell ref="G177:H182"/>
    <mergeCell ref="L177:M177"/>
    <mergeCell ref="L178:M178"/>
    <mergeCell ref="L179:M179"/>
    <mergeCell ref="L180:M180"/>
    <mergeCell ref="L181:M181"/>
    <mergeCell ref="L182:M182"/>
    <mergeCell ref="A190:H190"/>
    <mergeCell ref="G191:H196"/>
    <mergeCell ref="L191:M191"/>
    <mergeCell ref="L192:M192"/>
    <mergeCell ref="L193:M193"/>
    <mergeCell ref="E41:H41"/>
    <mergeCell ref="A41:D41"/>
    <mergeCell ref="A79:B79"/>
    <mergeCell ref="A48:B48"/>
    <mergeCell ref="C48:E48"/>
    <mergeCell ref="G48:H48"/>
    <mergeCell ref="G50:H50"/>
    <mergeCell ref="D58:H58"/>
    <mergeCell ref="C50:E50"/>
    <mergeCell ref="A61:C62"/>
    <mergeCell ref="D61:H61"/>
    <mergeCell ref="C49:E49"/>
    <mergeCell ref="A56:B56"/>
    <mergeCell ref="C56:E56"/>
    <mergeCell ref="A49:B49"/>
    <mergeCell ref="A57:H57"/>
    <mergeCell ref="G56:H56"/>
    <mergeCell ref="D62:H62"/>
    <mergeCell ref="A447:H447"/>
    <mergeCell ref="A444:H444"/>
    <mergeCell ref="A131:B131"/>
    <mergeCell ref="A92:B92"/>
    <mergeCell ref="A93:B93"/>
    <mergeCell ref="A94:B94"/>
    <mergeCell ref="A84:B84"/>
    <mergeCell ref="C84:H84"/>
    <mergeCell ref="A108:B108"/>
    <mergeCell ref="F113:H113"/>
    <mergeCell ref="G128:H128"/>
    <mergeCell ref="A111:B111"/>
    <mergeCell ref="G148:H163"/>
    <mergeCell ref="G265:H271"/>
    <mergeCell ref="B440:H440"/>
    <mergeCell ref="A256:H256"/>
    <mergeCell ref="A146:H146"/>
    <mergeCell ref="A168:H168"/>
    <mergeCell ref="A143:H143"/>
    <mergeCell ref="C128:D128"/>
    <mergeCell ref="B436:H436"/>
    <mergeCell ref="B434:H434"/>
    <mergeCell ref="B430:H430"/>
    <mergeCell ref="B341:F341"/>
    <mergeCell ref="C51:H51"/>
    <mergeCell ref="C127:D127"/>
    <mergeCell ref="F123:H123"/>
    <mergeCell ref="F121:H121"/>
    <mergeCell ref="D67:H67"/>
    <mergeCell ref="A68:C68"/>
    <mergeCell ref="A122:E122"/>
    <mergeCell ref="B428:H428"/>
    <mergeCell ref="B429:H429"/>
    <mergeCell ref="C131:D131"/>
    <mergeCell ref="G131:H131"/>
    <mergeCell ref="C134:D134"/>
    <mergeCell ref="A337:H337"/>
    <mergeCell ref="A338:H338"/>
    <mergeCell ref="A167:H167"/>
    <mergeCell ref="A169:H169"/>
    <mergeCell ref="B144:B145"/>
    <mergeCell ref="A144:A145"/>
    <mergeCell ref="G205:H210"/>
    <mergeCell ref="A248:H248"/>
    <mergeCell ref="B250:F250"/>
    <mergeCell ref="B251:F251"/>
    <mergeCell ref="G233:H238"/>
    <mergeCell ref="B340:F340"/>
    <mergeCell ref="G356:H362"/>
    <mergeCell ref="B362:F362"/>
    <mergeCell ref="A363:H363"/>
    <mergeCell ref="G364:H370"/>
    <mergeCell ref="G249:H255"/>
    <mergeCell ref="B431:H431"/>
    <mergeCell ref="B432:H432"/>
    <mergeCell ref="G348:H354"/>
    <mergeCell ref="B284:F284"/>
    <mergeCell ref="A371:H371"/>
    <mergeCell ref="A320:H320"/>
    <mergeCell ref="G372:H378"/>
    <mergeCell ref="B378:F378"/>
    <mergeCell ref="A379:H379"/>
    <mergeCell ref="G380:H386"/>
    <mergeCell ref="A387:H387"/>
    <mergeCell ref="G388:H394"/>
    <mergeCell ref="A339:H339"/>
    <mergeCell ref="A296:H296"/>
    <mergeCell ref="G297:H303"/>
    <mergeCell ref="A272:H272"/>
    <mergeCell ref="G273:H279"/>
    <mergeCell ref="A288:H288"/>
    <mergeCell ref="D66:H66"/>
    <mergeCell ref="A69:C69"/>
    <mergeCell ref="D69:H69"/>
    <mergeCell ref="A67:C67"/>
    <mergeCell ref="D68:H68"/>
    <mergeCell ref="A74:B74"/>
    <mergeCell ref="G73:H73"/>
    <mergeCell ref="F112:H112"/>
    <mergeCell ref="A355:H355"/>
    <mergeCell ref="C144:C145"/>
    <mergeCell ref="C129:D129"/>
    <mergeCell ref="C133:D133"/>
    <mergeCell ref="E133:F133"/>
    <mergeCell ref="E137:F137"/>
    <mergeCell ref="G137:H137"/>
    <mergeCell ref="E138:F138"/>
    <mergeCell ref="G138:H138"/>
    <mergeCell ref="C138:D138"/>
    <mergeCell ref="A450:H453"/>
    <mergeCell ref="A449:B449"/>
    <mergeCell ref="E449:F449"/>
    <mergeCell ref="C449:D449"/>
    <mergeCell ref="G449:H449"/>
    <mergeCell ref="A126:H126"/>
    <mergeCell ref="A124:E124"/>
    <mergeCell ref="F124:H124"/>
    <mergeCell ref="A125:E125"/>
    <mergeCell ref="F125:H125"/>
    <mergeCell ref="A445:H445"/>
    <mergeCell ref="A130:H130"/>
    <mergeCell ref="A448:H448"/>
    <mergeCell ref="A446:H446"/>
    <mergeCell ref="A442:H442"/>
    <mergeCell ref="A443:H443"/>
    <mergeCell ref="E127:F127"/>
    <mergeCell ref="A127:B127"/>
    <mergeCell ref="A164:H164"/>
    <mergeCell ref="G129:H129"/>
    <mergeCell ref="A129:B129"/>
    <mergeCell ref="G133:H133"/>
    <mergeCell ref="E134:F134"/>
    <mergeCell ref="G134:H134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63:C63"/>
    <mergeCell ref="A64:C64"/>
    <mergeCell ref="D63:H63"/>
    <mergeCell ref="E74:F83"/>
    <mergeCell ref="G74:H83"/>
    <mergeCell ref="A82:B82"/>
    <mergeCell ref="A83:B83"/>
    <mergeCell ref="D64:H64"/>
    <mergeCell ref="A42:D42"/>
    <mergeCell ref="E42:H42"/>
    <mergeCell ref="E43:H43"/>
    <mergeCell ref="E44:H44"/>
    <mergeCell ref="E45:H45"/>
    <mergeCell ref="A43:D43"/>
    <mergeCell ref="A65:C65"/>
    <mergeCell ref="D65:H65"/>
    <mergeCell ref="C72:H72"/>
    <mergeCell ref="A75:B75"/>
    <mergeCell ref="A77:B77"/>
    <mergeCell ref="E73:F73"/>
    <mergeCell ref="A58:C58"/>
    <mergeCell ref="A59:C59"/>
    <mergeCell ref="D59:H59"/>
    <mergeCell ref="F35:H35"/>
    <mergeCell ref="A34:B34"/>
    <mergeCell ref="C34:E34"/>
    <mergeCell ref="A45:D45"/>
    <mergeCell ref="A46:H46"/>
    <mergeCell ref="D60:H60"/>
    <mergeCell ref="A60:C60"/>
    <mergeCell ref="A96:B96"/>
    <mergeCell ref="E102:F111"/>
    <mergeCell ref="A36:H36"/>
    <mergeCell ref="A35:B35"/>
    <mergeCell ref="C35:E35"/>
    <mergeCell ref="G102:H111"/>
    <mergeCell ref="A40:D40"/>
    <mergeCell ref="E40:H40"/>
    <mergeCell ref="G49:H49"/>
    <mergeCell ref="A50:B51"/>
    <mergeCell ref="A80:B80"/>
    <mergeCell ref="A73:B73"/>
    <mergeCell ref="A76:B76"/>
    <mergeCell ref="A72:B72"/>
    <mergeCell ref="A70:B70"/>
    <mergeCell ref="C70:H70"/>
    <mergeCell ref="A78:B78"/>
    <mergeCell ref="A37:B37"/>
    <mergeCell ref="C37:H37"/>
    <mergeCell ref="A44:D44"/>
    <mergeCell ref="L151:M151"/>
    <mergeCell ref="L150:M150"/>
    <mergeCell ref="L149:M149"/>
    <mergeCell ref="L148:M148"/>
    <mergeCell ref="A81:B81"/>
    <mergeCell ref="C132:D132"/>
    <mergeCell ref="E132:F132"/>
    <mergeCell ref="G132:H132"/>
    <mergeCell ref="F119:H119"/>
    <mergeCell ref="A113:E113"/>
    <mergeCell ref="A98:B98"/>
    <mergeCell ref="C98:H98"/>
    <mergeCell ref="A147:H147"/>
    <mergeCell ref="E144:E145"/>
    <mergeCell ref="G144:H145"/>
    <mergeCell ref="A88:B88"/>
    <mergeCell ref="E88:F97"/>
    <mergeCell ref="A95:B95"/>
    <mergeCell ref="A123:E123"/>
    <mergeCell ref="G135:H135"/>
    <mergeCell ref="E129:F129"/>
    <mergeCell ref="L161:M161"/>
    <mergeCell ref="L162:M162"/>
    <mergeCell ref="L163:M163"/>
    <mergeCell ref="L158:M158"/>
    <mergeCell ref="L159:M159"/>
    <mergeCell ref="L160:M160"/>
    <mergeCell ref="L155:M155"/>
    <mergeCell ref="L156:M156"/>
    <mergeCell ref="L157:M157"/>
    <mergeCell ref="L152:M152"/>
    <mergeCell ref="L153:M153"/>
    <mergeCell ref="L154:M154"/>
    <mergeCell ref="G101:H101"/>
    <mergeCell ref="A100:B100"/>
    <mergeCell ref="C100:H100"/>
    <mergeCell ref="A101:B101"/>
    <mergeCell ref="A117:E117"/>
    <mergeCell ref="A97:B97"/>
    <mergeCell ref="A102:B102"/>
    <mergeCell ref="F120:H120"/>
    <mergeCell ref="E101:F101"/>
    <mergeCell ref="F117:H117"/>
    <mergeCell ref="A119:E119"/>
    <mergeCell ref="A121:E121"/>
    <mergeCell ref="F115:H115"/>
    <mergeCell ref="A120:E120"/>
    <mergeCell ref="A105:B105"/>
    <mergeCell ref="A106:B106"/>
    <mergeCell ref="A107:B107"/>
    <mergeCell ref="A109:B109"/>
    <mergeCell ref="A110:B110"/>
    <mergeCell ref="A115:E115"/>
    <mergeCell ref="A112:E112"/>
    <mergeCell ref="B441:H441"/>
    <mergeCell ref="A38:B38"/>
    <mergeCell ref="C38:H38"/>
    <mergeCell ref="B435:H435"/>
    <mergeCell ref="A47:B47"/>
    <mergeCell ref="C47:H47"/>
    <mergeCell ref="B433:H433"/>
    <mergeCell ref="A103:B103"/>
    <mergeCell ref="A104:B104"/>
    <mergeCell ref="G88:H97"/>
    <mergeCell ref="A89:B89"/>
    <mergeCell ref="A90:B90"/>
    <mergeCell ref="A91:B91"/>
    <mergeCell ref="F114:H114"/>
    <mergeCell ref="A114:E114"/>
    <mergeCell ref="D144:D145"/>
    <mergeCell ref="A116:E116"/>
    <mergeCell ref="A86:B86"/>
    <mergeCell ref="C86:H86"/>
    <mergeCell ref="A87:B87"/>
    <mergeCell ref="E87:F87"/>
    <mergeCell ref="G87:H87"/>
    <mergeCell ref="A280:H280"/>
    <mergeCell ref="G281:H287"/>
    <mergeCell ref="A139:B139"/>
    <mergeCell ref="C139:D139"/>
    <mergeCell ref="E139:F139"/>
    <mergeCell ref="G139:H139"/>
    <mergeCell ref="A140:B140"/>
    <mergeCell ref="C140:D140"/>
    <mergeCell ref="E140:F140"/>
    <mergeCell ref="G140:H140"/>
    <mergeCell ref="A141:B141"/>
    <mergeCell ref="C141:D141"/>
    <mergeCell ref="E141:F141"/>
    <mergeCell ref="G141:H141"/>
    <mergeCell ref="A183:H183"/>
    <mergeCell ref="G184:H189"/>
    <mergeCell ref="L184:M184"/>
    <mergeCell ref="L185:M185"/>
    <mergeCell ref="L186:M186"/>
    <mergeCell ref="L187:M187"/>
    <mergeCell ref="L188:M188"/>
    <mergeCell ref="L189:M189"/>
    <mergeCell ref="C186:F186"/>
    <mergeCell ref="L205:M205"/>
    <mergeCell ref="L206:M206"/>
    <mergeCell ref="L207:M207"/>
    <mergeCell ref="L208:M208"/>
    <mergeCell ref="L209:M209"/>
    <mergeCell ref="L210:M210"/>
    <mergeCell ref="A211:H211"/>
    <mergeCell ref="L194:M194"/>
    <mergeCell ref="L195:M195"/>
    <mergeCell ref="L196:M196"/>
    <mergeCell ref="A197:H197"/>
    <mergeCell ref="G198:H203"/>
    <mergeCell ref="L198:M198"/>
    <mergeCell ref="L199:M199"/>
    <mergeCell ref="L200:M200"/>
    <mergeCell ref="L201:M201"/>
    <mergeCell ref="L202:M202"/>
    <mergeCell ref="L203:M203"/>
    <mergeCell ref="B200:F200"/>
    <mergeCell ref="L226:M226"/>
    <mergeCell ref="L227:M227"/>
    <mergeCell ref="L228:M228"/>
    <mergeCell ref="L229:M229"/>
    <mergeCell ref="L230:M230"/>
    <mergeCell ref="L231:M231"/>
    <mergeCell ref="A232:H232"/>
    <mergeCell ref="G212:H217"/>
    <mergeCell ref="L212:M212"/>
    <mergeCell ref="L213:M213"/>
    <mergeCell ref="L214:M214"/>
    <mergeCell ref="L215:M215"/>
    <mergeCell ref="L216:M216"/>
    <mergeCell ref="L217:M217"/>
    <mergeCell ref="A218:H218"/>
    <mergeCell ref="G219:H224"/>
    <mergeCell ref="L219:M219"/>
    <mergeCell ref="L220:M220"/>
    <mergeCell ref="L221:M221"/>
    <mergeCell ref="L222:M222"/>
    <mergeCell ref="L223:M223"/>
    <mergeCell ref="L224:M224"/>
    <mergeCell ref="C221:F221"/>
    <mergeCell ref="A225:H225"/>
    <mergeCell ref="L233:M233"/>
    <mergeCell ref="L234:M234"/>
    <mergeCell ref="L235:M235"/>
    <mergeCell ref="L236:M236"/>
    <mergeCell ref="L237:M237"/>
    <mergeCell ref="L238:M238"/>
    <mergeCell ref="A239:H239"/>
    <mergeCell ref="G240:H245"/>
    <mergeCell ref="L240:M240"/>
    <mergeCell ref="L241:M241"/>
    <mergeCell ref="L242:M242"/>
    <mergeCell ref="L243:M243"/>
    <mergeCell ref="L244:M244"/>
    <mergeCell ref="L245:M245"/>
    <mergeCell ref="B242:F242"/>
    <mergeCell ref="L301:M301"/>
    <mergeCell ref="L302:M302"/>
    <mergeCell ref="L303:M303"/>
    <mergeCell ref="L291:M291"/>
    <mergeCell ref="L292:M292"/>
    <mergeCell ref="L293:M293"/>
    <mergeCell ref="L294:M294"/>
    <mergeCell ref="L295:M295"/>
    <mergeCell ref="L313:M313"/>
    <mergeCell ref="L297:M297"/>
    <mergeCell ref="L298:M298"/>
    <mergeCell ref="L299:M299"/>
    <mergeCell ref="L300:M300"/>
    <mergeCell ref="L314:M314"/>
    <mergeCell ref="L315:M315"/>
    <mergeCell ref="L316:M316"/>
    <mergeCell ref="L317:M317"/>
    <mergeCell ref="L318:M318"/>
    <mergeCell ref="L319:M319"/>
    <mergeCell ref="A304:H304"/>
    <mergeCell ref="G305:H311"/>
    <mergeCell ref="L305:M305"/>
    <mergeCell ref="L306:M306"/>
    <mergeCell ref="L307:M307"/>
    <mergeCell ref="B308:F308"/>
    <mergeCell ref="L308:M308"/>
    <mergeCell ref="L309:M309"/>
    <mergeCell ref="L310:M310"/>
    <mergeCell ref="L311:M311"/>
    <mergeCell ref="A312:H312"/>
    <mergeCell ref="G313:H319"/>
    <mergeCell ref="L321:M321"/>
    <mergeCell ref="L322:M322"/>
    <mergeCell ref="L323:M323"/>
    <mergeCell ref="L324:M324"/>
    <mergeCell ref="L325:M325"/>
    <mergeCell ref="L326:M326"/>
    <mergeCell ref="L327:M327"/>
    <mergeCell ref="A328:H328"/>
    <mergeCell ref="G329:H335"/>
    <mergeCell ref="L329:M329"/>
    <mergeCell ref="L330:M330"/>
    <mergeCell ref="L331:M331"/>
    <mergeCell ref="L332:M332"/>
    <mergeCell ref="L333:M333"/>
    <mergeCell ref="L334:M334"/>
    <mergeCell ref="L335:M335"/>
    <mergeCell ref="G321:H327"/>
    <mergeCell ref="G289:H295"/>
    <mergeCell ref="A142:H142"/>
    <mergeCell ref="G257:H263"/>
    <mergeCell ref="A128:B128"/>
    <mergeCell ref="G226:H231"/>
    <mergeCell ref="A204:H204"/>
    <mergeCell ref="B437:H437"/>
    <mergeCell ref="B439:H439"/>
    <mergeCell ref="A403:H403"/>
    <mergeCell ref="G404:H410"/>
    <mergeCell ref="A411:H411"/>
    <mergeCell ref="G412:H418"/>
    <mergeCell ref="A419:H419"/>
    <mergeCell ref="G420:H426"/>
    <mergeCell ref="B426:F426"/>
    <mergeCell ref="A427:H427"/>
    <mergeCell ref="A395:H395"/>
    <mergeCell ref="G396:H402"/>
    <mergeCell ref="B402:F402"/>
    <mergeCell ref="B332:F332"/>
    <mergeCell ref="A132:B132"/>
    <mergeCell ref="A133:B133"/>
    <mergeCell ref="A134:B134"/>
    <mergeCell ref="A136:H136"/>
    <mergeCell ref="I59:M59"/>
    <mergeCell ref="A137:B137"/>
    <mergeCell ref="C137:D137"/>
    <mergeCell ref="A138:B138"/>
    <mergeCell ref="A52:B53"/>
    <mergeCell ref="C52:E52"/>
    <mergeCell ref="G52:H52"/>
    <mergeCell ref="C53:H53"/>
    <mergeCell ref="A54:B55"/>
    <mergeCell ref="C54:E54"/>
    <mergeCell ref="G54:H54"/>
    <mergeCell ref="C55:H55"/>
    <mergeCell ref="I60:M60"/>
    <mergeCell ref="A118:E118"/>
    <mergeCell ref="F118:H118"/>
    <mergeCell ref="A135:B135"/>
    <mergeCell ref="E135:F135"/>
    <mergeCell ref="F116:H116"/>
    <mergeCell ref="F122:H122"/>
    <mergeCell ref="E131:F131"/>
    <mergeCell ref="E128:F128"/>
    <mergeCell ref="C135:D135"/>
    <mergeCell ref="G127:H127"/>
    <mergeCell ref="A66:C66"/>
  </mergeCells>
  <dataValidations disablePrompts="1" count="2">
    <dataValidation type="list" allowBlank="1" showInputMessage="1" showErrorMessage="1" sqref="F165" xr:uid="{00000000-0002-0000-0000-000000000000}">
      <formula1>"Saleable area Loading :,Builder Saleable Area"</formula1>
    </dataValidation>
    <dataValidation type="list" allowBlank="1" showInputMessage="1" showErrorMessage="1" sqref="F166" xr:uid="{00000000-0002-0000-0000-000001000000}">
      <formula1>".45,.50,.55,.60"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9" max="16383" man="1"/>
    <brk id="453" max="16383" man="1"/>
    <brk id="495" max="16383" man="1"/>
    <brk id="53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3" zoomScale="85" zoomScaleNormal="85" workbookViewId="0">
      <selection activeCell="B15" sqref="B15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8" t="s">
        <v>106</v>
      </c>
      <c r="C3" s="208"/>
      <c r="D3" s="208"/>
      <c r="E3" s="208"/>
      <c r="F3" s="208"/>
      <c r="G3" s="208"/>
      <c r="H3" s="208"/>
    </row>
    <row r="4" spans="1:9" x14ac:dyDescent="0.25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2025-07-14T11:04:42Z</cp:lastPrinted>
  <dcterms:created xsi:type="dcterms:W3CDTF">2019-07-16T09:29:46Z</dcterms:created>
  <dcterms:modified xsi:type="dcterms:W3CDTF">2025-07-14T11:09:24Z</dcterms:modified>
</cp:coreProperties>
</file>