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tabRatio="725"/>
  </bookViews>
  <sheets>
    <sheet name="Report" sheetId="1" r:id="rId1"/>
    <sheet name="valuation" sheetId="5" r:id="rId2"/>
    <sheet name="Research" sheetId="4" r:id="rId3"/>
    <sheet name="Remarks" sheetId="6" r:id="rId4"/>
  </sheets>
  <definedNames>
    <definedName name="_xlnm.Print_Area" localSheetId="0">Report!$A$1:$H$341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8" i="1" l="1"/>
  <c r="D158" i="1"/>
  <c r="F158" i="1" s="1"/>
  <c r="H158" i="1" s="1"/>
  <c r="E157" i="1"/>
  <c r="D157" i="1"/>
  <c r="F157" i="1" s="1"/>
  <c r="H157" i="1" s="1"/>
  <c r="E156" i="1"/>
  <c r="D156" i="1"/>
  <c r="E155" i="1"/>
  <c r="D155" i="1"/>
  <c r="F155" i="1" s="1"/>
  <c r="H155" i="1" s="1"/>
  <c r="J155" i="1" s="1"/>
  <c r="E154" i="1"/>
  <c r="D154" i="1"/>
  <c r="E153" i="1"/>
  <c r="D153" i="1"/>
  <c r="F153" i="1" s="1"/>
  <c r="H153" i="1" s="1"/>
  <c r="J153" i="1" s="1"/>
  <c r="E152" i="1"/>
  <c r="D152" i="1"/>
  <c r="A152" i="1"/>
  <c r="A153" i="1" s="1"/>
  <c r="A154" i="1" s="1"/>
  <c r="A155" i="1" s="1"/>
  <c r="A156" i="1" s="1"/>
  <c r="A157" i="1" s="1"/>
  <c r="A158" i="1" s="1"/>
  <c r="E151" i="1"/>
  <c r="D151" i="1"/>
  <c r="E149" i="1"/>
  <c r="D149" i="1"/>
  <c r="E148" i="1"/>
  <c r="D148" i="1"/>
  <c r="E147" i="1"/>
  <c r="D147" i="1"/>
  <c r="E146" i="1"/>
  <c r="D146" i="1"/>
  <c r="E145" i="1"/>
  <c r="D145" i="1"/>
  <c r="E144" i="1"/>
  <c r="D144" i="1"/>
  <c r="E143" i="1"/>
  <c r="D143" i="1"/>
  <c r="A143" i="1"/>
  <c r="A144" i="1" s="1"/>
  <c r="A145" i="1" s="1"/>
  <c r="A146" i="1" s="1"/>
  <c r="A147" i="1" s="1"/>
  <c r="A148" i="1" s="1"/>
  <c r="A149" i="1" s="1"/>
  <c r="E142" i="1"/>
  <c r="D142" i="1"/>
  <c r="F142" i="1" s="1"/>
  <c r="H142" i="1" s="1"/>
  <c r="J142" i="1" s="1"/>
  <c r="E140" i="1"/>
  <c r="D140" i="1"/>
  <c r="F140" i="1" s="1"/>
  <c r="H140" i="1" s="1"/>
  <c r="E139" i="1"/>
  <c r="D139" i="1"/>
  <c r="E138" i="1"/>
  <c r="D138" i="1"/>
  <c r="F138" i="1" s="1"/>
  <c r="H138" i="1" s="1"/>
  <c r="E137" i="1"/>
  <c r="D137" i="1"/>
  <c r="F137" i="1" s="1"/>
  <c r="H137" i="1" s="1"/>
  <c r="K137" i="1" s="1"/>
  <c r="E136" i="1"/>
  <c r="D136" i="1"/>
  <c r="F136" i="1" s="1"/>
  <c r="H136" i="1" s="1"/>
  <c r="E135" i="1"/>
  <c r="D135" i="1"/>
  <c r="E134" i="1"/>
  <c r="D134" i="1"/>
  <c r="F134" i="1" s="1"/>
  <c r="H134" i="1" s="1"/>
  <c r="E133" i="1"/>
  <c r="D133" i="1"/>
  <c r="F133" i="1" s="1"/>
  <c r="H133" i="1" s="1"/>
  <c r="E131" i="1"/>
  <c r="D131" i="1"/>
  <c r="E130" i="1"/>
  <c r="D130" i="1"/>
  <c r="E129" i="1"/>
  <c r="D129" i="1"/>
  <c r="E128" i="1"/>
  <c r="D128" i="1"/>
  <c r="E127" i="1"/>
  <c r="D127" i="1"/>
  <c r="E126" i="1"/>
  <c r="D126" i="1"/>
  <c r="E125" i="1"/>
  <c r="D125" i="1"/>
  <c r="E124" i="1"/>
  <c r="D124" i="1"/>
  <c r="C107" i="1" l="1"/>
  <c r="F144" i="1"/>
  <c r="H144" i="1" s="1"/>
  <c r="J144" i="1" s="1"/>
  <c r="L138" i="1"/>
  <c r="K138" i="1"/>
  <c r="F147" i="1"/>
  <c r="H147" i="1" s="1"/>
  <c r="F135" i="1"/>
  <c r="H135" i="1" s="1"/>
  <c r="F139" i="1"/>
  <c r="H139" i="1" s="1"/>
  <c r="F149" i="1"/>
  <c r="H149" i="1" s="1"/>
  <c r="F145" i="1"/>
  <c r="H145" i="1" s="1"/>
  <c r="J145" i="1" s="1"/>
  <c r="F146" i="1"/>
  <c r="H146" i="1" s="1"/>
  <c r="J146" i="1" s="1"/>
  <c r="F148" i="1"/>
  <c r="H148" i="1" s="1"/>
  <c r="J148" i="1" s="1"/>
  <c r="F154" i="1"/>
  <c r="H154" i="1" s="1"/>
  <c r="J154" i="1" s="1"/>
  <c r="F143" i="1"/>
  <c r="F151" i="1"/>
  <c r="H151" i="1" s="1"/>
  <c r="J151" i="1" s="1"/>
  <c r="F152" i="1"/>
  <c r="H152" i="1" s="1"/>
  <c r="J152" i="1" s="1"/>
  <c r="F156" i="1"/>
  <c r="H156" i="1" s="1"/>
  <c r="J136" i="1"/>
  <c r="J135" i="1"/>
  <c r="J134" i="1"/>
  <c r="F130" i="1"/>
  <c r="H130" i="1" s="1"/>
  <c r="J130" i="1" s="1"/>
  <c r="F126" i="1"/>
  <c r="H126" i="1" s="1"/>
  <c r="I131" i="1"/>
  <c r="I125" i="1"/>
  <c r="I124" i="1"/>
  <c r="A134" i="1"/>
  <c r="A135" i="1" s="1"/>
  <c r="A136" i="1" s="1"/>
  <c r="A137" i="1" s="1"/>
  <c r="A138" i="1" s="1"/>
  <c r="A139" i="1" s="1"/>
  <c r="A140" i="1" s="1"/>
  <c r="A125" i="1"/>
  <c r="A126" i="1" s="1"/>
  <c r="A127" i="1" s="1"/>
  <c r="A128" i="1" s="1"/>
  <c r="A129" i="1" s="1"/>
  <c r="A130" i="1" s="1"/>
  <c r="A131" i="1" s="1"/>
  <c r="C16" i="1"/>
  <c r="H143" i="1" l="1"/>
  <c r="L143" i="1" s="1"/>
  <c r="K126" i="1"/>
  <c r="J126" i="1"/>
  <c r="F129" i="1"/>
  <c r="L126" i="1"/>
  <c r="L88" i="1" s="1"/>
  <c r="F124" i="1"/>
  <c r="J133" i="1"/>
  <c r="J137" i="1"/>
  <c r="F131" i="1"/>
  <c r="H131" i="1" s="1"/>
  <c r="J131" i="1" s="1"/>
  <c r="F128" i="1"/>
  <c r="H128" i="1" s="1"/>
  <c r="F127" i="1"/>
  <c r="H127" i="1" s="1"/>
  <c r="F125" i="1"/>
  <c r="F116" i="1"/>
  <c r="H116" i="1" s="1"/>
  <c r="F117" i="1"/>
  <c r="H117" i="1" s="1"/>
  <c r="F118" i="1"/>
  <c r="H118" i="1" s="1"/>
  <c r="F115" i="1"/>
  <c r="H115" i="1" s="1"/>
  <c r="J143" i="1" l="1"/>
  <c r="N124" i="1"/>
  <c r="E107" i="1"/>
  <c r="E108" i="1" s="1"/>
  <c r="H125" i="1"/>
  <c r="N125" i="1"/>
  <c r="J128" i="1"/>
  <c r="K128" i="1"/>
  <c r="H129" i="1"/>
  <c r="N128" i="1"/>
  <c r="J127" i="1"/>
  <c r="J88" i="1" s="1"/>
  <c r="K127" i="1"/>
  <c r="H124" i="1"/>
  <c r="C108" i="1"/>
  <c r="B190" i="1"/>
  <c r="G107" i="1" l="1"/>
  <c r="G108" i="1" s="1"/>
  <c r="J124" i="1"/>
  <c r="K124" i="1"/>
  <c r="J125" i="1"/>
  <c r="K125" i="1"/>
  <c r="G58" i="1"/>
  <c r="C58" i="1"/>
  <c r="G56" i="1"/>
  <c r="C56" i="1"/>
  <c r="K88" i="1" l="1"/>
  <c r="S33" i="1"/>
  <c r="F11" i="5" l="1"/>
  <c r="G11" i="5" s="1"/>
  <c r="F10" i="5"/>
  <c r="G10" i="5" s="1"/>
  <c r="F9" i="5"/>
  <c r="G9" i="5" s="1"/>
  <c r="F8" i="5"/>
  <c r="G8" i="5" s="1"/>
  <c r="F7" i="5"/>
  <c r="G7" i="5" s="1"/>
  <c r="F6" i="5"/>
  <c r="G6" i="5" s="1"/>
  <c r="F5" i="5"/>
  <c r="G5" i="5" s="1"/>
  <c r="G12" i="5" s="1"/>
  <c r="D213" i="1"/>
  <c r="B191" i="1"/>
  <c r="F187" i="1"/>
  <c r="H187" i="1" s="1"/>
  <c r="F186" i="1"/>
  <c r="H186" i="1" s="1"/>
  <c r="F185" i="1"/>
  <c r="H185" i="1" s="1"/>
  <c r="F184" i="1"/>
  <c r="H184" i="1" s="1"/>
  <c r="F183" i="1"/>
  <c r="H183" i="1" s="1"/>
  <c r="F181" i="1"/>
  <c r="H181" i="1" s="1"/>
  <c r="F180" i="1"/>
  <c r="H180" i="1" s="1"/>
  <c r="F179" i="1"/>
  <c r="H179" i="1" s="1"/>
  <c r="F178" i="1"/>
  <c r="H178" i="1" s="1"/>
  <c r="F177" i="1"/>
  <c r="H177" i="1" s="1"/>
  <c r="F175" i="1"/>
  <c r="H175" i="1" s="1"/>
  <c r="F174" i="1"/>
  <c r="H174" i="1" s="1"/>
  <c r="F173" i="1"/>
  <c r="H173" i="1" s="1"/>
  <c r="F172" i="1"/>
  <c r="H172" i="1" s="1"/>
  <c r="F171" i="1"/>
  <c r="H171" i="1" s="1"/>
  <c r="F169" i="1"/>
  <c r="H169" i="1" s="1"/>
  <c r="F168" i="1"/>
  <c r="H168" i="1" s="1"/>
  <c r="F167" i="1"/>
  <c r="H167" i="1" s="1"/>
  <c r="F166" i="1"/>
  <c r="H166" i="1" s="1"/>
  <c r="F165" i="1"/>
  <c r="H165" i="1" s="1"/>
  <c r="A165" i="1"/>
  <c r="A166" i="1" s="1"/>
  <c r="A167" i="1" s="1"/>
  <c r="A168" i="1" s="1"/>
  <c r="A169" i="1" s="1"/>
  <c r="F163" i="1"/>
  <c r="H163" i="1" s="1"/>
  <c r="F162" i="1"/>
  <c r="H162" i="1" s="1"/>
  <c r="F161" i="1"/>
  <c r="H161" i="1" s="1"/>
  <c r="A161" i="1"/>
  <c r="A162" i="1" s="1"/>
  <c r="A163" i="1" s="1"/>
  <c r="F160" i="1"/>
  <c r="H160" i="1" s="1"/>
  <c r="A116" i="1"/>
  <c r="A117" i="1" s="1"/>
  <c r="A118" i="1" s="1"/>
  <c r="G109" i="1"/>
  <c r="E109" i="1"/>
  <c r="C109" i="1"/>
  <c r="F99" i="1"/>
  <c r="C73" i="1"/>
  <c r="D67" i="1"/>
  <c r="D62" i="1"/>
  <c r="G51" i="1"/>
  <c r="G52" i="1" s="1"/>
  <c r="C51" i="1"/>
  <c r="E44" i="1"/>
  <c r="E45" i="1" s="1"/>
  <c r="E31" i="1"/>
  <c r="E28" i="1"/>
  <c r="E26" i="1"/>
  <c r="I15" i="1"/>
  <c r="Z13" i="1"/>
  <c r="E8" i="1"/>
  <c r="E3" i="1"/>
  <c r="A183" i="1"/>
  <c r="A171" i="1"/>
  <c r="A177" i="1"/>
  <c r="H74" i="1"/>
  <c r="J73" i="1" l="1"/>
  <c r="J75" i="1" s="1"/>
  <c r="J76" i="1"/>
  <c r="J77" i="1"/>
  <c r="J78" i="1"/>
  <c r="C77" i="1" s="1"/>
  <c r="D81" i="1"/>
  <c r="D83" i="1"/>
  <c r="D82" i="1"/>
  <c r="D86" i="1"/>
  <c r="D80" i="1"/>
  <c r="D85" i="1"/>
  <c r="D79" i="1"/>
  <c r="D84" i="1"/>
  <c r="B74" i="1"/>
  <c r="J79" i="1" s="1"/>
  <c r="A178" i="1"/>
  <c r="A172" i="1"/>
  <c r="A184" i="1"/>
  <c r="D77" i="1" l="1"/>
  <c r="J83" i="1"/>
  <c r="J81" i="1"/>
  <c r="J82" i="1"/>
  <c r="J80" i="1"/>
  <c r="J85" i="1" s="1"/>
  <c r="J86" i="1" s="1"/>
  <c r="C78" i="1" s="1"/>
  <c r="J84" i="1"/>
  <c r="A173" i="1"/>
  <c r="A185" i="1"/>
  <c r="A179" i="1"/>
  <c r="J74" i="1" l="1"/>
  <c r="E77" i="1"/>
  <c r="D78" i="1"/>
  <c r="I74" i="1" s="1"/>
  <c r="G77" i="1"/>
  <c r="D71" i="1" s="1"/>
  <c r="A174" i="1"/>
  <c r="A180" i="1"/>
  <c r="A186" i="1"/>
  <c r="F72" i="1" l="1"/>
  <c r="D72" i="1"/>
  <c r="I75" i="1"/>
  <c r="I73" i="1" s="1"/>
  <c r="C75" i="1" s="1"/>
  <c r="A187" i="1"/>
  <c r="A175" i="1"/>
  <c r="A181"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<sst xmlns="http://schemas.openxmlformats.org/spreadsheetml/2006/main" count="559" uniqueCount="350">
  <si>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</si>
  <si>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</si>
  <si>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</si>
  <si>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</si>
  <si>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</si>
  <si>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</si>
  <si>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</si>
  <si>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</si>
  <si>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</si>
  <si>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</si>
  <si>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</si>
  <si>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</si>
  <si>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</si>
  <si>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</si>
  <si>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</si>
  <si>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</si>
  <si>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</si>
  <si>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</si>
  <si>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</si>
  <si>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</si>
  <si>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</si>
  <si>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</si>
  <si>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</si>
  <si>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</si>
  <si>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</si>
  <si>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</si>
  <si>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</si>
  <si>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</si>
  <si>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</si>
  <si>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</si>
  <si>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</si>
  <si>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</si>
  <si>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</si>
  <si>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</si>
  <si>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</si>
  <si>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</si>
  <si>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</si>
  <si>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</si>
  <si>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</si>
  <si>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</si>
  <si>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</si>
  <si>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</si>
  <si>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</si>
  <si>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</si>
  <si>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</si>
  <si>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</si>
  <si>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</si>
  <si>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</si>
  <si>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</si>
  <si>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</si>
  <si>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</si>
  <si>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</si>
  <si>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</si>
  <si>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</si>
  <si>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</si>
  <si>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</si>
  <si>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</si>
  <si>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</si>
  <si>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</si>
  <si>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</si>
  <si>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</si>
  <si>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</si>
  <si>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</si>
  <si>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</si>
  <si>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</si>
  <si>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</si>
  <si>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</si>
  <si>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</si>
  <si>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</si>
  <si>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</si>
  <si>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</si>
  <si>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</si>
  <si>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</si>
  <si>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</si>
  <si>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</si>
  <si>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</si>
  <si>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</si>
  <si>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</si>
  <si>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</si>
  <si>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</si>
  <si>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</si>
  <si>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</si>
  <si>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</si>
  <si>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</si>
  <si>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</si>
  <si>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</si>
  <si>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</si>
  <si>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</si>
  <si>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</si>
  <si>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</si>
  <si>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</si>
  <si>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</si>
  <si>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</si>
  <si>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</si>
  <si>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</si>
  <si>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</si>
  <si>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</si>
  <si>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</si>
  <si>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</si>
  <si>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</si>
  <si>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</si>
  <si>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</si>
  <si>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</si>
  <si>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</si>
  <si>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</si>
  <si>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</si>
  <si>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</si>
  <si>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</si>
  <si>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</si>
  <si>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</si>
  <si>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</si>
  <si>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</si>
  <si>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</si>
  <si>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</si>
  <si>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</si>
  <si>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</si>
  <si>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</si>
  <si>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</si>
  <si>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</si>
  <si>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</si>
  <si>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</si>
  <si>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</si>
  <si>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</si>
  <si>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</si>
  <si>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</si>
  <si>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</si>
  <si>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</si>
  <si>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</si>
  <si>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</si>
  <si>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</si>
  <si>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</si>
  <si>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</si>
  <si>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</si>
  <si>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</si>
  <si>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</si>
  <si>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</si>
  <si>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</si>
  <si>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</si>
  <si>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</si>
  <si>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</si>
  <si>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</si>
  <si>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</si>
  <si>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</si>
  <si>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</si>
  <si>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</si>
  <si>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</si>
  <si>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</si>
  <si>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</si>
  <si>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</si>
  <si>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</si>
  <si>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</si>
  <si>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</si>
  <si>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</si>
  <si>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</si>
  <si>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</si>
  <si>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</si>
  <si>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</si>
  <si>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</si>
  <si>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</si>
  <si>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</si>
  <si>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</si>
  <si>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</si>
  <si>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</si>
  <si>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</si>
  <si>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</si>
  <si>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</si>
  <si>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</si>
  <si>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</si>
  <si>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</si>
  <si>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</si>
  <si>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</si>
  <si>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</si>
  <si>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</si>
  <si>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</si>
  <si>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</si>
  <si>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</si>
  <si>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</si>
  <si>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</si>
  <si>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</si>
  <si>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</si>
  <si>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</si>
  <si>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</si>
  <si>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</si>
  <si>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</si>
  <si>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</si>
  <si>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</si>
  <si>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</si>
  <si>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</si>
  <si>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</si>
  <si>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</si>
  <si>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</si>
  <si>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</si>
  <si>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</si>
  <si>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</si>
  <si>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</si>
  <si>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</si>
  <si>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</si>
  <si>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</si>
  <si>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</si>
  <si>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</si>
  <si>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</si>
  <si>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</si>
  <si>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</si>
  <si>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</si>
  <si>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</si>
  <si>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</si>
  <si>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</si>
  <si>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</si>
  <si>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</si>
  <si>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</si>
  <si>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</si>
  <si>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</si>
  <si>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</si>
  <si>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</si>
  <si>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</si>
  <si>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</si>
  <si>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</si>
  <si>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</si>
  <si>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</si>
  <si>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</si>
  <si>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</si>
  <si>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</si>
  <si>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</si>
  <si>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</si>
  <si>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</si>
  <si>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</si>
  <si>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</si>
  <si>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</si>
  <si>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</si>
  <si>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</si>
  <si>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</si>
  <si>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</si>
  <si>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</si>
  <si>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</si>
  <si>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</si>
  <si>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</si>
  <si>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</si>
  <si>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</si>
  <si>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</si>
  <si>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</si>
  <si>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</si>
  <si>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</si>
  <si>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</si>
  <si>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</si>
  <si>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</si>
  <si>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</si>
  <si>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</si>
  <si>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</si>
  <si>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</si>
  <si>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</si>
  <si>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</si>
  <si>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</si>
  <si>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</si>
  <si>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</si>
  <si>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</si>
  <si>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</si>
  <si>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</si>
  <si>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</si>
  <si>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</si>
  <si>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</si>
  <si>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</si>
  <si>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</si>
  <si>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</si>
  <si>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</si>
  <si>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</si>
  <si>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</si>
  <si>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</si>
  <si>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</si>
  <si>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</si>
  <si>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</si>
  <si>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</si>
  <si>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</si>
  <si>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</si>
  <si>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</si>
  <si>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</si>
  <si>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</si>
  <si>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</si>
  <si>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</si>
  <si>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</si>
  <si>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</si>
  <si>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</si>
  <si>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</si>
  <si>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</si>
  <si>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</si>
  <si>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</si>
  <si>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</si>
  <si>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</si>
  <si>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</si>
  <si>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</si>
  <si>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</si>
  <si>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</si>
  <si>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</si>
  <si>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</si>
  <si>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</si>
  <si>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</si>
  <si>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</si>
  <si>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</si>
  <si>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</si>
  <si>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Nakshatra Group</t>
  </si>
  <si>
    <t>Vinayak Prerana</t>
  </si>
  <si>
    <t>Chetan Malde : 9323285402/9699285402</t>
  </si>
  <si>
    <t>P51700053644</t>
  </si>
  <si>
    <t>https://maps.app.goo.gl/fQKTnhrao6kZqreaA</t>
  </si>
  <si>
    <t>19.2222739,73.1068836</t>
  </si>
  <si>
    <t>Survey No</t>
  </si>
  <si>
    <t>Kanchangaon</t>
  </si>
  <si>
    <t>Dombivli (East)</t>
  </si>
  <si>
    <t>Internal Road</t>
  </si>
  <si>
    <t>78/13/B/3, 78/13/B/5, Plot No.05, S.No.78/12/D, 78/12/A, Plot No.04 &amp; Redevelopment of Building "Vinayak Prerana CHSL"</t>
  </si>
  <si>
    <t>1.5 KM from Thakurli Railway Station</t>
  </si>
  <si>
    <t>Open Ganpati temple</t>
  </si>
  <si>
    <t>Vinayak Prerana CHSL</t>
  </si>
  <si>
    <t>Open Plot</t>
  </si>
  <si>
    <t>Existing Building</t>
  </si>
  <si>
    <t>Other Plot</t>
  </si>
  <si>
    <t>Vinayak Krupa Building</t>
  </si>
  <si>
    <t>6.0 M. Wide Existing Road</t>
  </si>
  <si>
    <t>Gr/Stilt + 1st to 7th Floor</t>
  </si>
  <si>
    <t>As per RERA - 30/09/2026</t>
  </si>
  <si>
    <t>1st to 3rd Floor for Residential</t>
  </si>
  <si>
    <t>1.5BHK</t>
  </si>
  <si>
    <t>2.5BHK</t>
  </si>
  <si>
    <t>1BHK</t>
  </si>
  <si>
    <t>2BHK</t>
  </si>
  <si>
    <t>Balcony Area</t>
  </si>
  <si>
    <t>We considered Gross carpet area = Net carpet + Enclose balcony + Balcony.</t>
  </si>
  <si>
    <t>Flats</t>
  </si>
  <si>
    <r>
      <t xml:space="preserve">Shop No.
</t>
    </r>
    <r>
      <rPr>
        <b/>
        <sz val="11"/>
        <rFont val="Times New Roman"/>
        <family val="1"/>
      </rPr>
      <t>(Approved Plan)</t>
    </r>
  </si>
  <si>
    <r>
      <t xml:space="preserve">Flat No.
</t>
    </r>
    <r>
      <rPr>
        <b/>
        <sz val="11"/>
        <rFont val="Times New Roman"/>
        <family val="1"/>
      </rPr>
      <t>(Approved Plan)</t>
    </r>
  </si>
  <si>
    <t>As the project is redevelopement project but rehab statement or rehab flats is not mentioned in approved layout plan &amp; floor plan.</t>
  </si>
  <si>
    <t>Approved Plans, CC, Cost Sheet</t>
  </si>
  <si>
    <t>24X7 Water Supply, Fire Fighting System, Landscape Garden and Tree Planting, Electrification(Transformer, Solar Energy etc).</t>
  </si>
  <si>
    <r>
      <t xml:space="preserve">Proposed Amenities :                                                                                                                                                                                                                         </t>
    </r>
    <r>
      <rPr>
        <b/>
        <sz val="12"/>
        <rFont val="Times New Roman"/>
        <family val="1"/>
      </rPr>
      <t xml:space="preserve">                                               </t>
    </r>
  </si>
  <si>
    <t>Society Charges &amp; Infrastructure Cost</t>
  </si>
  <si>
    <t>Online</t>
  </si>
  <si>
    <t>Cost Sheet</t>
  </si>
  <si>
    <t>Visitor</t>
  </si>
  <si>
    <t>MIS</t>
  </si>
  <si>
    <t>KDMCC/RB/2024/APL/00079</t>
  </si>
  <si>
    <t>Ground Floor for Parking, Society Office, Meter Room and Entrance Lobby</t>
  </si>
  <si>
    <t>4th Floor</t>
  </si>
  <si>
    <t>5th Floor</t>
  </si>
  <si>
    <t>6th &amp; 7th Floor</t>
  </si>
  <si>
    <t>Mr. Anurag Sakpal - 7304149108</t>
  </si>
  <si>
    <t>Flats - 56</t>
  </si>
  <si>
    <t xml:space="preserve">We have updated revised plans &amp; CC (on 08/10/2024).
</t>
  </si>
  <si>
    <t xml:space="preserve">Recommended Rates/Other Charges of the Property have been revised on 22/10/2024.
</t>
  </si>
  <si>
    <t>Gaurav Panchal</t>
  </si>
  <si>
    <t>Krishna Kambli</t>
  </si>
  <si>
    <t>Construction work was not active at the time of visit, work is same as last visit dtd. 07/04/2025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</si>
</sst>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5"/>
      <name val="Times New Roman"/>
      <family val="1"/>
    </font>
    <font>
      <b/>
      <sz val="11"/>
      <name val="Times New Roman"/>
      <family val="1"/>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18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7"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6" xfId="1" applyFont="1" applyBorder="1"/>
    <xf numFmtId="0" fontId="15"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2" fillId="0" borderId="18" xfId="0" applyFont="1" applyBorder="1"/>
    <xf numFmtId="0" fontId="22" fillId="0" borderId="3"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9" fontId="10" fillId="0" borderId="1"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0"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1" fontId="10" fillId="0" borderId="1" xfId="1" applyNumberFormat="1" applyFont="1" applyBorder="1" applyAlignment="1">
      <alignment horizontal="center" vertical="center"/>
    </xf>
    <xf numFmtId="1" fontId="10" fillId="0" borderId="1" xfId="0" applyNumberFormat="1" applyFont="1" applyBorder="1" applyAlignment="1" applyProtection="1">
      <alignment horizontal="center" vertical="center" wrapText="1"/>
      <protection locked="0"/>
    </xf>
    <xf numFmtId="0" fontId="13" fillId="0" borderId="0" xfId="1" applyFont="1" applyAlignment="1">
      <alignment horizontal="center" vertical="center"/>
    </xf>
    <xf numFmtId="0" fontId="26"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2" fontId="6" fillId="0" borderId="0" xfId="1" applyNumberFormat="1" applyFont="1" applyAlignment="1">
      <alignment horizontal="center" vertical="center"/>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10"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0" fontId="21" fillId="2" borderId="9" xfId="0" applyFont="1" applyFill="1" applyBorder="1"/>
    <xf numFmtId="0" fontId="22" fillId="0" borderId="5" xfId="0" applyFont="1" applyBorder="1"/>
    <xf numFmtId="1" fontId="11" fillId="0" borderId="4" xfId="0" applyNumberFormat="1" applyFont="1" applyBorder="1" applyAlignment="1" applyProtection="1">
      <alignment vertical="top" wrapText="1"/>
      <protection locked="0"/>
    </xf>
    <xf numFmtId="1" fontId="11" fillId="0" borderId="15" xfId="0" applyNumberFormat="1" applyFont="1" applyBorder="1" applyAlignment="1" applyProtection="1">
      <alignment vertical="top" wrapText="1"/>
      <protection locked="0"/>
    </xf>
    <xf numFmtId="1" fontId="11" fillId="0" borderId="5" xfId="0" applyNumberFormat="1" applyFont="1" applyBorder="1" applyAlignment="1" applyProtection="1">
      <alignment vertical="top" wrapText="1"/>
      <protection locked="0"/>
    </xf>
    <xf numFmtId="0" fontId="6" fillId="0" borderId="0" xfId="1" applyFont="1" applyAlignment="1">
      <alignment horizontal="center" vertical="center"/>
    </xf>
    <xf numFmtId="1" fontId="5" fillId="0" borderId="4" xfId="1" applyNumberFormat="1" applyFont="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1" fontId="10" fillId="0" borderId="4" xfId="1" applyNumberFormat="1" applyFont="1" applyBorder="1" applyAlignment="1" applyProtection="1">
      <alignment horizontal="center" vertical="center" wrapText="1"/>
      <protection locked="0"/>
    </xf>
    <xf numFmtId="1" fontId="10" fillId="0" borderId="5" xfId="1" applyNumberFormat="1" applyFont="1" applyBorder="1" applyAlignment="1" applyProtection="1">
      <alignment horizontal="center" vertical="center" wrapText="1"/>
      <protection locked="0"/>
    </xf>
    <xf numFmtId="1" fontId="11" fillId="0" borderId="4" xfId="1" applyNumberFormat="1" applyFont="1" applyBorder="1" applyAlignment="1" applyProtection="1">
      <alignment horizontal="center" vertical="center" wrapText="1"/>
      <protection locked="0"/>
    </xf>
    <xf numFmtId="1" fontId="11" fillId="0" borderId="15" xfId="1" applyNumberFormat="1" applyFont="1" applyBorder="1" applyAlignment="1" applyProtection="1">
      <alignment horizontal="center" vertical="center" wrapText="1"/>
      <protection locked="0"/>
    </xf>
    <xf numFmtId="1" fontId="11" fillId="0" borderId="5"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7" fillId="0" borderId="4" xfId="1" applyNumberFormat="1" applyFont="1" applyBorder="1" applyAlignment="1" applyProtection="1">
      <alignment horizontal="center" vertical="center" wrapText="1"/>
      <protection locked="0"/>
    </xf>
    <xf numFmtId="1" fontId="7" fillId="0" borderId="15" xfId="1" applyNumberFormat="1" applyFont="1" applyBorder="1" applyAlignment="1" applyProtection="1">
      <alignment horizontal="center" vertical="center" wrapText="1"/>
      <protection locked="0"/>
    </xf>
    <xf numFmtId="1" fontId="7" fillId="0" borderId="5"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6" fillId="0" borderId="17" xfId="1" applyFont="1" applyBorder="1" applyAlignment="1">
      <alignment horizontal="center"/>
    </xf>
    <xf numFmtId="0" fontId="6" fillId="0" borderId="0" xfId="1" applyFont="1" applyAlignment="1">
      <alignment horizontal="center"/>
    </xf>
    <xf numFmtId="167" fontId="10"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7" fillId="0" borderId="4" xfId="1" applyFont="1" applyBorder="1" applyAlignment="1" applyProtection="1">
      <alignment horizontal="left" vertical="top" wrapText="1"/>
      <protection locked="0"/>
    </xf>
    <xf numFmtId="0" fontId="7" fillId="0" borderId="5"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5" fillId="0" borderId="4" xfId="1" applyFont="1" applyBorder="1" applyAlignment="1" applyProtection="1">
      <alignment horizontal="left" vertical="top" wrapText="1"/>
      <protection locked="0"/>
    </xf>
    <xf numFmtId="0" fontId="5" fillId="0" borderId="5"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14" fontId="5" fillId="0" borderId="4" xfId="1" applyNumberFormat="1" applyFont="1" applyBorder="1" applyAlignment="1" applyProtection="1">
      <alignment horizontal="left" vertical="top" wrapText="1"/>
      <protection locked="0"/>
    </xf>
    <xf numFmtId="14" fontId="5" fillId="0" borderId="5" xfId="1" applyNumberFormat="1" applyFont="1" applyBorder="1" applyAlignment="1" applyProtection="1">
      <alignment horizontal="left" vertical="top" wrapText="1"/>
      <protection locked="0"/>
    </xf>
    <xf numFmtId="0" fontId="11" fillId="0" borderId="20" xfId="0" applyFont="1" applyBorder="1" applyAlignment="1" applyProtection="1">
      <alignment horizontal="center" vertical="top" wrapText="1"/>
      <protection locked="0"/>
    </xf>
    <xf numFmtId="1" fontId="7" fillId="0" borderId="4" xfId="0" applyNumberFormat="1" applyFont="1" applyBorder="1" applyAlignment="1" applyProtection="1">
      <alignment vertical="top" wrapText="1"/>
      <protection locked="0"/>
    </xf>
    <xf numFmtId="1" fontId="7" fillId="0" borderId="15" xfId="0" applyNumberFormat="1" applyFont="1" applyBorder="1" applyAlignment="1" applyProtection="1">
      <alignment vertical="top" wrapText="1"/>
      <protection locked="0"/>
    </xf>
    <xf numFmtId="1" fontId="7" fillId="0" borderId="5" xfId="0" applyNumberFormat="1" applyFont="1" applyBorder="1" applyAlignment="1" applyProtection="1">
      <alignment vertical="top"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left" vertical="top" wrapText="1"/>
      <protection locked="0"/>
    </xf>
    <xf numFmtId="0" fontId="7" fillId="0" borderId="4" xfId="1" applyFont="1" applyBorder="1" applyAlignment="1" applyProtection="1">
      <alignment horizontal="left" vertical="top"/>
      <protection locked="0"/>
    </xf>
    <xf numFmtId="0" fontId="7" fillId="0" borderId="5" xfId="1" applyFont="1" applyBorder="1" applyAlignment="1" applyProtection="1">
      <alignment horizontal="left" vertical="top"/>
      <protection locked="0"/>
    </xf>
    <xf numFmtId="0" fontId="13" fillId="0" borderId="11"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5" fillId="0" borderId="11" xfId="1" applyFont="1" applyBorder="1" applyAlignment="1" applyProtection="1">
      <alignment horizontal="left" vertical="top" wrapText="1"/>
      <protection locked="0"/>
    </xf>
    <xf numFmtId="0" fontId="5" fillId="0" borderId="12"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10" fillId="0" borderId="11" xfId="1" applyFont="1" applyBorder="1" applyAlignment="1" applyProtection="1">
      <alignment horizontal="left" vertical="top" wrapText="1"/>
      <protection locked="0"/>
    </xf>
    <xf numFmtId="0" fontId="10" fillId="0" borderId="16"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10" fillId="0" borderId="1" xfId="1" applyNumberFormat="1" applyFont="1" applyBorder="1" applyAlignment="1" applyProtection="1">
      <alignment horizontal="center" vertical="center" wrapText="1"/>
      <protection locked="0"/>
    </xf>
    <xf numFmtId="1" fontId="11" fillId="0" borderId="2" xfId="1" applyNumberFormat="1" applyFont="1" applyBorder="1" applyAlignment="1" applyProtection="1">
      <alignment horizontal="center" vertical="top" wrapText="1"/>
      <protection locked="0"/>
    </xf>
    <xf numFmtId="1" fontId="11" fillId="0" borderId="10"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0" fillId="0" borderId="2"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11" fillId="0" borderId="1" xfId="1"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wrapText="1"/>
      <protection locked="0"/>
    </xf>
    <xf numFmtId="9" fontId="10" fillId="0" borderId="1" xfId="8" applyFont="1" applyFill="1" applyBorder="1" applyAlignment="1" applyProtection="1">
      <alignment horizontal="center" vertical="center" wrapText="1"/>
      <protection locked="0"/>
    </xf>
    <xf numFmtId="0" fontId="28"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5" fillId="0" borderId="10"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0" fillId="0" borderId="2" xfId="1" applyFont="1" applyBorder="1" applyAlignment="1" applyProtection="1">
      <alignment horizontal="left" vertical="top"/>
      <protection locked="0"/>
    </xf>
    <xf numFmtId="0" fontId="10" fillId="0" borderId="12" xfId="1" applyFont="1" applyBorder="1" applyAlignment="1" applyProtection="1">
      <alignment horizontal="left" vertical="top" wrapText="1"/>
      <protection locked="0"/>
    </xf>
    <xf numFmtId="1" fontId="10" fillId="0" borderId="1" xfId="0" applyNumberFormat="1" applyFont="1" applyBorder="1" applyAlignment="1" applyProtection="1">
      <alignment horizontal="center" vertical="top" wrapText="1"/>
      <protection locked="0"/>
    </xf>
    <xf numFmtId="1" fontId="29" fillId="0" borderId="2" xfId="1" applyNumberFormat="1" applyFont="1" applyBorder="1" applyAlignment="1" applyProtection="1">
      <alignment horizontal="center" vertical="top" wrapText="1"/>
      <protection locked="0"/>
    </xf>
    <xf numFmtId="1" fontId="29" fillId="0" borderId="10" xfId="1" applyNumberFormat="1" applyFont="1" applyBorder="1" applyAlignment="1" applyProtection="1">
      <alignment horizontal="center" vertical="top" wrapText="1"/>
      <protection locked="0"/>
    </xf>
    <xf numFmtId="0" fontId="7" fillId="0" borderId="10" xfId="1" applyFont="1" applyBorder="1" applyAlignment="1" applyProtection="1">
      <alignment horizontal="center" vertical="top"/>
      <protection locked="0"/>
    </xf>
    <xf numFmtId="0" fontId="11" fillId="0" borderId="10" xfId="1" applyFont="1" applyBorder="1" applyAlignment="1" applyProtection="1">
      <alignment horizontal="center" vertical="top"/>
      <protection locked="0"/>
    </xf>
    <xf numFmtId="1" fontId="11" fillId="0" borderId="19" xfId="0" applyNumberFormat="1" applyFont="1" applyBorder="1" applyAlignment="1" applyProtection="1">
      <alignment horizontal="center" vertical="center" wrapText="1"/>
      <protection locked="0"/>
    </xf>
    <xf numFmtId="1" fontId="11" fillId="0" borderId="20" xfId="0" applyNumberFormat="1" applyFont="1" applyBorder="1" applyAlignment="1" applyProtection="1">
      <alignment horizontal="center" vertical="center" wrapText="1"/>
      <protection locked="0"/>
    </xf>
    <xf numFmtId="0" fontId="11" fillId="0" borderId="20" xfId="0" applyFont="1" applyBorder="1" applyAlignment="1" applyProtection="1">
      <alignment horizontal="center" vertical="center"/>
      <protection locked="0"/>
    </xf>
    <xf numFmtId="0" fontId="23"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11" fillId="0" borderId="20" xfId="0" applyNumberFormat="1" applyFont="1" applyBorder="1" applyAlignment="1" applyProtection="1">
      <alignment horizontal="center" vertical="top" wrapText="1"/>
      <protection locked="0"/>
    </xf>
    <xf numFmtId="1" fontId="11" fillId="0" borderId="21" xfId="0" applyNumberFormat="1" applyFont="1" applyBorder="1" applyAlignment="1" applyProtection="1">
      <alignment horizontal="center" vertical="top" wrapText="1"/>
      <protection locked="0"/>
    </xf>
    <xf numFmtId="0" fontId="5" fillId="0" borderId="4" xfId="1" applyFont="1" applyBorder="1" applyAlignment="1" applyProtection="1">
      <alignment vertical="top" wrapText="1"/>
      <protection locked="0"/>
    </xf>
    <xf numFmtId="0" fontId="5" fillId="0" borderId="15" xfId="1" applyFont="1" applyBorder="1" applyAlignment="1" applyProtection="1">
      <alignment vertical="top" wrapText="1"/>
      <protection locked="0"/>
    </xf>
    <xf numFmtId="0" fontId="5" fillId="0" borderId="5" xfId="1" applyFont="1" applyBorder="1" applyAlignment="1" applyProtection="1">
      <alignment vertical="top" wrapText="1"/>
      <protection locked="0"/>
    </xf>
    <xf numFmtId="0" fontId="11" fillId="0" borderId="4" xfId="1" applyFont="1" applyBorder="1" applyAlignment="1" applyProtection="1">
      <alignment horizontal="left" vertical="top"/>
      <protection locked="0"/>
    </xf>
    <xf numFmtId="0" fontId="11" fillId="0" borderId="15" xfId="1" applyFont="1" applyBorder="1" applyAlignment="1" applyProtection="1">
      <alignment horizontal="left" vertical="top"/>
      <protection locked="0"/>
    </xf>
    <xf numFmtId="0" fontId="11" fillId="0" borderId="5" xfId="1" applyFont="1" applyBorder="1" applyAlignment="1" applyProtection="1">
      <alignment horizontal="left" vertical="top"/>
      <protection locked="0"/>
    </xf>
    <xf numFmtId="0" fontId="7" fillId="0" borderId="10"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1" fontId="11"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1" fontId="10" fillId="0" borderId="15" xfId="1" applyNumberFormat="1" applyFont="1" applyBorder="1" applyAlignment="1" applyProtection="1">
      <alignment horizontal="center" vertical="center" wrapText="1"/>
      <protection locked="0"/>
    </xf>
    <xf numFmtId="1" fontId="11" fillId="0" borderId="11" xfId="1" applyNumberFormat="1" applyFont="1" applyBorder="1" applyAlignment="1" applyProtection="1">
      <alignment horizontal="center" vertical="top" wrapText="1"/>
      <protection locked="0"/>
    </xf>
    <xf numFmtId="1" fontId="11" fillId="0" borderId="13" xfId="1"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254956</xdr:colOff>
      <xdr:row>319</xdr:row>
      <xdr:rowOff>116475</xdr:rowOff>
    </xdr:from>
    <xdr:to>
      <xdr:col>6</xdr:col>
      <xdr:colOff>478076</xdr:colOff>
      <xdr:row>338</xdr:row>
      <xdr:rowOff>71503</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055056" y="68664725"/>
          <a:ext cx="4509370" cy="3695178"/>
        </a:xfrm>
        <a:prstGeom prst="rect">
          <a:avLst/>
        </a:prstGeom>
        <a:ln>
          <a:solidFill>
            <a:schemeClr val="tx1"/>
          </a:solidFill>
        </a:ln>
      </xdr:spPr>
    </xdr:pic>
    <xdr:clientData/>
  </xdr:twoCellAnchor>
  <xdr:twoCellAnchor editAs="oneCell">
    <xdr:from>
      <xdr:col>0</xdr:col>
      <xdr:colOff>666750</xdr:colOff>
      <xdr:row>299</xdr:row>
      <xdr:rowOff>95250</xdr:rowOff>
    </xdr:from>
    <xdr:to>
      <xdr:col>7</xdr:col>
      <xdr:colOff>98033</xdr:colOff>
      <xdr:row>318</xdr:row>
      <xdr:rowOff>163013</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66750" y="64706500"/>
          <a:ext cx="5285983" cy="3807913"/>
        </a:xfrm>
        <a:prstGeom prst="rect">
          <a:avLst/>
        </a:prstGeom>
        <a:ln>
          <a:solidFill>
            <a:schemeClr val="tx1"/>
          </a:solidFill>
        </a:ln>
      </xdr:spPr>
    </xdr:pic>
    <xdr:clientData/>
  </xdr:twoCellAnchor>
  <xdr:twoCellAnchor>
    <xdr:from>
      <xdr:col>3</xdr:col>
      <xdr:colOff>205954</xdr:colOff>
      <xdr:row>326</xdr:row>
      <xdr:rowOff>77323</xdr:rowOff>
    </xdr:from>
    <xdr:to>
      <xdr:col>4</xdr:col>
      <xdr:colOff>649752</xdr:colOff>
      <xdr:row>332</xdr:row>
      <xdr:rowOff>51769</xdr:rowOff>
    </xdr:to>
    <xdr:sp macro="" textlink="">
      <xdr:nvSpPr>
        <xdr:cNvPr id="4" name="Rectangle 3">
          <a:extLst>
            <a:ext uri="{FF2B5EF4-FFF2-40B4-BE49-F238E27FC236}">
              <a16:creationId xmlns="" xmlns:a16="http://schemas.microsoft.com/office/drawing/2014/main" id="{00000000-0008-0000-0000-000004000000}"/>
            </a:ext>
          </a:extLst>
        </xdr:cNvPr>
        <xdr:cNvSpPr/>
      </xdr:nvSpPr>
      <xdr:spPr>
        <a:xfrm rot="1580141">
          <a:off x="2789005" y="55927726"/>
          <a:ext cx="1428586" cy="118525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2</xdr:col>
      <xdr:colOff>298820</xdr:colOff>
      <xdr:row>277</xdr:row>
      <xdr:rowOff>89683</xdr:rowOff>
    </xdr:from>
    <xdr:to>
      <xdr:col>2</xdr:col>
      <xdr:colOff>483551</xdr:colOff>
      <xdr:row>279</xdr:row>
      <xdr:rowOff>65315</xdr:rowOff>
    </xdr:to>
    <xdr:sp macro="" textlink="">
      <xdr:nvSpPr>
        <xdr:cNvPr id="5" name="Rectangle 4">
          <a:extLst>
            <a:ext uri="{FF2B5EF4-FFF2-40B4-BE49-F238E27FC236}">
              <a16:creationId xmlns="" xmlns:a16="http://schemas.microsoft.com/office/drawing/2014/main" id="{00000000-0008-0000-0000-000005000000}"/>
            </a:ext>
          </a:extLst>
        </xdr:cNvPr>
        <xdr:cNvSpPr/>
      </xdr:nvSpPr>
      <xdr:spPr>
        <a:xfrm>
          <a:off x="1937120" y="60173383"/>
          <a:ext cx="184731"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editAs="oneCell">
    <xdr:from>
      <xdr:col>1</xdr:col>
      <xdr:colOff>399005</xdr:colOff>
      <xdr:row>278</xdr:row>
      <xdr:rowOff>77499</xdr:rowOff>
    </xdr:from>
    <xdr:to>
      <xdr:col>6</xdr:col>
      <xdr:colOff>359078</xdr:colOff>
      <xdr:row>295</xdr:row>
      <xdr:rowOff>100552</xdr:rowOff>
    </xdr:to>
    <xdr:pic>
      <xdr:nvPicPr>
        <xdr:cNvPr id="6" name="Picture 5">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199105" y="60358049"/>
          <a:ext cx="4246323" cy="3369502"/>
        </a:xfrm>
        <a:prstGeom prst="rect">
          <a:avLst/>
        </a:prstGeom>
        <a:ln>
          <a:solidFill>
            <a:schemeClr val="tx1"/>
          </a:solidFill>
        </a:ln>
      </xdr:spPr>
    </xdr:pic>
    <xdr:clientData/>
  </xdr:twoCellAnchor>
  <xdr:twoCellAnchor editAs="oneCell">
    <xdr:from>
      <xdr:col>1</xdr:col>
      <xdr:colOff>323850</xdr:colOff>
      <xdr:row>256</xdr:row>
      <xdr:rowOff>165100</xdr:rowOff>
    </xdr:from>
    <xdr:to>
      <xdr:col>6</xdr:col>
      <xdr:colOff>434235</xdr:colOff>
      <xdr:row>277</xdr:row>
      <xdr:rowOff>89684</xdr:rowOff>
    </xdr:to>
    <xdr:pic>
      <xdr:nvPicPr>
        <xdr:cNvPr id="7" name="Picture 6">
          <a:extLst>
            <a:ext uri="{FF2B5EF4-FFF2-40B4-BE49-F238E27FC236}">
              <a16:creationId xmlns=""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123950" y="56114950"/>
          <a:ext cx="4396635" cy="4058433"/>
        </a:xfrm>
        <a:prstGeom prst="rect">
          <a:avLst/>
        </a:prstGeom>
        <a:ln>
          <a:solidFill>
            <a:schemeClr val="tx1"/>
          </a:solidFill>
        </a:ln>
      </xdr:spPr>
    </xdr:pic>
    <xdr:clientData/>
  </xdr:twoCellAnchor>
  <xdr:twoCellAnchor>
    <xdr:from>
      <xdr:col>8</xdr:col>
      <xdr:colOff>473075</xdr:colOff>
      <xdr:row>214</xdr:row>
      <xdr:rowOff>85725</xdr:rowOff>
    </xdr:from>
    <xdr:to>
      <xdr:col>15</xdr:col>
      <xdr:colOff>642628</xdr:colOff>
      <xdr:row>253</xdr:row>
      <xdr:rowOff>155385</xdr:rowOff>
    </xdr:to>
    <xdr:grpSp>
      <xdr:nvGrpSpPr>
        <xdr:cNvPr id="8" name="Group 7">
          <a:extLst>
            <a:ext uri="{FF2B5EF4-FFF2-40B4-BE49-F238E27FC236}">
              <a16:creationId xmlns="" xmlns:a16="http://schemas.microsoft.com/office/drawing/2014/main" id="{00000000-0008-0000-0000-000008000000}"/>
            </a:ext>
          </a:extLst>
        </xdr:cNvPr>
        <xdr:cNvGrpSpPr/>
      </xdr:nvGrpSpPr>
      <xdr:grpSpPr>
        <a:xfrm>
          <a:off x="6788150" y="34442400"/>
          <a:ext cx="6198878" cy="7861110"/>
          <a:chOff x="82550" y="33820100"/>
          <a:chExt cx="6471928" cy="7740460"/>
        </a:xfrm>
      </xdr:grpSpPr>
      <xdr:pic>
        <xdr:nvPicPr>
          <xdr:cNvPr id="25" name="Picture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044053" y="39544560"/>
            <a:ext cx="1510425" cy="2016000"/>
          </a:xfrm>
          <a:prstGeom prst="rect">
            <a:avLst/>
          </a:prstGeom>
          <a:ln>
            <a:solidFill>
              <a:schemeClr val="tx1"/>
            </a:solidFill>
          </a:ln>
        </xdr:spPr>
      </xdr:pic>
      <xdr:pic>
        <xdr:nvPicPr>
          <xdr:cNvPr id="26" name="Picture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4033" y="33820100"/>
            <a:ext cx="2049863" cy="2736000"/>
          </a:xfrm>
          <a:prstGeom prst="rect">
            <a:avLst/>
          </a:prstGeom>
          <a:ln>
            <a:solidFill>
              <a:schemeClr val="tx1"/>
            </a:solidFill>
          </a:ln>
        </xdr:spPr>
      </xdr:pic>
      <xdr:pic>
        <xdr:nvPicPr>
          <xdr:cNvPr id="27" name="Picture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732183" y="39544560"/>
            <a:ext cx="1516727" cy="2016000"/>
          </a:xfrm>
          <a:prstGeom prst="rect">
            <a:avLst/>
          </a:prstGeom>
          <a:ln>
            <a:solidFill>
              <a:schemeClr val="tx1"/>
            </a:solidFill>
          </a:ln>
        </xdr:spPr>
      </xdr:pic>
      <xdr:pic>
        <xdr:nvPicPr>
          <xdr:cNvPr id="28" name="Picture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4032" y="36694856"/>
            <a:ext cx="2049863" cy="2736000"/>
          </a:xfrm>
          <a:prstGeom prst="rect">
            <a:avLst/>
          </a:prstGeom>
          <a:ln>
            <a:solidFill>
              <a:schemeClr val="tx1"/>
            </a:solidFill>
          </a:ln>
        </xdr:spPr>
      </xdr:pic>
      <xdr:pic>
        <xdr:nvPicPr>
          <xdr:cNvPr id="34" name="Picture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283129" y="36694856"/>
            <a:ext cx="2049863" cy="2736000"/>
          </a:xfrm>
          <a:prstGeom prst="rect">
            <a:avLst/>
          </a:prstGeom>
          <a:ln>
            <a:solidFill>
              <a:schemeClr val="tx1"/>
            </a:solidFill>
          </a:ln>
        </xdr:spPr>
      </xdr:pic>
      <xdr:pic>
        <xdr:nvPicPr>
          <xdr:cNvPr id="35" name="Picture 34">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2550" y="39544560"/>
            <a:ext cx="1510425" cy="2016000"/>
          </a:xfrm>
          <a:prstGeom prst="rect">
            <a:avLst/>
          </a:prstGeom>
          <a:ln>
            <a:solidFill>
              <a:schemeClr val="tx1"/>
            </a:solidFill>
          </a:ln>
        </xdr:spPr>
      </xdr:pic>
      <xdr:pic>
        <xdr:nvPicPr>
          <xdr:cNvPr id="36" name="Picture 35">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472226" y="36694856"/>
            <a:ext cx="2049863" cy="2736000"/>
          </a:xfrm>
          <a:prstGeom prst="rect">
            <a:avLst/>
          </a:prstGeom>
          <a:ln>
            <a:solidFill>
              <a:schemeClr val="tx1"/>
            </a:solidFill>
          </a:ln>
        </xdr:spPr>
      </xdr:pic>
      <xdr:pic>
        <xdr:nvPicPr>
          <xdr:cNvPr id="37" name="Picture 36">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475469" y="33820100"/>
            <a:ext cx="2049863" cy="2736000"/>
          </a:xfrm>
          <a:prstGeom prst="rect">
            <a:avLst/>
          </a:prstGeom>
          <a:ln>
            <a:solidFill>
              <a:schemeClr val="tx1"/>
            </a:solidFill>
          </a:ln>
        </xdr:spPr>
      </xdr:pic>
      <xdr:pic>
        <xdr:nvPicPr>
          <xdr:cNvPr id="38" name="Picture 37">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88118" y="39544560"/>
            <a:ext cx="1516727" cy="2016000"/>
          </a:xfrm>
          <a:prstGeom prst="rect">
            <a:avLst/>
          </a:prstGeom>
          <a:ln>
            <a:solidFill>
              <a:schemeClr val="tx1"/>
            </a:solidFill>
          </a:ln>
        </xdr:spPr>
      </xdr:pic>
      <xdr:pic>
        <xdr:nvPicPr>
          <xdr:cNvPr id="39" name="Picture 38">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84751" y="33820100"/>
            <a:ext cx="2049863" cy="2736000"/>
          </a:xfrm>
          <a:prstGeom prst="rect">
            <a:avLst/>
          </a:prstGeom>
          <a:ln>
            <a:solidFill>
              <a:schemeClr val="tx1"/>
            </a:solidFill>
          </a:ln>
        </xdr:spPr>
      </xdr:pic>
    </xdr:grpSp>
    <xdr:clientData/>
  </xdr:twoCellAnchor>
  <xdr:twoCellAnchor>
    <xdr:from>
      <xdr:col>0</xdr:col>
      <xdr:colOff>438151</xdr:colOff>
      <xdr:row>213</xdr:row>
      <xdr:rowOff>133350</xdr:rowOff>
    </xdr:from>
    <xdr:to>
      <xdr:col>7</xdr:col>
      <xdr:colOff>209551</xdr:colOff>
      <xdr:row>254</xdr:row>
      <xdr:rowOff>28575</xdr:rowOff>
    </xdr:to>
    <xdr:grpSp>
      <xdr:nvGrpSpPr>
        <xdr:cNvPr id="19" name="Group 18">
          <a:extLst>
            <a:ext uri="{FF2B5EF4-FFF2-40B4-BE49-F238E27FC236}">
              <a16:creationId xmlns="" xmlns:a16="http://schemas.microsoft.com/office/drawing/2014/main" id="{DC4224DB-92F3-473E-9EE2-C2C2091D1AEA}"/>
            </a:ext>
          </a:extLst>
        </xdr:cNvPr>
        <xdr:cNvGrpSpPr/>
      </xdr:nvGrpSpPr>
      <xdr:grpSpPr>
        <a:xfrm>
          <a:off x="438151" y="34290000"/>
          <a:ext cx="5353050" cy="8086725"/>
          <a:chOff x="720750" y="467577"/>
          <a:chExt cx="5419681" cy="8551440"/>
        </a:xfrm>
      </xdr:grpSpPr>
      <xdr:pic>
        <xdr:nvPicPr>
          <xdr:cNvPr id="20" name="Picture 19">
            <a:extLst>
              <a:ext uri="{FF2B5EF4-FFF2-40B4-BE49-F238E27FC236}">
                <a16:creationId xmlns="" xmlns:a16="http://schemas.microsoft.com/office/drawing/2014/main" id="{A7206C77-A85B-4E66-9FD4-9434BD82DA1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720750" y="467577"/>
            <a:ext cx="1888031" cy="2520000"/>
          </a:xfrm>
          <a:prstGeom prst="rect">
            <a:avLst/>
          </a:prstGeom>
          <a:ln>
            <a:solidFill>
              <a:schemeClr val="tx1"/>
            </a:solidFill>
          </a:ln>
        </xdr:spPr>
      </xdr:pic>
      <xdr:pic>
        <xdr:nvPicPr>
          <xdr:cNvPr id="21" name="Picture 20">
            <a:extLst>
              <a:ext uri="{FF2B5EF4-FFF2-40B4-BE49-F238E27FC236}">
                <a16:creationId xmlns="" xmlns:a16="http://schemas.microsoft.com/office/drawing/2014/main" id="{9C9B2EC8-3A78-4FBA-BA97-C3CC398005B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783542" y="467577"/>
            <a:ext cx="3356889" cy="2520000"/>
          </a:xfrm>
          <a:prstGeom prst="rect">
            <a:avLst/>
          </a:prstGeom>
          <a:ln>
            <a:solidFill>
              <a:schemeClr val="tx1"/>
            </a:solidFill>
          </a:ln>
        </xdr:spPr>
      </xdr:pic>
      <xdr:pic>
        <xdr:nvPicPr>
          <xdr:cNvPr id="22" name="Picture 21">
            <a:extLst>
              <a:ext uri="{FF2B5EF4-FFF2-40B4-BE49-F238E27FC236}">
                <a16:creationId xmlns="" xmlns:a16="http://schemas.microsoft.com/office/drawing/2014/main" id="{6D208866-3664-4B17-91D5-7DBEBE176B5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828661" y="3138057"/>
            <a:ext cx="1618312" cy="2160000"/>
          </a:xfrm>
          <a:prstGeom prst="rect">
            <a:avLst/>
          </a:prstGeom>
          <a:ln>
            <a:solidFill>
              <a:schemeClr val="tx1"/>
            </a:solidFill>
          </a:ln>
        </xdr:spPr>
      </xdr:pic>
      <xdr:pic>
        <xdr:nvPicPr>
          <xdr:cNvPr id="23" name="Picture 22">
            <a:extLst>
              <a:ext uri="{FF2B5EF4-FFF2-40B4-BE49-F238E27FC236}">
                <a16:creationId xmlns="" xmlns:a16="http://schemas.microsoft.com/office/drawing/2014/main" id="{C0000B84-4E46-4E43-8AF2-00B2E0310AF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639532" y="3138057"/>
            <a:ext cx="1618312" cy="2160000"/>
          </a:xfrm>
          <a:prstGeom prst="rect">
            <a:avLst/>
          </a:prstGeom>
          <a:ln>
            <a:solidFill>
              <a:schemeClr val="tx1"/>
            </a:solidFill>
          </a:ln>
        </xdr:spPr>
      </xdr:pic>
      <xdr:pic>
        <xdr:nvPicPr>
          <xdr:cNvPr id="24" name="Picture 23">
            <a:extLst>
              <a:ext uri="{FF2B5EF4-FFF2-40B4-BE49-F238E27FC236}">
                <a16:creationId xmlns="" xmlns:a16="http://schemas.microsoft.com/office/drawing/2014/main" id="{8923FDEA-274F-40FF-8C72-5E8754DBDC87}"/>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450403" y="3138057"/>
            <a:ext cx="1618312" cy="2160000"/>
          </a:xfrm>
          <a:prstGeom prst="rect">
            <a:avLst/>
          </a:prstGeom>
          <a:ln>
            <a:solidFill>
              <a:schemeClr val="tx1"/>
            </a:solidFill>
          </a:ln>
        </xdr:spPr>
      </xdr:pic>
      <xdr:pic>
        <xdr:nvPicPr>
          <xdr:cNvPr id="29" name="Picture 28">
            <a:extLst>
              <a:ext uri="{FF2B5EF4-FFF2-40B4-BE49-F238E27FC236}">
                <a16:creationId xmlns="" xmlns:a16="http://schemas.microsoft.com/office/drawing/2014/main" id="{875D5216-63F4-412D-B976-02E47FC06DAA}"/>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78057" y="5448537"/>
            <a:ext cx="2397778" cy="1800000"/>
          </a:xfrm>
          <a:prstGeom prst="rect">
            <a:avLst/>
          </a:prstGeom>
          <a:ln>
            <a:solidFill>
              <a:schemeClr val="tx1"/>
            </a:solidFill>
          </a:ln>
        </xdr:spPr>
      </xdr:pic>
      <xdr:pic>
        <xdr:nvPicPr>
          <xdr:cNvPr id="30" name="Picture 29">
            <a:extLst>
              <a:ext uri="{FF2B5EF4-FFF2-40B4-BE49-F238E27FC236}">
                <a16:creationId xmlns="" xmlns:a16="http://schemas.microsoft.com/office/drawing/2014/main" id="{5E1A2314-6FDA-4172-8581-0A9F5C9E8A0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520404" y="5448537"/>
            <a:ext cx="2397778" cy="1800000"/>
          </a:xfrm>
          <a:prstGeom prst="rect">
            <a:avLst/>
          </a:prstGeom>
          <a:ln>
            <a:solidFill>
              <a:schemeClr val="tx1"/>
            </a:solidFill>
          </a:ln>
        </xdr:spPr>
      </xdr:pic>
      <xdr:pic>
        <xdr:nvPicPr>
          <xdr:cNvPr id="31" name="Picture 30">
            <a:extLst>
              <a:ext uri="{FF2B5EF4-FFF2-40B4-BE49-F238E27FC236}">
                <a16:creationId xmlns="" xmlns:a16="http://schemas.microsoft.com/office/drawing/2014/main" id="{45C3147C-FA8A-4CE4-852D-A9B5217FF1A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350000" y="7399017"/>
            <a:ext cx="2158000" cy="162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469412</xdr:colOff>
      <xdr:row>30</xdr:row>
      <xdr:rowOff>34323</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5400000" cy="3037500"/>
        </a:xfrm>
        <a:prstGeom prst="rect">
          <a:avLst/>
        </a:prstGeom>
        <a:ln>
          <a:solidFill>
            <a:schemeClr val="tx1"/>
          </a:solidFill>
        </a:ln>
      </xdr:spPr>
    </xdr:pic>
    <xdr:clientData/>
  </xdr:twoCellAnchor>
  <xdr:twoCellAnchor editAs="oneCell">
    <xdr:from>
      <xdr:col>4</xdr:col>
      <xdr:colOff>733264</xdr:colOff>
      <xdr:row>14</xdr:row>
      <xdr:rowOff>0</xdr:rowOff>
    </xdr:from>
    <xdr:to>
      <xdr:col>10</xdr:col>
      <xdr:colOff>582616</xdr:colOff>
      <xdr:row>30</xdr:row>
      <xdr:rowOff>34323</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276440" y="2696882"/>
          <a:ext cx="5400000" cy="30375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fQKTnhrao6kZqrea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9"/>
  <sheetViews>
    <sheetView tabSelected="1" view="pageBreakPreview" topLeftCell="A188" zoomScaleNormal="100" zoomScaleSheetLayoutView="100" zoomScalePageLayoutView="85" workbookViewId="0">
      <selection activeCell="K189" sqref="K189"/>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17.42578125" style="16" customWidth="1"/>
    <col min="10" max="10" width="11.42578125" style="16" customWidth="1"/>
    <col min="11" max="11" width="11.1406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45" t="s">
        <v>165</v>
      </c>
      <c r="B1" s="145"/>
      <c r="C1" s="145"/>
      <c r="D1" s="145"/>
      <c r="E1" s="145"/>
      <c r="F1" s="145"/>
      <c r="G1" s="145"/>
      <c r="H1" s="145"/>
    </row>
    <row r="2" spans="1:26" ht="16.5" customHeight="1" x14ac:dyDescent="0.25">
      <c r="A2" s="93" t="s">
        <v>0</v>
      </c>
      <c r="B2" s="93"/>
      <c r="C2" s="93"/>
      <c r="D2" s="93"/>
      <c r="E2" s="93"/>
      <c r="F2" s="93"/>
      <c r="G2" s="93"/>
      <c r="H2" s="93"/>
    </row>
    <row r="3" spans="1:26" x14ac:dyDescent="0.25">
      <c r="A3" s="99" t="s">
        <v>1</v>
      </c>
      <c r="B3" s="99"/>
      <c r="C3" s="99"/>
      <c r="D3" s="99"/>
      <c r="E3" s="99" t="str">
        <f ca="1">TEXT(TODAY(),"DD/MM/YYYY")</f>
        <v>15/07/2025</v>
      </c>
      <c r="F3" s="99"/>
      <c r="G3" s="99"/>
      <c r="H3" s="99"/>
      <c r="K3" s="45" t="s">
        <v>236</v>
      </c>
      <c r="L3" s="44" t="s">
        <v>234</v>
      </c>
      <c r="M3" s="44" t="s">
        <v>239</v>
      </c>
      <c r="N3" s="44" t="s">
        <v>237</v>
      </c>
      <c r="O3" s="44" t="s">
        <v>238</v>
      </c>
      <c r="P3" s="44" t="s">
        <v>240</v>
      </c>
    </row>
    <row r="4" spans="1:26" ht="15" customHeight="1" x14ac:dyDescent="0.25">
      <c r="A4" s="99" t="s">
        <v>233</v>
      </c>
      <c r="B4" s="99"/>
      <c r="C4" s="99"/>
      <c r="D4" s="99"/>
      <c r="E4" s="99" t="s">
        <v>234</v>
      </c>
      <c r="F4" s="99"/>
      <c r="G4" s="99"/>
      <c r="H4" s="99"/>
      <c r="K4" s="43" t="s">
        <v>235</v>
      </c>
      <c r="L4" s="44" t="s">
        <v>171</v>
      </c>
      <c r="M4" s="44" t="s">
        <v>244</v>
      </c>
      <c r="N4" s="44" t="s">
        <v>246</v>
      </c>
      <c r="O4" s="44" t="s">
        <v>248</v>
      </c>
      <c r="P4" s="44"/>
    </row>
    <row r="5" spans="1:26" ht="15" customHeight="1" x14ac:dyDescent="0.25">
      <c r="A5" s="99" t="s">
        <v>2</v>
      </c>
      <c r="B5" s="99"/>
      <c r="C5" s="99"/>
      <c r="D5" s="99"/>
      <c r="E5" s="99" t="s">
        <v>243</v>
      </c>
      <c r="F5" s="99"/>
      <c r="G5" s="99"/>
      <c r="H5" s="99"/>
      <c r="K5" s="43"/>
      <c r="L5" s="44" t="s">
        <v>241</v>
      </c>
      <c r="M5" s="44" t="s">
        <v>245</v>
      </c>
      <c r="N5" s="44" t="s">
        <v>247</v>
      </c>
      <c r="O5" s="44" t="s">
        <v>249</v>
      </c>
      <c r="P5" s="44"/>
    </row>
    <row r="6" spans="1:26" x14ac:dyDescent="0.25">
      <c r="A6" s="99" t="s">
        <v>3</v>
      </c>
      <c r="B6" s="99"/>
      <c r="C6" s="99"/>
      <c r="D6" s="99"/>
      <c r="E6" s="147">
        <v>45848</v>
      </c>
      <c r="F6" s="99"/>
      <c r="G6" s="99"/>
      <c r="H6" s="99"/>
      <c r="K6" s="43"/>
      <c r="L6" s="44" t="s">
        <v>242</v>
      </c>
      <c r="M6" s="44"/>
      <c r="N6" s="44"/>
      <c r="O6" s="44" t="s">
        <v>250</v>
      </c>
      <c r="P6" s="44"/>
    </row>
    <row r="7" spans="1:26" ht="16.5" customHeight="1" x14ac:dyDescent="0.25">
      <c r="A7" s="99" t="s">
        <v>4</v>
      </c>
      <c r="B7" s="99"/>
      <c r="C7" s="99"/>
      <c r="D7" s="99"/>
      <c r="E7" s="99" t="s">
        <v>298</v>
      </c>
      <c r="F7" s="99"/>
      <c r="G7" s="99"/>
      <c r="H7" s="99"/>
      <c r="K7" s="43"/>
      <c r="L7" s="44" t="s">
        <v>243</v>
      </c>
      <c r="M7" s="44"/>
      <c r="N7" s="44"/>
      <c r="O7" s="44" t="s">
        <v>250</v>
      </c>
      <c r="P7" s="44"/>
    </row>
    <row r="8" spans="1:26" ht="15" customHeight="1" x14ac:dyDescent="0.25">
      <c r="A8" s="99" t="s">
        <v>5</v>
      </c>
      <c r="B8" s="99"/>
      <c r="C8" s="99"/>
      <c r="D8" s="99"/>
      <c r="E8" s="99" t="str">
        <f>E7</f>
        <v>Nakshatra Group</v>
      </c>
      <c r="F8" s="99"/>
      <c r="G8" s="99"/>
      <c r="H8" s="99"/>
      <c r="K8" s="43"/>
      <c r="L8" s="44"/>
      <c r="M8" s="44"/>
      <c r="N8" s="44"/>
      <c r="O8" s="44" t="s">
        <v>251</v>
      </c>
      <c r="P8" s="44"/>
    </row>
    <row r="9" spans="1:26" x14ac:dyDescent="0.25">
      <c r="A9" s="99" t="s">
        <v>6</v>
      </c>
      <c r="B9" s="99"/>
      <c r="C9" s="99"/>
      <c r="D9" s="99"/>
      <c r="E9" s="146" t="s">
        <v>299</v>
      </c>
      <c r="F9" s="146"/>
      <c r="G9" s="146"/>
      <c r="H9" s="146"/>
      <c r="K9" s="43"/>
      <c r="L9" s="44"/>
      <c r="M9" s="44"/>
      <c r="N9" s="44"/>
      <c r="O9" s="44" t="s">
        <v>252</v>
      </c>
      <c r="P9" s="44"/>
    </row>
    <row r="10" spans="1:26" x14ac:dyDescent="0.25">
      <c r="A10" s="99" t="s">
        <v>168</v>
      </c>
      <c r="B10" s="99"/>
      <c r="C10" s="99"/>
      <c r="D10" s="99"/>
      <c r="E10" s="99" t="s">
        <v>300</v>
      </c>
      <c r="F10" s="99"/>
      <c r="G10" s="99"/>
      <c r="H10" s="99"/>
      <c r="K10" s="43"/>
      <c r="L10" s="44"/>
      <c r="M10" s="44"/>
      <c r="N10" s="44"/>
      <c r="O10" s="44"/>
      <c r="P10" s="44"/>
    </row>
    <row r="11" spans="1:26" x14ac:dyDescent="0.25">
      <c r="A11" s="99" t="s">
        <v>169</v>
      </c>
      <c r="B11" s="99"/>
      <c r="C11" s="99"/>
      <c r="D11" s="99"/>
      <c r="E11" s="99" t="s">
        <v>343</v>
      </c>
      <c r="F11" s="99"/>
      <c r="G11" s="99"/>
      <c r="H11" s="99"/>
    </row>
    <row r="12" spans="1:26" x14ac:dyDescent="0.25">
      <c r="A12" s="99" t="s">
        <v>7</v>
      </c>
      <c r="B12" s="99"/>
      <c r="C12" s="99"/>
      <c r="D12" s="99"/>
      <c r="E12" s="99" t="s">
        <v>118</v>
      </c>
      <c r="F12" s="99"/>
      <c r="G12" s="99"/>
      <c r="H12" s="99"/>
    </row>
    <row r="13" spans="1:26" x14ac:dyDescent="0.25">
      <c r="A13" s="99" t="s">
        <v>172</v>
      </c>
      <c r="B13" s="99"/>
      <c r="C13" s="99"/>
      <c r="D13" s="99"/>
      <c r="E13" s="99" t="s">
        <v>311</v>
      </c>
      <c r="F13" s="99"/>
      <c r="G13" s="99"/>
      <c r="H13" s="99"/>
      <c r="S13" s="44" t="s">
        <v>179</v>
      </c>
      <c r="T13" s="44" t="s">
        <v>189</v>
      </c>
      <c r="U13" s="44" t="s">
        <v>173</v>
      </c>
      <c r="V13" s="44" t="s">
        <v>194</v>
      </c>
      <c r="W13" s="44" t="s">
        <v>212</v>
      </c>
      <c r="X13"/>
      <c r="Y13" t="s">
        <v>194</v>
      </c>
      <c r="Z13" t="e">
        <f ca="1">OFFSET($S$13,1,MATCH($G20,$S$13:$W$13,0)-1,15,1)</f>
        <v>#VALUE!</v>
      </c>
    </row>
    <row r="14" spans="1:26" x14ac:dyDescent="0.25">
      <c r="A14" s="95" t="s">
        <v>279</v>
      </c>
      <c r="B14" s="95"/>
      <c r="C14" s="95"/>
      <c r="D14" s="95"/>
      <c r="E14" s="117" t="s">
        <v>330</v>
      </c>
      <c r="F14" s="117"/>
      <c r="G14" s="117"/>
      <c r="H14" s="117"/>
      <c r="S14" s="44" t="s">
        <v>180</v>
      </c>
      <c r="T14" s="44" t="s">
        <v>187</v>
      </c>
      <c r="U14" s="44" t="s">
        <v>209</v>
      </c>
      <c r="V14" s="44" t="s">
        <v>195</v>
      </c>
      <c r="W14" s="44" t="s">
        <v>213</v>
      </c>
      <c r="X14"/>
      <c r="Y14"/>
      <c r="Z14"/>
    </row>
    <row r="15" spans="1:26" x14ac:dyDescent="0.25">
      <c r="A15" s="95" t="s">
        <v>8</v>
      </c>
      <c r="B15" s="95"/>
      <c r="C15" s="95"/>
      <c r="D15" s="95"/>
      <c r="E15" s="117" t="s">
        <v>301</v>
      </c>
      <c r="F15" s="99"/>
      <c r="G15" s="99"/>
      <c r="H15" s="99"/>
      <c r="I15" s="90" t="e">
        <f ca="1">OFFSET($D$5,1,MATCH($J13,$D$5:$H$5,0)-1,15,1)</f>
        <v>#N/A</v>
      </c>
      <c r="J15" s="91"/>
      <c r="K15" s="91"/>
      <c r="L15" s="91"/>
      <c r="M15" s="91"/>
      <c r="N15" s="91"/>
      <c r="O15" s="91"/>
      <c r="P15" s="91"/>
      <c r="S15" s="44" t="s">
        <v>181</v>
      </c>
      <c r="T15" s="44" t="s">
        <v>188</v>
      </c>
      <c r="U15" s="44" t="s">
        <v>210</v>
      </c>
      <c r="V15" s="44" t="s">
        <v>196</v>
      </c>
      <c r="W15" s="44" t="s">
        <v>226</v>
      </c>
      <c r="X15"/>
      <c r="Y15"/>
      <c r="Z15"/>
    </row>
    <row r="16" spans="1:26" ht="65.099999999999994" customHeight="1" x14ac:dyDescent="0.25">
      <c r="A16" s="117" t="s">
        <v>9</v>
      </c>
      <c r="B16" s="117"/>
      <c r="C16" s="117" t="str">
        <f>CONCATENATE((IF(OR(E9="",E9="NA"),"",E9)),", ",(IF(OR(A17="",A17="NA"),"",A17)),".",(IF(OR(C17="",C17="NA"),"",C17)),", Opp. ",(IF(OR(C22="",C22="NA"),"",C22)),", ",(IF(OR(C19="",C19="NA"),"",C19)),", ",(IF(OR(C18="",C18="NA"),"",C18)),", ",(IF(OR(G19="",G19="NA"),"",G19)),", ",(IF(OR(C20="",C20="NA"),"",C20)),", ",(IF(OR(C21="",C21="NA"),"",C21)),", ",(IF(OR(G20="",G20="NA"),"",G20))," - ",(IF(OR(G21="",G21="NA"),"",G21)),".")</f>
        <v>Vinayak Prerana, Survey No.78/13/B/3, 78/13/B/5, Plot No.05, S.No.78/12/D, 78/12/A, Plot No.04 &amp; Redevelopment of Building "Vinayak Prerana CHSL", Opp. Open Ganpati temple, Internal Road, , Kanchangaon, Dombivli (East), Kalyan, Thane  - 421301.</v>
      </c>
      <c r="D16" s="117"/>
      <c r="E16" s="117"/>
      <c r="F16" s="117"/>
      <c r="G16" s="117"/>
      <c r="H16" s="117"/>
      <c r="S16" s="44" t="s">
        <v>182</v>
      </c>
      <c r="T16" s="44" t="s">
        <v>190</v>
      </c>
      <c r="U16" s="44" t="s">
        <v>211</v>
      </c>
      <c r="V16" s="44" t="s">
        <v>197</v>
      </c>
      <c r="W16" s="44" t="s">
        <v>214</v>
      </c>
      <c r="X16"/>
      <c r="Y16"/>
      <c r="Z16"/>
    </row>
    <row r="17" spans="1:26" ht="30.95" customHeight="1" x14ac:dyDescent="0.25">
      <c r="A17" s="117" t="s">
        <v>304</v>
      </c>
      <c r="B17" s="117"/>
      <c r="C17" s="117" t="s">
        <v>308</v>
      </c>
      <c r="D17" s="117"/>
      <c r="E17" s="117"/>
      <c r="F17" s="117"/>
      <c r="G17" s="117"/>
      <c r="H17" s="117"/>
      <c r="S17" s="44" t="s">
        <v>183</v>
      </c>
      <c r="T17" s="44" t="s">
        <v>191</v>
      </c>
      <c r="U17" s="44" t="s">
        <v>173</v>
      </c>
      <c r="V17" s="44" t="s">
        <v>198</v>
      </c>
      <c r="W17" s="44" t="s">
        <v>215</v>
      </c>
      <c r="X17"/>
      <c r="Y17"/>
      <c r="Z17"/>
    </row>
    <row r="18" spans="1:26" ht="15.75" customHeight="1" x14ac:dyDescent="0.25">
      <c r="A18" s="117" t="s">
        <v>163</v>
      </c>
      <c r="B18" s="117"/>
      <c r="C18" s="117" t="s">
        <v>28</v>
      </c>
      <c r="D18" s="117"/>
      <c r="E18" s="117"/>
      <c r="F18" s="117"/>
      <c r="G18" s="117"/>
      <c r="H18" s="117"/>
      <c r="S18" s="44" t="s">
        <v>184</v>
      </c>
      <c r="T18" s="44" t="s">
        <v>189</v>
      </c>
      <c r="U18" s="44"/>
      <c r="V18" s="44" t="s">
        <v>199</v>
      </c>
      <c r="W18" s="44" t="s">
        <v>216</v>
      </c>
      <c r="X18"/>
      <c r="Y18"/>
      <c r="Z18"/>
    </row>
    <row r="19" spans="1:26" ht="15.75" customHeight="1" x14ac:dyDescent="0.25">
      <c r="A19" s="117" t="s">
        <v>10</v>
      </c>
      <c r="B19" s="117"/>
      <c r="C19" s="99" t="s">
        <v>307</v>
      </c>
      <c r="D19" s="99"/>
      <c r="E19" s="117" t="s">
        <v>70</v>
      </c>
      <c r="F19" s="117"/>
      <c r="G19" s="117" t="s">
        <v>305</v>
      </c>
      <c r="H19" s="117"/>
      <c r="S19" s="44" t="s">
        <v>185</v>
      </c>
      <c r="T19" s="44" t="s">
        <v>192</v>
      </c>
      <c r="U19" s="44"/>
      <c r="V19" s="44" t="s">
        <v>200</v>
      </c>
      <c r="W19" s="44" t="s">
        <v>217</v>
      </c>
      <c r="X19"/>
      <c r="Y19"/>
      <c r="Z19"/>
    </row>
    <row r="20" spans="1:26" x14ac:dyDescent="0.25">
      <c r="A20" s="99" t="s">
        <v>12</v>
      </c>
      <c r="B20" s="99"/>
      <c r="C20" s="117" t="s">
        <v>306</v>
      </c>
      <c r="D20" s="117"/>
      <c r="E20" s="117" t="s">
        <v>11</v>
      </c>
      <c r="F20" s="117"/>
      <c r="G20" s="149" t="s">
        <v>179</v>
      </c>
      <c r="H20" s="149"/>
      <c r="S20" s="44" t="s">
        <v>186</v>
      </c>
      <c r="T20" s="44" t="s">
        <v>193</v>
      </c>
      <c r="U20" s="44"/>
      <c r="V20" s="44" t="s">
        <v>201</v>
      </c>
      <c r="W20" s="44" t="s">
        <v>218</v>
      </c>
      <c r="X20"/>
      <c r="Y20"/>
      <c r="Z20"/>
    </row>
    <row r="21" spans="1:26" x14ac:dyDescent="0.25">
      <c r="A21" s="99" t="s">
        <v>71</v>
      </c>
      <c r="B21" s="99"/>
      <c r="C21" s="117" t="s">
        <v>182</v>
      </c>
      <c r="D21" s="117"/>
      <c r="E21" s="117" t="s">
        <v>13</v>
      </c>
      <c r="F21" s="117"/>
      <c r="G21" s="117">
        <v>421301</v>
      </c>
      <c r="H21" s="117"/>
      <c r="S21" s="44"/>
      <c r="T21" s="44"/>
      <c r="U21" s="44"/>
      <c r="V21" s="44" t="s">
        <v>202</v>
      </c>
      <c r="W21" s="44" t="s">
        <v>219</v>
      </c>
      <c r="X21"/>
      <c r="Y21"/>
      <c r="Z21"/>
    </row>
    <row r="22" spans="1:26" ht="32.25" customHeight="1" x14ac:dyDescent="0.25">
      <c r="A22" s="99" t="s">
        <v>119</v>
      </c>
      <c r="B22" s="99"/>
      <c r="C22" s="117" t="s">
        <v>310</v>
      </c>
      <c r="D22" s="117"/>
      <c r="E22" s="117" t="s">
        <v>14</v>
      </c>
      <c r="F22" s="117"/>
      <c r="G22" s="117" t="s">
        <v>309</v>
      </c>
      <c r="H22" s="117"/>
      <c r="S22" s="44"/>
      <c r="T22" s="44"/>
      <c r="U22" s="44"/>
      <c r="V22" s="44" t="s">
        <v>203</v>
      </c>
      <c r="W22" s="44" t="s">
        <v>220</v>
      </c>
      <c r="X22"/>
      <c r="Y22"/>
      <c r="Z22"/>
    </row>
    <row r="23" spans="1:26" ht="15" customHeight="1" x14ac:dyDescent="0.25">
      <c r="A23" s="103" t="s">
        <v>73</v>
      </c>
      <c r="B23" s="103"/>
      <c r="C23" s="103"/>
      <c r="D23" s="103"/>
      <c r="E23" s="99" t="s">
        <v>15</v>
      </c>
      <c r="F23" s="99"/>
      <c r="G23" s="99"/>
      <c r="H23" s="99"/>
      <c r="S23" s="44"/>
      <c r="T23" s="44"/>
      <c r="U23" s="44"/>
      <c r="V23" s="44" t="s">
        <v>204</v>
      </c>
      <c r="W23" s="44" t="s">
        <v>221</v>
      </c>
      <c r="X23"/>
      <c r="Y23"/>
      <c r="Z23"/>
    </row>
    <row r="24" spans="1:26" ht="18.75" customHeight="1" x14ac:dyDescent="0.25">
      <c r="A24" s="103"/>
      <c r="B24" s="103"/>
      <c r="C24" s="103"/>
      <c r="D24" s="103"/>
      <c r="E24" s="99"/>
      <c r="F24" s="99"/>
      <c r="G24" s="99"/>
      <c r="H24" s="99"/>
      <c r="S24" s="44"/>
      <c r="T24" s="44"/>
      <c r="U24" s="44"/>
      <c r="V24" s="44" t="s">
        <v>205</v>
      </c>
      <c r="W24" s="44" t="s">
        <v>222</v>
      </c>
      <c r="X24"/>
      <c r="Y24"/>
      <c r="Z24"/>
    </row>
    <row r="25" spans="1:26" ht="15" customHeight="1" x14ac:dyDescent="0.25">
      <c r="A25" s="103" t="s">
        <v>16</v>
      </c>
      <c r="B25" s="103"/>
      <c r="C25" s="103"/>
      <c r="D25" s="103"/>
      <c r="E25" s="117" t="s">
        <v>17</v>
      </c>
      <c r="F25" s="117"/>
      <c r="G25" s="117"/>
      <c r="H25" s="117"/>
      <c r="S25" s="44"/>
      <c r="T25" s="44"/>
      <c r="U25" s="44"/>
      <c r="V25" s="44" t="s">
        <v>206</v>
      </c>
      <c r="W25" s="44" t="s">
        <v>223</v>
      </c>
      <c r="X25"/>
      <c r="Y25"/>
      <c r="Z25"/>
    </row>
    <row r="26" spans="1:26" ht="15" customHeight="1" x14ac:dyDescent="0.25">
      <c r="A26" s="95" t="s">
        <v>18</v>
      </c>
      <c r="B26" s="95"/>
      <c r="C26" s="95"/>
      <c r="D26" s="95"/>
      <c r="E26" s="117" t="str">
        <f>IF(AND(G20="Mumbai"),"Upper Class","Middle Class")</f>
        <v>Middle Class</v>
      </c>
      <c r="F26" s="117"/>
      <c r="G26" s="117"/>
      <c r="H26" s="117"/>
      <c r="S26" s="44"/>
      <c r="T26" s="44"/>
      <c r="U26" s="44"/>
      <c r="V26" s="44" t="s">
        <v>207</v>
      </c>
      <c r="W26" s="44" t="s">
        <v>224</v>
      </c>
      <c r="X26"/>
      <c r="Y26"/>
      <c r="Z26"/>
    </row>
    <row r="27" spans="1:26" x14ac:dyDescent="0.25">
      <c r="A27" s="95" t="s">
        <v>19</v>
      </c>
      <c r="B27" s="95"/>
      <c r="C27" s="95"/>
      <c r="D27" s="95"/>
      <c r="E27" s="117" t="s">
        <v>20</v>
      </c>
      <c r="F27" s="117"/>
      <c r="G27" s="117"/>
      <c r="H27" s="117"/>
      <c r="S27" s="44"/>
      <c r="T27" s="44"/>
      <c r="U27" s="44"/>
      <c r="V27" s="44" t="s">
        <v>208</v>
      </c>
      <c r="W27" s="44" t="s">
        <v>225</v>
      </c>
      <c r="X27"/>
      <c r="Y27"/>
      <c r="Z27"/>
    </row>
    <row r="28" spans="1:26" ht="15.75" customHeight="1" x14ac:dyDescent="0.25">
      <c r="A28" s="95" t="s">
        <v>21</v>
      </c>
      <c r="B28" s="95"/>
      <c r="C28" s="95"/>
      <c r="D28" s="95"/>
      <c r="E28" s="117" t="str">
        <f>IF(AND(G20="Mumbai"),"Developed","Developing")</f>
        <v>Developing</v>
      </c>
      <c r="F28" s="117"/>
      <c r="G28" s="117"/>
      <c r="H28" s="117"/>
    </row>
    <row r="29" spans="1:26" x14ac:dyDescent="0.25">
      <c r="A29" s="95" t="s">
        <v>22</v>
      </c>
      <c r="B29" s="95"/>
      <c r="C29" s="95"/>
      <c r="D29" s="95"/>
      <c r="E29" s="117" t="s">
        <v>23</v>
      </c>
      <c r="F29" s="117"/>
      <c r="G29" s="117"/>
      <c r="H29" s="117"/>
    </row>
    <row r="30" spans="1:26" ht="15.75" customHeight="1" x14ac:dyDescent="0.25">
      <c r="A30" s="95" t="s">
        <v>78</v>
      </c>
      <c r="B30" s="95"/>
      <c r="C30" s="95"/>
      <c r="D30" s="95"/>
      <c r="E30" s="117" t="s">
        <v>79</v>
      </c>
      <c r="F30" s="117"/>
      <c r="G30" s="117"/>
      <c r="H30" s="117"/>
    </row>
    <row r="31" spans="1:26" ht="15" customHeight="1" x14ac:dyDescent="0.25">
      <c r="A31" s="95" t="s">
        <v>30</v>
      </c>
      <c r="B31" s="95"/>
      <c r="C31" s="95"/>
      <c r="D31" s="95"/>
      <c r="E31" s="11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17"/>
      <c r="G31" s="117"/>
      <c r="H31" s="117"/>
    </row>
    <row r="32" spans="1:26" ht="15.75" customHeight="1" x14ac:dyDescent="0.25">
      <c r="A32" s="95" t="s">
        <v>90</v>
      </c>
      <c r="B32" s="95"/>
      <c r="C32" s="95"/>
      <c r="D32" s="95"/>
      <c r="E32" s="117" t="s">
        <v>31</v>
      </c>
      <c r="F32" s="117"/>
      <c r="G32" s="117"/>
      <c r="H32" s="117"/>
    </row>
    <row r="33" spans="1:19" s="17" customFormat="1" x14ac:dyDescent="0.25">
      <c r="A33" s="151" t="s">
        <v>91</v>
      </c>
      <c r="B33" s="151"/>
      <c r="C33" s="93" t="s">
        <v>174</v>
      </c>
      <c r="D33" s="93"/>
      <c r="E33" s="93"/>
      <c r="F33" s="93" t="s">
        <v>29</v>
      </c>
      <c r="G33" s="93"/>
      <c r="H33" s="93"/>
      <c r="S33" s="17" t="e">
        <f ca="1">OFFSET($S$13,1,MATCH($G20,$S$13:$W$13,0)-1,15,1)</f>
        <v>#VALUE!</v>
      </c>
    </row>
    <row r="34" spans="1:19" s="17" customFormat="1" x14ac:dyDescent="0.25">
      <c r="A34" s="150" t="s">
        <v>24</v>
      </c>
      <c r="B34" s="150" t="s">
        <v>28</v>
      </c>
      <c r="C34" s="148" t="s">
        <v>314</v>
      </c>
      <c r="D34" s="148"/>
      <c r="E34" s="148"/>
      <c r="F34" s="148" t="s">
        <v>312</v>
      </c>
      <c r="G34" s="148"/>
      <c r="H34" s="148"/>
    </row>
    <row r="35" spans="1:19" x14ac:dyDescent="0.25">
      <c r="A35" s="150" t="s">
        <v>25</v>
      </c>
      <c r="B35" s="150" t="s">
        <v>28</v>
      </c>
      <c r="C35" s="148" t="s">
        <v>315</v>
      </c>
      <c r="D35" s="148"/>
      <c r="E35" s="148"/>
      <c r="F35" s="148" t="s">
        <v>313</v>
      </c>
      <c r="G35" s="148"/>
      <c r="H35" s="148"/>
    </row>
    <row r="36" spans="1:19" s="17" customFormat="1" x14ac:dyDescent="0.25">
      <c r="A36" s="150" t="s">
        <v>27</v>
      </c>
      <c r="B36" s="150" t="s">
        <v>28</v>
      </c>
      <c r="C36" s="148" t="s">
        <v>314</v>
      </c>
      <c r="D36" s="148"/>
      <c r="E36" s="148"/>
      <c r="F36" s="148" t="s">
        <v>312</v>
      </c>
      <c r="G36" s="148"/>
      <c r="H36" s="148"/>
    </row>
    <row r="37" spans="1:19" x14ac:dyDescent="0.25">
      <c r="A37" s="150" t="s">
        <v>26</v>
      </c>
      <c r="B37" s="150" t="s">
        <v>28</v>
      </c>
      <c r="C37" s="148" t="s">
        <v>316</v>
      </c>
      <c r="D37" s="148"/>
      <c r="E37" s="148"/>
      <c r="F37" s="148" t="s">
        <v>307</v>
      </c>
      <c r="G37" s="148"/>
      <c r="H37" s="148"/>
    </row>
    <row r="38" spans="1:19" x14ac:dyDescent="0.25">
      <c r="A38" s="95" t="s">
        <v>280</v>
      </c>
      <c r="B38" s="95"/>
      <c r="C38" s="95"/>
      <c r="D38" s="95"/>
      <c r="E38" s="95"/>
      <c r="F38" s="95"/>
      <c r="G38" s="95"/>
      <c r="H38" s="95"/>
    </row>
    <row r="39" spans="1:19" ht="15.75" customHeight="1" x14ac:dyDescent="0.25">
      <c r="A39" s="95" t="s">
        <v>166</v>
      </c>
      <c r="B39" s="95"/>
      <c r="C39" s="141" t="s">
        <v>303</v>
      </c>
      <c r="D39" s="141"/>
      <c r="E39" s="141"/>
      <c r="F39" s="141"/>
      <c r="G39" s="141"/>
      <c r="H39" s="141"/>
    </row>
    <row r="40" spans="1:19" x14ac:dyDescent="0.25">
      <c r="A40" s="95" t="s">
        <v>162</v>
      </c>
      <c r="B40" s="95"/>
      <c r="C40" s="166" t="s">
        <v>302</v>
      </c>
      <c r="D40" s="117"/>
      <c r="E40" s="117"/>
      <c r="F40" s="117"/>
      <c r="G40" s="117"/>
      <c r="H40" s="117"/>
    </row>
    <row r="41" spans="1:19" x14ac:dyDescent="0.25">
      <c r="A41" s="141" t="s">
        <v>32</v>
      </c>
      <c r="B41" s="141"/>
      <c r="C41" s="141"/>
      <c r="D41" s="141"/>
      <c r="E41" s="141"/>
      <c r="F41" s="141"/>
      <c r="G41" s="141"/>
      <c r="H41" s="141"/>
    </row>
    <row r="42" spans="1:19" x14ac:dyDescent="0.25">
      <c r="A42" s="95" t="s">
        <v>33</v>
      </c>
      <c r="B42" s="95"/>
      <c r="C42" s="95"/>
      <c r="D42" s="95"/>
      <c r="E42" s="152">
        <v>983.75</v>
      </c>
      <c r="F42" s="152"/>
      <c r="G42" s="152"/>
      <c r="H42" s="152"/>
    </row>
    <row r="43" spans="1:19" x14ac:dyDescent="0.25">
      <c r="A43" s="95" t="s">
        <v>34</v>
      </c>
      <c r="B43" s="95"/>
      <c r="C43" s="95"/>
      <c r="D43" s="95"/>
      <c r="E43" s="105">
        <v>1.1000000000000001</v>
      </c>
      <c r="F43" s="105"/>
      <c r="G43" s="105"/>
      <c r="H43" s="105"/>
    </row>
    <row r="44" spans="1:19" x14ac:dyDescent="0.25">
      <c r="A44" s="95" t="s">
        <v>35</v>
      </c>
      <c r="B44" s="95"/>
      <c r="C44" s="95"/>
      <c r="D44" s="95"/>
      <c r="E44" s="105">
        <f>E46/E42-E43</f>
        <v>2.7573824650571788</v>
      </c>
      <c r="F44" s="105"/>
      <c r="G44" s="105"/>
      <c r="H44" s="105"/>
    </row>
    <row r="45" spans="1:19" x14ac:dyDescent="0.25">
      <c r="A45" s="95" t="s">
        <v>36</v>
      </c>
      <c r="B45" s="95"/>
      <c r="C45" s="95"/>
      <c r="D45" s="95"/>
      <c r="E45" s="105">
        <f>E43+E44</f>
        <v>3.8573824650571789</v>
      </c>
      <c r="F45" s="105"/>
      <c r="G45" s="105"/>
      <c r="H45" s="105"/>
    </row>
    <row r="46" spans="1:19" x14ac:dyDescent="0.25">
      <c r="A46" s="95" t="s">
        <v>89</v>
      </c>
      <c r="B46" s="95"/>
      <c r="C46" s="95"/>
      <c r="D46" s="95"/>
      <c r="E46" s="155">
        <v>3794.7</v>
      </c>
      <c r="F46" s="155"/>
      <c r="G46" s="155"/>
      <c r="H46" s="155"/>
    </row>
    <row r="47" spans="1:19" x14ac:dyDescent="0.25">
      <c r="A47" s="99" t="s">
        <v>37</v>
      </c>
      <c r="B47" s="99"/>
      <c r="C47" s="99"/>
      <c r="D47" s="99"/>
      <c r="E47" s="99" t="s">
        <v>118</v>
      </c>
      <c r="F47" s="99"/>
      <c r="G47" s="99"/>
      <c r="H47" s="99"/>
    </row>
    <row r="48" spans="1:19" x14ac:dyDescent="0.25">
      <c r="A48" s="141" t="s">
        <v>38</v>
      </c>
      <c r="B48" s="141"/>
      <c r="C48" s="141"/>
      <c r="D48" s="141"/>
      <c r="E48" s="141"/>
      <c r="F48" s="141"/>
      <c r="G48" s="141"/>
      <c r="H48" s="141"/>
    </row>
    <row r="49" spans="1:24" ht="33.75" customHeight="1" x14ac:dyDescent="0.25">
      <c r="A49" s="107" t="s">
        <v>151</v>
      </c>
      <c r="B49" s="108"/>
      <c r="C49" s="174" t="s">
        <v>261</v>
      </c>
      <c r="D49" s="175"/>
      <c r="E49" s="175"/>
      <c r="F49" s="175"/>
      <c r="G49" s="175"/>
      <c r="H49" s="176"/>
      <c r="R49" t="s">
        <v>253</v>
      </c>
      <c r="S49" t="s">
        <v>173</v>
      </c>
      <c r="T49" t="s">
        <v>179</v>
      </c>
      <c r="U49" t="s">
        <v>194</v>
      </c>
      <c r="V49" t="s">
        <v>189</v>
      </c>
    </row>
    <row r="50" spans="1:24" ht="15.75" customHeight="1" x14ac:dyDescent="0.25">
      <c r="A50" s="107" t="s">
        <v>39</v>
      </c>
      <c r="B50" s="108"/>
      <c r="C50" s="107" t="s">
        <v>338</v>
      </c>
      <c r="D50" s="109"/>
      <c r="E50" s="108"/>
      <c r="F50" s="15" t="s">
        <v>40</v>
      </c>
      <c r="G50" s="110">
        <v>45561</v>
      </c>
      <c r="H50" s="111"/>
      <c r="R50"/>
      <c r="S50" t="s">
        <v>254</v>
      </c>
      <c r="T50" t="s">
        <v>259</v>
      </c>
      <c r="U50" t="s">
        <v>270</v>
      </c>
      <c r="V50" t="s">
        <v>275</v>
      </c>
    </row>
    <row r="51" spans="1:24" x14ac:dyDescent="0.25">
      <c r="A51" s="107" t="s">
        <v>41</v>
      </c>
      <c r="B51" s="108"/>
      <c r="C51" s="107" t="str">
        <f>C50</f>
        <v>KDMCC/RB/2024/APL/00079</v>
      </c>
      <c r="D51" s="109"/>
      <c r="E51" s="108"/>
      <c r="F51" s="15" t="s">
        <v>40</v>
      </c>
      <c r="G51" s="110">
        <f>G50</f>
        <v>45561</v>
      </c>
      <c r="H51" s="111"/>
      <c r="R51"/>
      <c r="S51" t="s">
        <v>255</v>
      </c>
      <c r="T51" t="s">
        <v>260</v>
      </c>
      <c r="U51" t="s">
        <v>268</v>
      </c>
      <c r="V51" t="s">
        <v>276</v>
      </c>
    </row>
    <row r="52" spans="1:24" s="18" customFormat="1" ht="15.75" customHeight="1" x14ac:dyDescent="0.25">
      <c r="A52" s="124" t="s">
        <v>155</v>
      </c>
      <c r="B52" s="125"/>
      <c r="C52" s="107" t="s">
        <v>338</v>
      </c>
      <c r="D52" s="109"/>
      <c r="E52" s="108"/>
      <c r="F52" s="15" t="s">
        <v>40</v>
      </c>
      <c r="G52" s="110">
        <f>G51</f>
        <v>45561</v>
      </c>
      <c r="H52" s="111"/>
      <c r="R52"/>
      <c r="S52" t="s">
        <v>256</v>
      </c>
      <c r="T52" t="s">
        <v>261</v>
      </c>
      <c r="U52" t="s">
        <v>258</v>
      </c>
      <c r="V52" t="s">
        <v>277</v>
      </c>
    </row>
    <row r="53" spans="1:24" s="18" customFormat="1" x14ac:dyDescent="0.25">
      <c r="A53" s="126"/>
      <c r="B53" s="127"/>
      <c r="C53" s="107" t="s">
        <v>317</v>
      </c>
      <c r="D53" s="109"/>
      <c r="E53" s="109"/>
      <c r="F53" s="109"/>
      <c r="G53" s="109"/>
      <c r="H53" s="108"/>
      <c r="R53"/>
      <c r="S53" t="s">
        <v>257</v>
      </c>
      <c r="T53" t="s">
        <v>264</v>
      </c>
      <c r="U53" t="s">
        <v>271</v>
      </c>
    </row>
    <row r="54" spans="1:24" s="18" customFormat="1" hidden="1" x14ac:dyDescent="0.25">
      <c r="A54" s="120" t="s">
        <v>281</v>
      </c>
      <c r="B54" s="121"/>
      <c r="C54" s="107"/>
      <c r="D54" s="109"/>
      <c r="E54" s="108"/>
      <c r="F54" s="15" t="s">
        <v>40</v>
      </c>
      <c r="G54" s="107"/>
      <c r="H54" s="108"/>
      <c r="R54"/>
      <c r="S54" t="s">
        <v>256</v>
      </c>
      <c r="T54" t="s">
        <v>261</v>
      </c>
      <c r="U54" t="s">
        <v>258</v>
      </c>
      <c r="V54" t="s">
        <v>277</v>
      </c>
    </row>
    <row r="55" spans="1:24" s="18" customFormat="1" ht="32.25" hidden="1" customHeight="1" x14ac:dyDescent="0.25">
      <c r="A55" s="122"/>
      <c r="B55" s="123"/>
      <c r="C55" s="171"/>
      <c r="D55" s="172"/>
      <c r="E55" s="172"/>
      <c r="F55" s="172"/>
      <c r="G55" s="172"/>
      <c r="H55" s="173"/>
      <c r="R55"/>
      <c r="S55" t="s">
        <v>258</v>
      </c>
      <c r="T55" t="s">
        <v>262</v>
      </c>
      <c r="U55" t="s">
        <v>272</v>
      </c>
      <c r="V55" s="16"/>
      <c r="W55" s="16"/>
      <c r="X55" s="16"/>
    </row>
    <row r="56" spans="1:24" s="18" customFormat="1" ht="34.5" hidden="1" customHeight="1" x14ac:dyDescent="0.25">
      <c r="A56" s="120" t="s">
        <v>282</v>
      </c>
      <c r="B56" s="121"/>
      <c r="C56" s="107">
        <f>C55</f>
        <v>0</v>
      </c>
      <c r="D56" s="109"/>
      <c r="E56" s="108"/>
      <c r="F56" s="15" t="s">
        <v>40</v>
      </c>
      <c r="G56" s="107">
        <f>G55</f>
        <v>0</v>
      </c>
      <c r="H56" s="108"/>
      <c r="R56"/>
      <c r="S56" s="16"/>
      <c r="T56" t="s">
        <v>263</v>
      </c>
      <c r="U56" t="s">
        <v>273</v>
      </c>
      <c r="V56" s="16"/>
      <c r="W56" s="16"/>
      <c r="X56" s="16"/>
    </row>
    <row r="57" spans="1:24" s="18" customFormat="1" ht="41.25" hidden="1" customHeight="1" x14ac:dyDescent="0.25">
      <c r="A57" s="122"/>
      <c r="B57" s="123"/>
      <c r="C57" s="107"/>
      <c r="D57" s="109"/>
      <c r="E57" s="109"/>
      <c r="F57" s="109"/>
      <c r="G57" s="109"/>
      <c r="H57" s="108"/>
      <c r="R57"/>
      <c r="S57" s="16"/>
      <c r="T57" t="s">
        <v>265</v>
      </c>
      <c r="U57" t="s">
        <v>274</v>
      </c>
      <c r="V57" s="16"/>
      <c r="W57" s="16"/>
      <c r="X57" s="16"/>
    </row>
    <row r="58" spans="1:24" s="18" customFormat="1" ht="15.75" hidden="1" customHeight="1" x14ac:dyDescent="0.25">
      <c r="A58" s="120" t="s">
        <v>283</v>
      </c>
      <c r="B58" s="121"/>
      <c r="C58" s="107">
        <f>C57</f>
        <v>0</v>
      </c>
      <c r="D58" s="109"/>
      <c r="E58" s="108"/>
      <c r="F58" s="15" t="s">
        <v>40</v>
      </c>
      <c r="G58" s="107">
        <f>G57</f>
        <v>0</v>
      </c>
      <c r="H58" s="108"/>
      <c r="R58"/>
      <c r="S58" s="16"/>
      <c r="T58" t="s">
        <v>266</v>
      </c>
      <c r="U58" s="16" t="s">
        <v>297</v>
      </c>
      <c r="V58" s="16"/>
      <c r="W58" s="16"/>
      <c r="X58" s="16"/>
    </row>
    <row r="59" spans="1:24" s="18" customFormat="1" ht="33.75" hidden="1" customHeight="1" x14ac:dyDescent="0.25">
      <c r="A59" s="122"/>
      <c r="B59" s="123"/>
      <c r="C59" s="107"/>
      <c r="D59" s="109"/>
      <c r="E59" s="109"/>
      <c r="F59" s="109"/>
      <c r="G59" s="109"/>
      <c r="H59" s="108"/>
      <c r="R59"/>
      <c r="S59" s="16"/>
      <c r="T59" t="s">
        <v>267</v>
      </c>
      <c r="U59" s="16"/>
      <c r="V59" s="16"/>
      <c r="W59" s="16"/>
      <c r="X59" s="16"/>
    </row>
    <row r="60" spans="1:24" x14ac:dyDescent="0.25">
      <c r="A60" s="96" t="s">
        <v>42</v>
      </c>
      <c r="B60" s="97"/>
      <c r="C60" s="96" t="s">
        <v>102</v>
      </c>
      <c r="D60" s="98"/>
      <c r="E60" s="97"/>
      <c r="F60" s="37" t="s">
        <v>40</v>
      </c>
      <c r="G60" s="118" t="s">
        <v>28</v>
      </c>
      <c r="H60" s="119"/>
      <c r="R60"/>
      <c r="T60" t="s">
        <v>269</v>
      </c>
    </row>
    <row r="61" spans="1:24" x14ac:dyDescent="0.25">
      <c r="A61" s="116" t="s">
        <v>44</v>
      </c>
      <c r="B61" s="116"/>
      <c r="C61" s="116"/>
      <c r="D61" s="116"/>
      <c r="E61" s="116"/>
      <c r="F61" s="116"/>
      <c r="G61" s="116"/>
      <c r="H61" s="116"/>
      <c r="T61" t="s">
        <v>278</v>
      </c>
    </row>
    <row r="62" spans="1:24" x14ac:dyDescent="0.25">
      <c r="A62" s="103" t="s">
        <v>88</v>
      </c>
      <c r="B62" s="103"/>
      <c r="C62" s="103"/>
      <c r="D62" s="99">
        <f>E46</f>
        <v>3794.7</v>
      </c>
      <c r="E62" s="99"/>
      <c r="F62" s="99"/>
      <c r="G62" s="99"/>
      <c r="H62" s="99"/>
      <c r="R62"/>
    </row>
    <row r="63" spans="1:24" x14ac:dyDescent="0.25">
      <c r="A63" s="117" t="s">
        <v>45</v>
      </c>
      <c r="B63" s="99"/>
      <c r="C63" s="99"/>
      <c r="D63" s="99" t="s">
        <v>344</v>
      </c>
      <c r="E63" s="99"/>
      <c r="F63" s="99"/>
      <c r="G63" s="99"/>
      <c r="H63" s="99"/>
      <c r="I63" s="19"/>
      <c r="R63"/>
    </row>
    <row r="64" spans="1:24" x14ac:dyDescent="0.25">
      <c r="A64" s="128" t="s">
        <v>46</v>
      </c>
      <c r="B64" s="129"/>
      <c r="C64" s="157"/>
      <c r="D64" s="137" t="s">
        <v>317</v>
      </c>
      <c r="E64" s="156"/>
      <c r="F64" s="156"/>
      <c r="G64" s="156"/>
      <c r="H64" s="156"/>
      <c r="R64"/>
    </row>
    <row r="65" spans="1:19" ht="15.75" customHeight="1" x14ac:dyDescent="0.25">
      <c r="A65" s="128" t="s">
        <v>86</v>
      </c>
      <c r="B65" s="129"/>
      <c r="C65" s="129"/>
      <c r="D65" s="117" t="s">
        <v>317</v>
      </c>
      <c r="E65" s="99"/>
      <c r="F65" s="99"/>
      <c r="G65" s="99"/>
      <c r="H65" s="99"/>
      <c r="R65"/>
    </row>
    <row r="66" spans="1:19" ht="15.75" customHeight="1" x14ac:dyDescent="0.25">
      <c r="A66" s="95" t="s">
        <v>43</v>
      </c>
      <c r="B66" s="95"/>
      <c r="C66" s="95"/>
      <c r="D66" s="153" t="s">
        <v>318</v>
      </c>
      <c r="E66" s="153"/>
      <c r="F66" s="153"/>
      <c r="G66" s="153"/>
      <c r="H66" s="153"/>
      <c r="J66" s="20"/>
      <c r="K66" s="19"/>
      <c r="N66" s="19"/>
      <c r="S66"/>
    </row>
    <row r="67" spans="1:19" ht="15.75" customHeight="1" x14ac:dyDescent="0.25">
      <c r="A67" s="95" t="s">
        <v>84</v>
      </c>
      <c r="B67" s="95"/>
      <c r="C67" s="95"/>
      <c r="D67" s="154" t="str">
        <f>(IF(G60="NA","60 Years After Completion",IF(G60&lt;&gt;"NA",""&amp;60-ROUNDDOWN((E3-G60)/360,0)&amp;" Years"," ")))</f>
        <v>60 Years After Completion</v>
      </c>
      <c r="E67" s="154"/>
      <c r="F67" s="154"/>
      <c r="G67" s="154"/>
      <c r="H67" s="154"/>
      <c r="N67" s="19"/>
      <c r="S67"/>
    </row>
    <row r="68" spans="1:19" ht="15.75" customHeight="1" x14ac:dyDescent="0.25">
      <c r="A68" s="95" t="s">
        <v>85</v>
      </c>
      <c r="B68" s="95"/>
      <c r="C68" s="95"/>
      <c r="D68" s="103" t="s">
        <v>23</v>
      </c>
      <c r="E68" s="103"/>
      <c r="F68" s="103"/>
      <c r="G68" s="103"/>
      <c r="H68" s="103"/>
      <c r="J68" s="21"/>
      <c r="K68" s="21"/>
      <c r="S68"/>
    </row>
    <row r="69" spans="1:19" ht="33.6" customHeight="1" x14ac:dyDescent="0.25">
      <c r="A69" s="99" t="s">
        <v>332</v>
      </c>
      <c r="B69" s="99"/>
      <c r="C69" s="99"/>
      <c r="D69" s="117" t="s">
        <v>331</v>
      </c>
      <c r="E69" s="103"/>
      <c r="F69" s="103"/>
      <c r="G69" s="103"/>
      <c r="H69" s="103"/>
      <c r="S69"/>
    </row>
    <row r="70" spans="1:19" x14ac:dyDescent="0.25">
      <c r="A70" s="103" t="s">
        <v>147</v>
      </c>
      <c r="B70" s="103"/>
      <c r="C70" s="103"/>
      <c r="D70" s="103" t="s">
        <v>28</v>
      </c>
      <c r="E70" s="103"/>
      <c r="F70" s="103"/>
      <c r="G70" s="103"/>
      <c r="H70" s="103"/>
      <c r="I70" s="22"/>
      <c r="J70" s="22"/>
      <c r="K70" s="22"/>
      <c r="L70" s="22"/>
      <c r="M70" s="22"/>
      <c r="N70" s="22"/>
    </row>
    <row r="71" spans="1:19" ht="15.75" customHeight="1" x14ac:dyDescent="0.25">
      <c r="A71" s="104" t="s">
        <v>83</v>
      </c>
      <c r="B71" s="104"/>
      <c r="C71" s="104"/>
      <c r="D71" s="137" t="str">
        <f ca="1">(IF(G77&gt;95%,"Nothing",IF(G77&gt;0%,"Cement, Aggregate, Steel, etc",IF(G77=0%,"Work not yet Started"))))</f>
        <v>Cement, Aggregate, Steel, etc</v>
      </c>
      <c r="E71" s="137"/>
      <c r="F71" s="137"/>
      <c r="G71" s="137"/>
      <c r="H71" s="137"/>
      <c r="J71" s="21"/>
      <c r="S71"/>
    </row>
    <row r="72" spans="1:19" ht="33.75" customHeight="1" thickBot="1" x14ac:dyDescent="0.3">
      <c r="A72" s="103" t="s">
        <v>115</v>
      </c>
      <c r="B72" s="103"/>
      <c r="C72" s="103"/>
      <c r="D72" s="117" t="str">
        <f ca="1">(IF(D71="Nothing","Yes",IF(D71="Cement, Aggregate, Steel, etc","Under Construction",IF(D71="Work not yet Started","Work not yet Started"))))</f>
        <v>Under Construction</v>
      </c>
      <c r="E72" s="117"/>
      <c r="F72" s="117" t="str">
        <f ca="1">(IF(D71="Nothing","Yes",IF(D71="Cement, Aggregate, Steel, etc","Under Construction",IF(D71="Work not yet Started","Work not yet Started"))))</f>
        <v>Under Construction</v>
      </c>
      <c r="G72" s="117"/>
      <c r="H72" s="117"/>
      <c r="S72"/>
    </row>
    <row r="73" spans="1:19" ht="15.75" customHeight="1" x14ac:dyDescent="0.25">
      <c r="A73" s="178" t="s">
        <v>137</v>
      </c>
      <c r="B73" s="178"/>
      <c r="C73" s="178" t="str">
        <f>D65</f>
        <v>Gr/Stilt + 1st to 7th Floor</v>
      </c>
      <c r="D73" s="178"/>
      <c r="E73" s="178"/>
      <c r="F73" s="178"/>
      <c r="G73" s="178"/>
      <c r="H73" s="178"/>
      <c r="I73" s="72" t="str">
        <f ca="1">IF(D86=100%,"All work Completed. Possession granted to the Building.",IF(D85=100%,"All work Completed, Waiting for OC",I74&amp;""&amp;I75&amp;""&amp;J74&amp;""&amp;J73&amp;" "&amp;J75))</f>
        <v>Excavation, Plinth, RCC Slab Completed, Brickwork upto 6 Floor Completed</v>
      </c>
      <c r="J73" s="3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Brickwork upto 6 Floor</v>
      </c>
      <c r="S73"/>
    </row>
    <row r="74" spans="1:19" x14ac:dyDescent="0.25">
      <c r="A74" s="41" t="s">
        <v>139</v>
      </c>
      <c r="B74" s="41">
        <f>IF(AND(ISNUMBER(SEARCH("1B",C73))),1,IF(AND(ISNUMBER(SEARCH("2B",C73))),2,IF(AND(ISNUMBER(SEARCH("3B",C73))),3,IF(AND(ISNUMBER(SEARCH("4B",C73))),4,IF(ISNUMBER(SEARCH("5B",C73)),5,0)))))</f>
        <v>0</v>
      </c>
      <c r="C74" s="41" t="s">
        <v>69</v>
      </c>
      <c r="D74" s="41">
        <v>1</v>
      </c>
      <c r="E74" s="41" t="s">
        <v>68</v>
      </c>
      <c r="F74" s="41">
        <v>0</v>
      </c>
      <c r="G74" s="41" t="s">
        <v>77</v>
      </c>
      <c r="H74" s="41">
        <f ca="1">--TRIM(RIGHT(SUBSTITUTE(LEFT(C73,_xlfn.AGGREGATE(16,6,FIND({0,1,2,3,4,5,6,7,8,9},C73,ROW(INDIRECT("1:"&amp;LEN(C73)))),1))," ",REPT(" ",LEN(C73))),LEN(C73)))</f>
        <v>7</v>
      </c>
      <c r="I74" s="73" t="str">
        <f ca="1">IF(D77=100%,"Excavation","")&amp;IF(D78=100%,", Plinth","")&amp;IF(D79=100%,", RCC Slab","")&amp;IF(D80=100%,", Brickwork","")&amp;IF(D81=100%,", Internal Plaster","")&amp;IF(D82=100%,", External Plaster","")&amp;IF(D83=100%,", Flooring","")&amp;IF(D84=100%,", Painting","")&amp;IF(D85=100%,", Building common Amenities","")</f>
        <v>Excavation, Plinth, RCC Slab</v>
      </c>
      <c r="J74" s="40"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25">
      <c r="A75" s="146" t="s">
        <v>87</v>
      </c>
      <c r="B75" s="146"/>
      <c r="C75" s="178" t="str">
        <f ca="1">I73</f>
        <v>Excavation, Plinth, RCC Slab Completed, Brickwork upto 6 Floor Completed</v>
      </c>
      <c r="D75" s="178"/>
      <c r="E75" s="178"/>
      <c r="F75" s="178"/>
      <c r="G75" s="178"/>
      <c r="H75" s="178"/>
      <c r="I75" s="73" t="str">
        <f ca="1">IF(I74&lt;&gt;""," Completed","")</f>
        <v xml:space="preserve"> Completed</v>
      </c>
      <c r="J75" s="40" t="str">
        <f ca="1">IF(J73&lt;&gt;"","Completed","")</f>
        <v>Completed</v>
      </c>
      <c r="S75"/>
    </row>
    <row r="76" spans="1:19" ht="15.75" customHeight="1" x14ac:dyDescent="0.25">
      <c r="A76" s="106" t="s">
        <v>47</v>
      </c>
      <c r="B76" s="106"/>
      <c r="C76" s="70" t="s">
        <v>136</v>
      </c>
      <c r="D76" s="70" t="s">
        <v>80</v>
      </c>
      <c r="E76" s="106" t="s">
        <v>82</v>
      </c>
      <c r="F76" s="106"/>
      <c r="G76" s="106" t="s">
        <v>81</v>
      </c>
      <c r="H76" s="106"/>
      <c r="I76" s="13" t="s">
        <v>138</v>
      </c>
      <c r="J76" s="23">
        <f ca="1">H74*25%</f>
        <v>1.75</v>
      </c>
      <c r="S76"/>
    </row>
    <row r="77" spans="1:19" x14ac:dyDescent="0.25">
      <c r="A77" s="106" t="s">
        <v>125</v>
      </c>
      <c r="B77" s="106"/>
      <c r="C77" s="70">
        <f ca="1">J78</f>
        <v>7</v>
      </c>
      <c r="D77" s="53">
        <f ca="1">((100/H74)*C77)/100</f>
        <v>1</v>
      </c>
      <c r="E77" s="144">
        <f ca="1">(((C78/H74*10)+(40/(D74+F74+H74)*C79)+(7.5/(H74)*C80)+(7.5/(H74)*C81)+(10/H74*C82)+(10/H74*C83)+(5/H74*C84)+(5/H74*C85)+(5/H74*C86))/100)</f>
        <v>0.56428571428571428</v>
      </c>
      <c r="F77" s="144"/>
      <c r="G77" s="144">
        <f ca="1">((((C77/H74)*20)+((C78/H74)*25)+(30/(H74+F74+D74)*C79)+(5/H74*C80)+(5/H74*C81)+(5/H74*C82)+(5/H74*C83)+(0/H74*C84)+(0/H74*C85)+(5/H74*C86))/100)</f>
        <v>0.79285714285714293</v>
      </c>
      <c r="H77" s="144"/>
      <c r="I77" s="13" t="s">
        <v>97</v>
      </c>
      <c r="J77" s="24">
        <f ca="1">H74*50%</f>
        <v>3.5</v>
      </c>
    </row>
    <row r="78" spans="1:19" x14ac:dyDescent="0.25">
      <c r="A78" s="106" t="s">
        <v>48</v>
      </c>
      <c r="B78" s="106"/>
      <c r="C78" s="70">
        <f ca="1">J86</f>
        <v>7</v>
      </c>
      <c r="D78" s="53">
        <f ca="1">((100/H74)*C78)/100</f>
        <v>1</v>
      </c>
      <c r="E78" s="144"/>
      <c r="F78" s="144"/>
      <c r="G78" s="144"/>
      <c r="H78" s="144"/>
      <c r="I78" s="13" t="s">
        <v>98</v>
      </c>
      <c r="J78" s="24">
        <f ca="1">H74</f>
        <v>7</v>
      </c>
      <c r="S78"/>
    </row>
    <row r="79" spans="1:19" ht="15.75" customHeight="1" x14ac:dyDescent="0.25">
      <c r="A79" s="106" t="s">
        <v>126</v>
      </c>
      <c r="B79" s="106"/>
      <c r="C79" s="70">
        <v>8</v>
      </c>
      <c r="D79" s="53">
        <f ca="1">((100/(D74+F74+H74))*C79)/100</f>
        <v>1</v>
      </c>
      <c r="E79" s="144"/>
      <c r="F79" s="144"/>
      <c r="G79" s="144"/>
      <c r="H79" s="144"/>
      <c r="I79" s="13" t="s">
        <v>99</v>
      </c>
      <c r="J79" s="25">
        <f ca="1">(IF(B74&gt;1,(H74/(B74+2)),H74/4))</f>
        <v>1.75</v>
      </c>
      <c r="S79"/>
    </row>
    <row r="80" spans="1:19" ht="15.75" customHeight="1" x14ac:dyDescent="0.25">
      <c r="A80" s="106" t="s">
        <v>133</v>
      </c>
      <c r="B80" s="106" t="s">
        <v>127</v>
      </c>
      <c r="C80" s="70">
        <v>6</v>
      </c>
      <c r="D80" s="53">
        <f ca="1">((100/H74)*C80)/100</f>
        <v>0.85714285714285721</v>
      </c>
      <c r="E80" s="144"/>
      <c r="F80" s="144"/>
      <c r="G80" s="144"/>
      <c r="H80" s="144"/>
      <c r="I80" s="13" t="s">
        <v>100</v>
      </c>
      <c r="J80" s="25">
        <f ca="1">(IF(B74&gt;1,(H74/(B74+2)+J79),H74/4+J79))</f>
        <v>3.5</v>
      </c>
    </row>
    <row r="81" spans="1:22" ht="15.75" customHeight="1" x14ac:dyDescent="0.25">
      <c r="A81" s="106" t="s">
        <v>134</v>
      </c>
      <c r="B81" s="106" t="s">
        <v>127</v>
      </c>
      <c r="C81" s="70">
        <v>0</v>
      </c>
      <c r="D81" s="53">
        <f ca="1">((100/H74)*C81)/100</f>
        <v>0</v>
      </c>
      <c r="E81" s="144"/>
      <c r="F81" s="144"/>
      <c r="G81" s="144"/>
      <c r="H81" s="144"/>
      <c r="I81" s="13" t="s">
        <v>145</v>
      </c>
      <c r="J81" s="25">
        <f>(IF(B74&gt;1,(H74/(B74+2)+J80),0))</f>
        <v>0</v>
      </c>
    </row>
    <row r="82" spans="1:22" ht="15" customHeight="1" x14ac:dyDescent="0.25">
      <c r="A82" s="106" t="s">
        <v>132</v>
      </c>
      <c r="B82" s="106" t="s">
        <v>129</v>
      </c>
      <c r="C82" s="70">
        <v>0</v>
      </c>
      <c r="D82" s="53">
        <f ca="1">((100/(H74))*C82)/100</f>
        <v>0</v>
      </c>
      <c r="E82" s="144"/>
      <c r="F82" s="144"/>
      <c r="G82" s="144"/>
      <c r="H82" s="144"/>
      <c r="I82" s="13" t="s">
        <v>140</v>
      </c>
      <c r="J82" s="25">
        <f>(IF(B74&gt;2,(H74/(B74+2)+J81),0))</f>
        <v>0</v>
      </c>
    </row>
    <row r="83" spans="1:22" ht="15.75" customHeight="1" x14ac:dyDescent="0.25">
      <c r="A83" s="106" t="s">
        <v>128</v>
      </c>
      <c r="B83" s="106" t="s">
        <v>128</v>
      </c>
      <c r="C83" s="70">
        <v>0</v>
      </c>
      <c r="D83" s="53">
        <f ca="1">((100/H74)*C83)/100</f>
        <v>0</v>
      </c>
      <c r="E83" s="144"/>
      <c r="F83" s="144"/>
      <c r="G83" s="144"/>
      <c r="H83" s="144"/>
      <c r="I83" s="13" t="s">
        <v>141</v>
      </c>
      <c r="J83" s="26">
        <f>(IF(B74&gt;3,(H74/(B74+2)+J82),0))</f>
        <v>0</v>
      </c>
    </row>
    <row r="84" spans="1:22" ht="15.75" customHeight="1" x14ac:dyDescent="0.25">
      <c r="A84" s="106" t="s">
        <v>135</v>
      </c>
      <c r="B84" s="106"/>
      <c r="C84" s="70">
        <v>0</v>
      </c>
      <c r="D84" s="53">
        <f ca="1">((100/H74)*C84)/100</f>
        <v>0</v>
      </c>
      <c r="E84" s="144"/>
      <c r="F84" s="144"/>
      <c r="G84" s="144"/>
      <c r="H84" s="144"/>
      <c r="I84" s="13" t="s">
        <v>142</v>
      </c>
      <c r="J84" s="25">
        <f>(IF(B74&gt;4,(H74/(B74+2)+J83),0))</f>
        <v>0</v>
      </c>
    </row>
    <row r="85" spans="1:22" ht="15.75" customHeight="1" x14ac:dyDescent="0.25">
      <c r="A85" s="106" t="s">
        <v>130</v>
      </c>
      <c r="B85" s="106" t="s">
        <v>130</v>
      </c>
      <c r="C85" s="70">
        <v>0</v>
      </c>
      <c r="D85" s="53">
        <f ca="1">((100/(H74))*C85)/100</f>
        <v>0</v>
      </c>
      <c r="E85" s="144"/>
      <c r="F85" s="144"/>
      <c r="G85" s="144"/>
      <c r="H85" s="144"/>
      <c r="I85" s="13" t="s">
        <v>146</v>
      </c>
      <c r="J85" s="25">
        <f ca="1">(IF(B74=1,(H74/(B74+3)+J80),IF(B74=0,(H74/4+J80),IF(B74&gt;1,0))))</f>
        <v>5.25</v>
      </c>
    </row>
    <row r="86" spans="1:22" ht="16.5" thickBot="1" x14ac:dyDescent="0.3">
      <c r="A86" s="106" t="s">
        <v>131</v>
      </c>
      <c r="B86" s="106"/>
      <c r="C86" s="70">
        <v>0</v>
      </c>
      <c r="D86" s="53">
        <f ca="1">((100/(H74))*C86)/100</f>
        <v>0</v>
      </c>
      <c r="E86" s="144"/>
      <c r="F86" s="144"/>
      <c r="G86" s="144"/>
      <c r="H86" s="144"/>
      <c r="I86" s="14" t="s">
        <v>101</v>
      </c>
      <c r="J86" s="27">
        <f ca="1">(IF(B74&gt;1.5,(H74/(B74+2)+J80+MAX(0,J81-J80)+MAX(0,J82-J81)+MAX(0,J83-J82)+MAX(0,J84-J83)+MAX(0,J85-J84)),IF(B74=1,(H74/(B74+3)+J85),IF(B74=0,H74/4+J85))))</f>
        <v>7</v>
      </c>
    </row>
    <row r="87" spans="1:22" x14ac:dyDescent="0.25">
      <c r="A87" s="177" t="s">
        <v>157</v>
      </c>
      <c r="B87" s="177"/>
      <c r="C87" s="177"/>
      <c r="D87" s="177"/>
      <c r="E87" s="177"/>
      <c r="F87" s="161" t="s">
        <v>161</v>
      </c>
      <c r="G87" s="161"/>
      <c r="H87" s="161"/>
      <c r="I87" s="61"/>
      <c r="J87" s="61" t="s">
        <v>334</v>
      </c>
      <c r="K87" s="61" t="s">
        <v>335</v>
      </c>
      <c r="L87" s="61" t="s">
        <v>336</v>
      </c>
      <c r="M87" s="61" t="s">
        <v>337</v>
      </c>
      <c r="R87" t="s">
        <v>253</v>
      </c>
      <c r="S87" t="s">
        <v>173</v>
      </c>
      <c r="T87" t="s">
        <v>179</v>
      </c>
      <c r="U87" t="s">
        <v>194</v>
      </c>
      <c r="V87" t="s">
        <v>189</v>
      </c>
    </row>
    <row r="88" spans="1:22" x14ac:dyDescent="0.25">
      <c r="A88" s="95" t="s">
        <v>159</v>
      </c>
      <c r="B88" s="95"/>
      <c r="C88" s="95"/>
      <c r="D88" s="95"/>
      <c r="E88" s="95"/>
      <c r="F88" s="92">
        <v>8000</v>
      </c>
      <c r="G88" s="92"/>
      <c r="H88" s="92"/>
      <c r="I88" s="64"/>
      <c r="J88" s="64">
        <f>AVERAGE(J126:J127)</f>
        <v>3990309.6577499998</v>
      </c>
      <c r="K88" s="64">
        <f>AVERAGE(K124:K128)</f>
        <v>8604.6164877463743</v>
      </c>
      <c r="L88" s="64">
        <f>L126</f>
        <v>8232.3471988479614</v>
      </c>
      <c r="M88" s="61">
        <v>6700</v>
      </c>
      <c r="R88"/>
      <c r="S88">
        <v>800000</v>
      </c>
      <c r="T88">
        <v>300000</v>
      </c>
      <c r="U88">
        <v>100000</v>
      </c>
      <c r="V88">
        <v>100000</v>
      </c>
    </row>
    <row r="89" spans="1:22" hidden="1" x14ac:dyDescent="0.25">
      <c r="A89" s="95" t="s">
        <v>158</v>
      </c>
      <c r="B89" s="95"/>
      <c r="C89" s="95"/>
      <c r="D89" s="95"/>
      <c r="E89" s="95"/>
      <c r="F89" s="92"/>
      <c r="G89" s="92"/>
      <c r="H89" s="92"/>
      <c r="I89" s="61"/>
      <c r="J89" s="61"/>
      <c r="K89" s="61"/>
      <c r="L89" s="61"/>
      <c r="M89" s="61"/>
      <c r="R89"/>
      <c r="S89">
        <v>900000</v>
      </c>
      <c r="T89">
        <v>350000</v>
      </c>
      <c r="U89">
        <v>150000</v>
      </c>
      <c r="V89">
        <v>150000</v>
      </c>
    </row>
    <row r="90" spans="1:22" hidden="1" x14ac:dyDescent="0.25">
      <c r="A90" s="95" t="s">
        <v>160</v>
      </c>
      <c r="B90" s="95"/>
      <c r="C90" s="95"/>
      <c r="D90" s="95"/>
      <c r="E90" s="95"/>
      <c r="F90" s="92"/>
      <c r="G90" s="92"/>
      <c r="H90" s="92"/>
      <c r="I90" s="61"/>
      <c r="J90" s="61"/>
      <c r="K90" s="61"/>
      <c r="L90" s="61"/>
      <c r="M90" s="61"/>
      <c r="R90"/>
      <c r="S90">
        <v>1000000</v>
      </c>
      <c r="T90">
        <v>400000</v>
      </c>
      <c r="U90">
        <v>200000</v>
      </c>
      <c r="V90">
        <v>200000</v>
      </c>
    </row>
    <row r="91" spans="1:22" s="28" customFormat="1" hidden="1" x14ac:dyDescent="0.25">
      <c r="A91" s="95" t="s">
        <v>176</v>
      </c>
      <c r="B91" s="95"/>
      <c r="C91" s="95"/>
      <c r="D91" s="95"/>
      <c r="E91" s="95"/>
      <c r="F91" s="92"/>
      <c r="G91" s="92"/>
      <c r="H91" s="92"/>
      <c r="I91" s="62"/>
      <c r="J91" s="62"/>
      <c r="K91" s="62"/>
      <c r="L91" s="62"/>
      <c r="M91" s="62"/>
      <c r="R91"/>
      <c r="S91">
        <v>1100000</v>
      </c>
      <c r="T91">
        <v>500000</v>
      </c>
      <c r="U91">
        <v>250000</v>
      </c>
      <c r="V91" s="18">
        <v>250000</v>
      </c>
    </row>
    <row r="92" spans="1:22" s="28" customFormat="1" hidden="1" x14ac:dyDescent="0.25">
      <c r="A92" s="95" t="s">
        <v>92</v>
      </c>
      <c r="B92" s="95"/>
      <c r="C92" s="95"/>
      <c r="D92" s="95"/>
      <c r="E92" s="95"/>
      <c r="F92" s="92"/>
      <c r="G92" s="92"/>
      <c r="H92" s="92"/>
      <c r="I92" s="62"/>
      <c r="J92" s="62"/>
      <c r="K92" s="62"/>
      <c r="L92" s="62"/>
      <c r="M92" s="62"/>
      <c r="R92"/>
      <c r="S92">
        <v>1200000</v>
      </c>
      <c r="T92">
        <v>600000</v>
      </c>
      <c r="U92">
        <v>300000</v>
      </c>
      <c r="V92">
        <v>300000</v>
      </c>
    </row>
    <row r="93" spans="1:22" s="28" customFormat="1" hidden="1" x14ac:dyDescent="0.25">
      <c r="A93" s="95" t="s">
        <v>93</v>
      </c>
      <c r="B93" s="95"/>
      <c r="C93" s="95"/>
      <c r="D93" s="95"/>
      <c r="E93" s="95"/>
      <c r="F93" s="92"/>
      <c r="G93" s="92"/>
      <c r="H93" s="92"/>
      <c r="I93" s="62"/>
      <c r="J93" s="62"/>
      <c r="K93" s="62"/>
      <c r="L93" s="62"/>
      <c r="M93" s="62"/>
      <c r="R93"/>
      <c r="S93">
        <v>1300000</v>
      </c>
      <c r="T93">
        <v>700000</v>
      </c>
      <c r="U93">
        <v>350000</v>
      </c>
      <c r="V93" s="18">
        <v>400000</v>
      </c>
    </row>
    <row r="94" spans="1:22" s="28" customFormat="1" hidden="1" x14ac:dyDescent="0.25">
      <c r="A94" s="95" t="s">
        <v>94</v>
      </c>
      <c r="B94" s="95"/>
      <c r="C94" s="95"/>
      <c r="D94" s="95"/>
      <c r="E94" s="95"/>
      <c r="F94" s="92"/>
      <c r="G94" s="92"/>
      <c r="H94" s="92"/>
      <c r="I94" s="62"/>
      <c r="J94" s="62"/>
      <c r="K94" s="62"/>
      <c r="L94" s="62"/>
      <c r="M94" s="62"/>
      <c r="R94"/>
      <c r="S94">
        <v>1400000</v>
      </c>
      <c r="T94">
        <v>800000</v>
      </c>
      <c r="U94">
        <v>400000</v>
      </c>
      <c r="V94"/>
    </row>
    <row r="95" spans="1:22" s="28" customFormat="1" hidden="1" x14ac:dyDescent="0.25">
      <c r="A95" s="95" t="s">
        <v>95</v>
      </c>
      <c r="B95" s="95"/>
      <c r="C95" s="95"/>
      <c r="D95" s="95"/>
      <c r="E95" s="95"/>
      <c r="F95" s="92"/>
      <c r="G95" s="92"/>
      <c r="H95" s="92"/>
      <c r="I95" s="62"/>
      <c r="J95" s="62"/>
      <c r="K95" s="62"/>
      <c r="L95" s="62"/>
      <c r="M95" s="62"/>
      <c r="R95"/>
      <c r="S95">
        <v>1500000</v>
      </c>
      <c r="T95">
        <v>900000</v>
      </c>
      <c r="U95">
        <v>500000</v>
      </c>
      <c r="V95" s="18"/>
    </row>
    <row r="96" spans="1:22" s="28" customFormat="1" x14ac:dyDescent="0.25">
      <c r="A96" s="95" t="s">
        <v>333</v>
      </c>
      <c r="B96" s="95"/>
      <c r="C96" s="95"/>
      <c r="D96" s="95"/>
      <c r="E96" s="95"/>
      <c r="F96" s="92">
        <v>200000</v>
      </c>
      <c r="G96" s="92"/>
      <c r="H96" s="92"/>
      <c r="I96" s="62"/>
      <c r="J96" s="62"/>
      <c r="K96" s="62"/>
      <c r="L96" s="62"/>
      <c r="M96" s="62"/>
      <c r="R96"/>
      <c r="S96">
        <v>1600000</v>
      </c>
      <c r="T96">
        <v>1000000</v>
      </c>
      <c r="U96">
        <v>600000</v>
      </c>
      <c r="V96"/>
    </row>
    <row r="97" spans="1:22" s="28" customFormat="1" hidden="1" x14ac:dyDescent="0.25">
      <c r="A97" s="95" t="s">
        <v>96</v>
      </c>
      <c r="B97" s="95"/>
      <c r="C97" s="95"/>
      <c r="D97" s="95"/>
      <c r="E97" s="95"/>
      <c r="F97" s="92"/>
      <c r="G97" s="92"/>
      <c r="H97" s="92"/>
      <c r="I97" s="62"/>
      <c r="J97" s="62"/>
      <c r="K97" s="62"/>
      <c r="L97" s="62"/>
      <c r="M97" s="62"/>
      <c r="R97"/>
      <c r="S97">
        <v>1700000</v>
      </c>
      <c r="T97"/>
      <c r="U97"/>
      <c r="V97" s="18"/>
    </row>
    <row r="98" spans="1:22" x14ac:dyDescent="0.25">
      <c r="A98" s="95" t="s">
        <v>49</v>
      </c>
      <c r="B98" s="95"/>
      <c r="C98" s="95"/>
      <c r="D98" s="95"/>
      <c r="E98" s="95"/>
      <c r="F98" s="92">
        <v>400000</v>
      </c>
      <c r="G98" s="92"/>
      <c r="H98" s="92"/>
      <c r="I98" s="61"/>
      <c r="J98" s="61"/>
      <c r="K98" s="61"/>
      <c r="L98" s="61"/>
      <c r="M98" s="61"/>
      <c r="R98"/>
      <c r="S98">
        <v>1800000</v>
      </c>
      <c r="T98"/>
      <c r="U98"/>
    </row>
    <row r="99" spans="1:22" s="29" customFormat="1" x14ac:dyDescent="0.25">
      <c r="A99" s="141" t="s">
        <v>50</v>
      </c>
      <c r="B99" s="141"/>
      <c r="C99" s="141"/>
      <c r="D99" s="141"/>
      <c r="E99" s="141"/>
      <c r="F99" s="92">
        <f>F88*0.8</f>
        <v>6400</v>
      </c>
      <c r="G99" s="92"/>
      <c r="H99" s="92"/>
      <c r="I99" s="63"/>
      <c r="J99" s="63"/>
      <c r="K99" s="63"/>
      <c r="L99" s="63"/>
      <c r="M99" s="63"/>
      <c r="R99" s="16"/>
      <c r="S99" s="16"/>
      <c r="T99"/>
      <c r="U99"/>
      <c r="V99" s="16"/>
    </row>
    <row r="100" spans="1:22" s="30" customFormat="1" ht="15.75" hidden="1" customHeight="1" x14ac:dyDescent="0.25">
      <c r="A100" s="140" t="s">
        <v>72</v>
      </c>
      <c r="B100" s="140"/>
      <c r="C100" s="140"/>
      <c r="D100" s="140"/>
      <c r="E100" s="140"/>
      <c r="F100" s="140"/>
      <c r="G100" s="140"/>
      <c r="H100" s="140"/>
      <c r="R100"/>
      <c r="S100" s="16"/>
      <c r="T100"/>
      <c r="U100"/>
      <c r="V100" s="16"/>
    </row>
    <row r="101" spans="1:22" s="30" customFormat="1" ht="15.75" hidden="1" customHeight="1" x14ac:dyDescent="0.25">
      <c r="A101" s="94" t="s">
        <v>51</v>
      </c>
      <c r="B101" s="94"/>
      <c r="C101" s="102" t="s">
        <v>75</v>
      </c>
      <c r="D101" s="102"/>
      <c r="E101" s="100" t="s">
        <v>52</v>
      </c>
      <c r="F101" s="100"/>
      <c r="G101" s="94" t="s">
        <v>53</v>
      </c>
      <c r="H101" s="94"/>
      <c r="R101"/>
      <c r="S101" s="16"/>
      <c r="T101"/>
      <c r="U101" s="16"/>
      <c r="V101" s="16"/>
    </row>
    <row r="102" spans="1:22" s="30" customFormat="1" hidden="1" x14ac:dyDescent="0.25">
      <c r="A102" s="101"/>
      <c r="B102" s="101"/>
      <c r="C102" s="167"/>
      <c r="D102" s="167"/>
      <c r="E102" s="168"/>
      <c r="F102" s="168"/>
      <c r="G102" s="134"/>
      <c r="H102" s="134"/>
      <c r="R102"/>
      <c r="S102" s="16"/>
      <c r="T102"/>
      <c r="U102" s="16"/>
      <c r="V102" s="16"/>
    </row>
    <row r="103" spans="1:22" s="30" customFormat="1" hidden="1" x14ac:dyDescent="0.25">
      <c r="A103" s="101"/>
      <c r="B103" s="101"/>
      <c r="C103" s="167"/>
      <c r="D103" s="167"/>
      <c r="E103" s="168"/>
      <c r="F103" s="168"/>
      <c r="G103" s="134"/>
      <c r="H103" s="134"/>
      <c r="R103"/>
      <c r="S103" s="16"/>
      <c r="T103"/>
      <c r="U103" s="16"/>
      <c r="V103" s="16"/>
    </row>
    <row r="104" spans="1:22" s="30" customFormat="1" hidden="1" x14ac:dyDescent="0.25">
      <c r="A104" s="140" t="s">
        <v>150</v>
      </c>
      <c r="B104" s="140"/>
      <c r="C104" s="102"/>
      <c r="D104" s="102"/>
      <c r="E104" s="100"/>
      <c r="F104" s="100"/>
      <c r="G104" s="94"/>
      <c r="H104" s="94"/>
      <c r="R104"/>
      <c r="S104" s="16"/>
      <c r="T104"/>
      <c r="U104" s="16"/>
      <c r="V104" s="16"/>
    </row>
    <row r="105" spans="1:22" s="30" customFormat="1" x14ac:dyDescent="0.25">
      <c r="A105" s="140" t="s">
        <v>67</v>
      </c>
      <c r="B105" s="140"/>
      <c r="C105" s="140"/>
      <c r="D105" s="140"/>
      <c r="E105" s="140"/>
      <c r="F105" s="140"/>
      <c r="G105" s="140"/>
      <c r="H105" s="140"/>
      <c r="T105"/>
    </row>
    <row r="106" spans="1:22" s="30" customFormat="1" ht="15.75" customHeight="1" x14ac:dyDescent="0.25">
      <c r="A106" s="94" t="s">
        <v>51</v>
      </c>
      <c r="B106" s="94"/>
      <c r="C106" s="102" t="s">
        <v>75</v>
      </c>
      <c r="D106" s="102"/>
      <c r="E106" s="100" t="s">
        <v>52</v>
      </c>
      <c r="F106" s="100"/>
      <c r="G106" s="94" t="s">
        <v>53</v>
      </c>
      <c r="H106" s="94"/>
      <c r="T106"/>
    </row>
    <row r="107" spans="1:22" s="30" customFormat="1" x14ac:dyDescent="0.25">
      <c r="A107" s="143" t="s">
        <v>326</v>
      </c>
      <c r="B107" s="143"/>
      <c r="C107" s="158">
        <f>COUNT(D124:D131)*3+COUNT(D133:D140,D142:D149)+COUNT(D151:D158)*2</f>
        <v>56</v>
      </c>
      <c r="D107" s="158"/>
      <c r="E107" s="158">
        <f>SUM(F124:F131)*3+SUM(F133:F140,F142:F149)+SUM(F151:F158)*2</f>
        <v>30697.905419999996</v>
      </c>
      <c r="F107" s="158"/>
      <c r="G107" s="158">
        <f>SUM(H124:H131)*3+SUM(H133:H140,H142:H149)+SUM(H151:H158)*2</f>
        <v>44600.806223999993</v>
      </c>
      <c r="H107" s="158"/>
      <c r="T107"/>
    </row>
    <row r="108" spans="1:22" s="30" customFormat="1" hidden="1" x14ac:dyDescent="0.25">
      <c r="A108" s="179" t="s">
        <v>150</v>
      </c>
      <c r="B108" s="179"/>
      <c r="C108" s="135">
        <f>SUM(C107)</f>
        <v>56</v>
      </c>
      <c r="D108" s="136"/>
      <c r="E108" s="180">
        <f>SUM(E107)</f>
        <v>30697.905419999996</v>
      </c>
      <c r="F108" s="181"/>
      <c r="G108" s="180">
        <f>SUM(G107)</f>
        <v>44600.806223999993</v>
      </c>
      <c r="H108" s="180"/>
    </row>
    <row r="109" spans="1:22" s="30" customFormat="1" ht="16.5" hidden="1" thickBot="1" x14ac:dyDescent="0.3">
      <c r="A109" s="163" t="s">
        <v>167</v>
      </c>
      <c r="B109" s="164"/>
      <c r="C109" s="165">
        <f>C104+C108</f>
        <v>56</v>
      </c>
      <c r="D109" s="165"/>
      <c r="E109" s="112">
        <f>E104+E108</f>
        <v>30697.905419999996</v>
      </c>
      <c r="F109" s="112"/>
      <c r="G109" s="169">
        <f>G104+G108</f>
        <v>44600.806223999993</v>
      </c>
      <c r="H109" s="170"/>
    </row>
    <row r="110" spans="1:22" s="29" customFormat="1" x14ac:dyDescent="0.25">
      <c r="A110" s="162" t="s">
        <v>54</v>
      </c>
      <c r="B110" s="162"/>
      <c r="C110" s="162"/>
      <c r="D110" s="162"/>
      <c r="E110" s="162"/>
      <c r="F110" s="162"/>
      <c r="G110" s="162"/>
      <c r="H110" s="162"/>
      <c r="T110" s="30"/>
    </row>
    <row r="111" spans="1:22" x14ac:dyDescent="0.25">
      <c r="A111" s="93" t="s">
        <v>175</v>
      </c>
      <c r="B111" s="93"/>
      <c r="C111" s="93"/>
      <c r="D111" s="93"/>
      <c r="E111" s="93"/>
      <c r="F111" s="93"/>
      <c r="G111" s="93"/>
      <c r="H111" s="93"/>
      <c r="T111" s="30"/>
    </row>
    <row r="112" spans="1:22" ht="47.25" hidden="1" customHeight="1" x14ac:dyDescent="0.25">
      <c r="A112" s="132" t="s">
        <v>327</v>
      </c>
      <c r="B112" s="132" t="s">
        <v>177</v>
      </c>
      <c r="C112" s="132" t="s">
        <v>55</v>
      </c>
      <c r="D112" s="132" t="s">
        <v>232</v>
      </c>
      <c r="E112" s="159" t="s">
        <v>156</v>
      </c>
      <c r="F112" s="132" t="s">
        <v>56</v>
      </c>
      <c r="G112" s="159" t="s">
        <v>57</v>
      </c>
      <c r="H112" s="55" t="s">
        <v>148</v>
      </c>
      <c r="T112" s="30"/>
    </row>
    <row r="113" spans="1:20" s="32" customFormat="1" hidden="1" x14ac:dyDescent="0.25">
      <c r="A113" s="133"/>
      <c r="B113" s="133"/>
      <c r="C113" s="133"/>
      <c r="D113" s="133"/>
      <c r="E113" s="160"/>
      <c r="F113" s="133"/>
      <c r="G113" s="160"/>
      <c r="H113" s="56">
        <v>0.45</v>
      </c>
      <c r="T113" s="29"/>
    </row>
    <row r="114" spans="1:20" s="32" customFormat="1" hidden="1" x14ac:dyDescent="0.25">
      <c r="A114" s="82" t="s">
        <v>116</v>
      </c>
      <c r="B114" s="83"/>
      <c r="C114" s="83"/>
      <c r="D114" s="83"/>
      <c r="E114" s="83"/>
      <c r="F114" s="83"/>
      <c r="G114" s="83"/>
      <c r="H114" s="84"/>
      <c r="J114" s="31"/>
      <c r="T114" s="16"/>
    </row>
    <row r="115" spans="1:20" s="32" customFormat="1" ht="15.75" hidden="1" customHeight="1" x14ac:dyDescent="0.25">
      <c r="A115" s="80">
        <v>1</v>
      </c>
      <c r="B115" s="81"/>
      <c r="C115" s="57"/>
      <c r="D115" s="57">
        <v>0</v>
      </c>
      <c r="E115" s="57">
        <v>0</v>
      </c>
      <c r="F115" s="57">
        <f>D115+(IF(E115&lt;201,E115,IF(E115&lt;301,E115/2,E115/3)))</f>
        <v>0</v>
      </c>
      <c r="G115" s="58">
        <v>0</v>
      </c>
      <c r="H115" s="57">
        <f>(F115+(IF(G115&lt;101,G115,IF(G115&lt;201,G115/2,IF(G115&lt;=301,G115/3,G115/4)))))*(($H$113)+1)</f>
        <v>0</v>
      </c>
      <c r="I115" s="31"/>
      <c r="L115" s="77"/>
      <c r="M115" s="77"/>
      <c r="N115" s="31"/>
      <c r="T115" s="16"/>
    </row>
    <row r="116" spans="1:20" s="32" customFormat="1" ht="15.75" hidden="1" customHeight="1" x14ac:dyDescent="0.25">
      <c r="A116" s="80">
        <f>A115+1</f>
        <v>2</v>
      </c>
      <c r="B116" s="81"/>
      <c r="C116" s="57"/>
      <c r="D116" s="57"/>
      <c r="E116" s="57">
        <v>0</v>
      </c>
      <c r="F116" s="57">
        <f t="shared" ref="F116:F118" si="0">D116+(IF(E116&lt;201,E116,IF(E116&lt;301,E116/2,E116/3)))</f>
        <v>0</v>
      </c>
      <c r="G116" s="57">
        <v>0</v>
      </c>
      <c r="H116" s="57">
        <f t="shared" ref="H116:H118" si="1">(F116+(IF(G116&lt;101,G116,IF(G116&lt;201,G116/2,IF(G116&lt;=301,G116/3,G116/4)))))*(($H$113)+1)</f>
        <v>0</v>
      </c>
      <c r="I116" s="31"/>
      <c r="L116" s="77"/>
      <c r="M116" s="77"/>
      <c r="N116" s="31"/>
    </row>
    <row r="117" spans="1:20" s="32" customFormat="1" ht="15.75" hidden="1" customHeight="1" x14ac:dyDescent="0.25">
      <c r="A117" s="80">
        <f>A116+1</f>
        <v>3</v>
      </c>
      <c r="B117" s="81"/>
      <c r="C117" s="57"/>
      <c r="D117" s="57"/>
      <c r="E117" s="57">
        <v>0</v>
      </c>
      <c r="F117" s="57">
        <f t="shared" si="0"/>
        <v>0</v>
      </c>
      <c r="G117" s="57">
        <v>0</v>
      </c>
      <c r="H117" s="57">
        <f t="shared" si="1"/>
        <v>0</v>
      </c>
      <c r="I117" s="31"/>
      <c r="L117" s="77"/>
      <c r="M117" s="77"/>
      <c r="N117" s="31"/>
    </row>
    <row r="118" spans="1:20" s="32" customFormat="1" ht="15.75" hidden="1" customHeight="1" x14ac:dyDescent="0.25">
      <c r="A118" s="80">
        <f>A117+1</f>
        <v>4</v>
      </c>
      <c r="B118" s="81"/>
      <c r="C118" s="57"/>
      <c r="D118" s="57"/>
      <c r="E118" s="57">
        <v>0</v>
      </c>
      <c r="F118" s="57">
        <f t="shared" si="0"/>
        <v>0</v>
      </c>
      <c r="G118" s="57">
        <v>0</v>
      </c>
      <c r="H118" s="57">
        <f t="shared" si="1"/>
        <v>0</v>
      </c>
      <c r="I118" s="31"/>
      <c r="L118" s="77"/>
      <c r="M118" s="77"/>
      <c r="N118" s="31"/>
    </row>
    <row r="119" spans="1:20" s="32" customFormat="1" hidden="1" x14ac:dyDescent="0.25">
      <c r="A119" s="80"/>
      <c r="B119" s="182"/>
      <c r="C119" s="182"/>
      <c r="D119" s="182"/>
      <c r="E119" s="182"/>
      <c r="F119" s="182"/>
      <c r="G119" s="182"/>
      <c r="H119" s="81"/>
      <c r="I119" s="31"/>
      <c r="N119" s="31"/>
    </row>
    <row r="120" spans="1:20" ht="47.25" customHeight="1" x14ac:dyDescent="0.25">
      <c r="A120" s="183" t="s">
        <v>328</v>
      </c>
      <c r="B120" s="132" t="s">
        <v>178</v>
      </c>
      <c r="C120" s="132" t="s">
        <v>55</v>
      </c>
      <c r="D120" s="132" t="s">
        <v>232</v>
      </c>
      <c r="E120" s="132" t="s">
        <v>324</v>
      </c>
      <c r="F120" s="132" t="s">
        <v>56</v>
      </c>
      <c r="G120" s="159" t="s">
        <v>57</v>
      </c>
      <c r="H120" s="55" t="s">
        <v>148</v>
      </c>
      <c r="I120" s="31"/>
      <c r="T120" s="32"/>
    </row>
    <row r="121" spans="1:20" s="32" customFormat="1" x14ac:dyDescent="0.25">
      <c r="A121" s="184"/>
      <c r="B121" s="133"/>
      <c r="C121" s="133"/>
      <c r="D121" s="133"/>
      <c r="E121" s="133"/>
      <c r="F121" s="133"/>
      <c r="G121" s="160"/>
      <c r="H121" s="56">
        <v>0.45</v>
      </c>
      <c r="I121" s="31"/>
    </row>
    <row r="122" spans="1:20" s="51" customFormat="1" x14ac:dyDescent="0.25">
      <c r="A122" s="82" t="s">
        <v>339</v>
      </c>
      <c r="B122" s="83"/>
      <c r="C122" s="83"/>
      <c r="D122" s="83"/>
      <c r="E122" s="83"/>
      <c r="F122" s="83"/>
      <c r="G122" s="83"/>
      <c r="H122" s="84"/>
      <c r="J122" s="54">
        <v>10.763999999999999</v>
      </c>
      <c r="T122" s="16"/>
    </row>
    <row r="123" spans="1:20" s="51" customFormat="1" x14ac:dyDescent="0.25">
      <c r="A123" s="82" t="s">
        <v>319</v>
      </c>
      <c r="B123" s="83"/>
      <c r="C123" s="83"/>
      <c r="D123" s="83"/>
      <c r="E123" s="83"/>
      <c r="F123" s="83"/>
      <c r="G123" s="83"/>
      <c r="H123" s="84"/>
      <c r="J123" s="31"/>
    </row>
    <row r="124" spans="1:20" s="51" customFormat="1" ht="15.75" customHeight="1" x14ac:dyDescent="0.25">
      <c r="A124" s="80">
        <v>1</v>
      </c>
      <c r="B124" s="81"/>
      <c r="C124" s="57" t="s">
        <v>320</v>
      </c>
      <c r="D124" s="59">
        <f>(2.75*4.5+2.15*2.6+2.75*2.05+2.3*2.05+1.2*2.05+1.2*2.25+0.9*3.5)*10.764</f>
        <v>394.25840999999997</v>
      </c>
      <c r="E124" s="59">
        <f>((2.3+2.75))*10.764</f>
        <v>54.358199999999997</v>
      </c>
      <c r="F124" s="57">
        <f t="shared" ref="F124:F131" si="2">D124+E124</f>
        <v>448.61660999999998</v>
      </c>
      <c r="G124" s="57">
        <v>0</v>
      </c>
      <c r="H124" s="57">
        <f t="shared" ref="H124:H131" si="3">F124*(($H$121)+1)+(IF(G124&lt;101,G124,IF(G124&lt;201,G124/2,IF(G124&lt;=301,G124/3,G124/4))))</f>
        <v>650.49408449999999</v>
      </c>
      <c r="I124" s="31">
        <f>2.75*4.5+2.15*2.6+2.75*2.05+2.3*2.05+1.2*2.05+1.2*2.2+0.9*3.5</f>
        <v>36.567499999999995</v>
      </c>
      <c r="J124" s="51">
        <f>6500*H124</f>
        <v>4228211.5492500002</v>
      </c>
      <c r="K124" s="31">
        <f>5686000/H124</f>
        <v>8741.0479748951511</v>
      </c>
      <c r="L124" s="77"/>
      <c r="M124" s="77"/>
      <c r="N124" s="65">
        <f>731/F124</f>
        <v>1.6294537110429328</v>
      </c>
      <c r="T124" s="16"/>
    </row>
    <row r="125" spans="1:20" s="51" customFormat="1" ht="15.75" customHeight="1" x14ac:dyDescent="0.25">
      <c r="A125" s="78">
        <f t="shared" ref="A125:A131" si="4">A124+1</f>
        <v>2</v>
      </c>
      <c r="B125" s="79"/>
      <c r="C125" s="50" t="s">
        <v>321</v>
      </c>
      <c r="D125" s="54">
        <f>(2.75*4.5+2.3*2.6+2.75*2.35+2.75*2.05+2.3*2.05+1.2*2.05+1.2*2.05+0.9*5.3)*10.764</f>
        <v>482.87303999999995</v>
      </c>
      <c r="E125" s="54">
        <f>(2.3+2.75+2.75)*10.764</f>
        <v>83.959199999999996</v>
      </c>
      <c r="F125" s="50">
        <f t="shared" si="2"/>
        <v>566.83223999999996</v>
      </c>
      <c r="G125" s="50">
        <v>0</v>
      </c>
      <c r="H125" s="50">
        <f t="shared" si="3"/>
        <v>821.90674799999988</v>
      </c>
      <c r="I125" s="31">
        <f>2.75*4.5+2.3*2.6+4.45*2.35+2.76*2.05+2.3*2.05+1.2*2.05+1.2*2.05+0.9*5.3</f>
        <v>48.875500000000002</v>
      </c>
      <c r="J125" s="52">
        <f t="shared" ref="J125:J128" si="5">6500*H125</f>
        <v>5342393.8619999988</v>
      </c>
      <c r="K125" s="31">
        <f>7496000/H125</f>
        <v>9120.2560609710454</v>
      </c>
      <c r="L125" s="77"/>
      <c r="M125" s="77"/>
      <c r="N125" s="65">
        <f>925/F125</f>
        <v>1.6318761261709462</v>
      </c>
    </row>
    <row r="126" spans="1:20" s="51" customFormat="1" ht="15.75" customHeight="1" x14ac:dyDescent="0.25">
      <c r="A126" s="78">
        <f t="shared" si="4"/>
        <v>3</v>
      </c>
      <c r="B126" s="79"/>
      <c r="C126" s="50" t="s">
        <v>322</v>
      </c>
      <c r="D126" s="54">
        <f>(3.2*2.9+0.55*1.6+2.25*2.3+2.75*2.35+1.85*1.2+1.1*1.2+1.35*0.9)*10.764</f>
        <v>285.81110999999999</v>
      </c>
      <c r="E126" s="54">
        <f>(1.1*(2.9+2.3)+2.75)*10.764</f>
        <v>91.171079999999989</v>
      </c>
      <c r="F126" s="50">
        <f t="shared" si="2"/>
        <v>376.98218999999995</v>
      </c>
      <c r="G126" s="50">
        <v>0</v>
      </c>
      <c r="H126" s="50">
        <f t="shared" si="3"/>
        <v>546.62417549999986</v>
      </c>
      <c r="I126" s="31"/>
      <c r="J126" s="52">
        <f t="shared" si="5"/>
        <v>3553057.1407499993</v>
      </c>
      <c r="K126" s="31">
        <f>4141000/H126</f>
        <v>7575.5888334287565</v>
      </c>
      <c r="L126" s="31">
        <f>4500000/H126</f>
        <v>8232.3471988479614</v>
      </c>
      <c r="N126" s="31"/>
    </row>
    <row r="127" spans="1:20" s="51" customFormat="1" ht="15.75" customHeight="1" x14ac:dyDescent="0.25">
      <c r="A127" s="78">
        <f t="shared" si="4"/>
        <v>4</v>
      </c>
      <c r="B127" s="79"/>
      <c r="C127" s="50" t="s">
        <v>320</v>
      </c>
      <c r="D127" s="54">
        <f>(3.2*2.9+2.25*2.55+2*2+2.3*2.25+1.65*1.4+1.7*1.2+0.9*2.2+1.2*0.9)*10.764</f>
        <v>340.16931</v>
      </c>
      <c r="E127" s="54">
        <f>(1*(1.1*2.9+2.55+4+2.3))*10.764</f>
        <v>129.59855999999999</v>
      </c>
      <c r="F127" s="50">
        <f t="shared" si="2"/>
        <v>469.76787000000002</v>
      </c>
      <c r="G127" s="50">
        <v>0</v>
      </c>
      <c r="H127" s="50">
        <f t="shared" si="3"/>
        <v>681.16341150000005</v>
      </c>
      <c r="I127" s="31"/>
      <c r="J127" s="52">
        <f>6500*H127</f>
        <v>4427562.1747500002</v>
      </c>
      <c r="K127" s="31">
        <f>5912300/H127</f>
        <v>8679.7087162688858</v>
      </c>
      <c r="L127" s="77"/>
      <c r="M127" s="77"/>
      <c r="N127" s="31"/>
    </row>
    <row r="128" spans="1:20" s="51" customFormat="1" ht="15.75" customHeight="1" x14ac:dyDescent="0.25">
      <c r="A128" s="78">
        <f t="shared" si="4"/>
        <v>5</v>
      </c>
      <c r="B128" s="79"/>
      <c r="C128" s="50" t="s">
        <v>321</v>
      </c>
      <c r="D128" s="54">
        <f>(2.9*4.6+2.3*2.05+2.3*2.05+2.9*3.35+2.75*2.05+2.15*1.2+2.15*1.2+0.9*5.65)*10.764</f>
        <v>520.62776999999994</v>
      </c>
      <c r="E128" s="54">
        <f>((2.3+2.75)+1.2*2.9+1.5*2.9)*10.764</f>
        <v>138.64031999999997</v>
      </c>
      <c r="F128" s="50">
        <f t="shared" si="2"/>
        <v>659.26808999999992</v>
      </c>
      <c r="G128" s="50">
        <v>0</v>
      </c>
      <c r="H128" s="50">
        <f t="shared" si="3"/>
        <v>955.93873049999979</v>
      </c>
      <c r="I128" s="31"/>
      <c r="J128" s="52">
        <f t="shared" si="5"/>
        <v>6213601.7482499983</v>
      </c>
      <c r="K128" s="31">
        <f>8514050/H128</f>
        <v>8906.4808531680283</v>
      </c>
      <c r="N128" s="65">
        <f>1075/F129</f>
        <v>1.6305961357844578</v>
      </c>
    </row>
    <row r="129" spans="1:20" s="51" customFormat="1" ht="15.75" customHeight="1" x14ac:dyDescent="0.25">
      <c r="A129" s="78">
        <f t="shared" si="4"/>
        <v>6</v>
      </c>
      <c r="B129" s="79"/>
      <c r="C129" s="50" t="s">
        <v>321</v>
      </c>
      <c r="D129" s="54">
        <f>(2.9*4.6+2.3*2.05+2.3*2.05+2.9*3.35+2.75*2.05+2.15*1.2+2.15*1.2+0.9*5.65)*10.764</f>
        <v>520.62776999999994</v>
      </c>
      <c r="E129" s="54">
        <f>((2.3+2.75)+1.2*2.9+1.5*2.9)*10.764</f>
        <v>138.64031999999997</v>
      </c>
      <c r="F129" s="50">
        <f t="shared" si="2"/>
        <v>659.26808999999992</v>
      </c>
      <c r="G129" s="50">
        <v>0</v>
      </c>
      <c r="H129" s="50">
        <f t="shared" si="3"/>
        <v>955.93873049999979</v>
      </c>
      <c r="I129" s="31"/>
      <c r="L129" s="77"/>
      <c r="M129" s="77"/>
      <c r="N129" s="31"/>
    </row>
    <row r="130" spans="1:20" s="51" customFormat="1" ht="15.75" customHeight="1" x14ac:dyDescent="0.25">
      <c r="A130" s="78">
        <f t="shared" si="4"/>
        <v>7</v>
      </c>
      <c r="B130" s="79"/>
      <c r="C130" s="50" t="s">
        <v>320</v>
      </c>
      <c r="D130" s="54">
        <f>(4.6*2.9+2.3*2.25+2.05*2.75+2*2.75+1.65*1.4+1.7*1.2+0.9*2.85+0.9*3.5)*10.764</f>
        <v>427.51916999999992</v>
      </c>
      <c r="E130" s="54">
        <f>(1.5*2.9+(2.75+2.05+2.3))*10.764</f>
        <v>123.24779999999998</v>
      </c>
      <c r="F130" s="50">
        <f t="shared" si="2"/>
        <v>550.7669699999999</v>
      </c>
      <c r="G130" s="50">
        <v>0</v>
      </c>
      <c r="H130" s="50">
        <f t="shared" si="3"/>
        <v>798.61210649999987</v>
      </c>
      <c r="I130" s="31"/>
      <c r="J130" s="51">
        <f>6161000/H130</f>
        <v>7714.6338627412242</v>
      </c>
      <c r="L130" s="77"/>
      <c r="M130" s="77"/>
      <c r="N130" s="31"/>
    </row>
    <row r="131" spans="1:20" s="51" customFormat="1" ht="15.75" customHeight="1" x14ac:dyDescent="0.25">
      <c r="A131" s="78">
        <f t="shared" si="4"/>
        <v>8</v>
      </c>
      <c r="B131" s="79"/>
      <c r="C131" s="50" t="s">
        <v>323</v>
      </c>
      <c r="D131" s="54">
        <f>(4.6*2.9+2.2*1.1+1.6*0.6+3.2*2.3+2.75*2.35+2.75*2.35+2*1.2+1.75*1.3+1.05*1.2)*10.764</f>
        <v>462.2061599999999</v>
      </c>
      <c r="E131" s="54">
        <f>(1.5*2.9+1.2*2.3+3.2+2.75+1.9*2.5)*10.764</f>
        <v>191.70683999999997</v>
      </c>
      <c r="F131" s="50">
        <f t="shared" si="2"/>
        <v>653.9129999999999</v>
      </c>
      <c r="G131" s="50">
        <v>0</v>
      </c>
      <c r="H131" s="50">
        <f t="shared" si="3"/>
        <v>948.17384999999979</v>
      </c>
      <c r="I131" s="31">
        <f>5.35*4+3.2*2.3+3.1*2.35+2.75*2.35+2.3*1.2+1.75*1.2+1.05*1.2+2.15*1.1</f>
        <v>50.9925</v>
      </c>
      <c r="J131" s="51">
        <f>6969000/H131</f>
        <v>7349.9179501733797</v>
      </c>
      <c r="N131" s="31"/>
    </row>
    <row r="132" spans="1:20" s="51" customFormat="1" x14ac:dyDescent="0.25">
      <c r="A132" s="89" t="s">
        <v>340</v>
      </c>
      <c r="B132" s="89"/>
      <c r="C132" s="89"/>
      <c r="D132" s="89"/>
      <c r="E132" s="89"/>
      <c r="F132" s="89"/>
      <c r="G132" s="89"/>
      <c r="H132" s="89"/>
      <c r="J132" s="31"/>
    </row>
    <row r="133" spans="1:20" s="51" customFormat="1" ht="15.75" customHeight="1" x14ac:dyDescent="0.25">
      <c r="A133" s="85">
        <v>1</v>
      </c>
      <c r="B133" s="85"/>
      <c r="C133" s="71" t="s">
        <v>320</v>
      </c>
      <c r="D133" s="59">
        <f>(2.75*4.5+2.15*2.6+2.75*2.05+2.3*2.05+1.2*2.05+1.2*2.25+0.9*3.5)*10.764</f>
        <v>394.25840999999997</v>
      </c>
      <c r="E133" s="59">
        <f>((2.3+2.75))*10.764</f>
        <v>54.358199999999997</v>
      </c>
      <c r="F133" s="71">
        <f t="shared" ref="F133:F140" si="6">D133+E133</f>
        <v>448.61660999999998</v>
      </c>
      <c r="G133" s="71">
        <v>0</v>
      </c>
      <c r="H133" s="71">
        <f t="shared" ref="H133:H140" si="7">F133*(($H$121)+1)+(IF(G133&lt;101,G133,IF(G133&lt;201,G133/2,IF(G133&lt;=301,G133/3,G133/4))))</f>
        <v>650.49408449999999</v>
      </c>
      <c r="I133" s="31"/>
      <c r="J133" s="51">
        <f>7200*H133</f>
        <v>4683557.4084000001</v>
      </c>
      <c r="L133" s="77"/>
      <c r="M133" s="77"/>
      <c r="N133" s="31"/>
      <c r="T133" s="16"/>
    </row>
    <row r="134" spans="1:20" s="51" customFormat="1" ht="15.75" customHeight="1" x14ac:dyDescent="0.25">
      <c r="A134" s="85">
        <f t="shared" ref="A134:A140" si="8">A133+1</f>
        <v>2</v>
      </c>
      <c r="B134" s="85"/>
      <c r="C134" s="50" t="s">
        <v>321</v>
      </c>
      <c r="D134" s="54">
        <f>(2.75*4.5+2.3*2.6+2.75*2.35+2.75*2.05+2.3*2.05+1.2*2.05+1.2*2.05+0.9*5.3)*10.764</f>
        <v>482.87303999999995</v>
      </c>
      <c r="E134" s="54">
        <f>(2.3+2.75+2.75)*10.764</f>
        <v>83.959199999999996</v>
      </c>
      <c r="F134" s="50">
        <f t="shared" si="6"/>
        <v>566.83223999999996</v>
      </c>
      <c r="G134" s="50">
        <v>0</v>
      </c>
      <c r="H134" s="50">
        <f t="shared" si="7"/>
        <v>821.90674799999988</v>
      </c>
      <c r="I134" s="31"/>
      <c r="J134" s="52">
        <f t="shared" ref="J134:J137" si="9">7200*H134</f>
        <v>5917728.5855999989</v>
      </c>
      <c r="L134" s="77"/>
      <c r="M134" s="77"/>
      <c r="N134" s="31"/>
    </row>
    <row r="135" spans="1:20" s="51" customFormat="1" ht="15.75" customHeight="1" x14ac:dyDescent="0.25">
      <c r="A135" s="85">
        <f t="shared" si="8"/>
        <v>3</v>
      </c>
      <c r="B135" s="85"/>
      <c r="C135" s="50" t="s">
        <v>322</v>
      </c>
      <c r="D135" s="54">
        <f>(3.2*2.9+0.55*1.6+2.25*2.3+2.75*2.35+1.85*1.2+1.1*1.2+1.35*0.9)*10.764</f>
        <v>285.81110999999999</v>
      </c>
      <c r="E135" s="54">
        <f>(1.1*(2.9+2.3)+2.75)*10.764</f>
        <v>91.171079999999989</v>
      </c>
      <c r="F135" s="50">
        <f t="shared" si="6"/>
        <v>376.98218999999995</v>
      </c>
      <c r="G135" s="50">
        <v>0</v>
      </c>
      <c r="H135" s="50">
        <f t="shared" si="7"/>
        <v>546.62417549999986</v>
      </c>
      <c r="I135" s="31"/>
      <c r="J135" s="52">
        <f t="shared" si="9"/>
        <v>3935694.0635999991</v>
      </c>
      <c r="L135" s="77"/>
      <c r="M135" s="77"/>
      <c r="N135" s="31"/>
    </row>
    <row r="136" spans="1:20" s="51" customFormat="1" ht="15.75" customHeight="1" x14ac:dyDescent="0.25">
      <c r="A136" s="85">
        <f t="shared" si="8"/>
        <v>4</v>
      </c>
      <c r="B136" s="85"/>
      <c r="C136" s="50" t="s">
        <v>320</v>
      </c>
      <c r="D136" s="54">
        <f>(3.2*2.9+2.25*2.55+2*2+2.3*2.25+1.65*1.4+1.7*1.2+0.9*2.2+1.2*0.9)*10.764</f>
        <v>340.16931</v>
      </c>
      <c r="E136" s="54">
        <f>(1*(1.1*2.9+2.55+4+2.3))*10.764</f>
        <v>129.59855999999999</v>
      </c>
      <c r="F136" s="50">
        <f t="shared" si="6"/>
        <v>469.76787000000002</v>
      </c>
      <c r="G136" s="50">
        <v>0</v>
      </c>
      <c r="H136" s="50">
        <f t="shared" si="7"/>
        <v>681.16341150000005</v>
      </c>
      <c r="I136" s="31"/>
      <c r="J136" s="52">
        <f t="shared" si="9"/>
        <v>4904376.5628000004</v>
      </c>
      <c r="L136" s="77"/>
      <c r="M136" s="77"/>
      <c r="N136" s="31"/>
    </row>
    <row r="137" spans="1:20" s="51" customFormat="1" ht="15.75" customHeight="1" x14ac:dyDescent="0.25">
      <c r="A137" s="85">
        <f t="shared" si="8"/>
        <v>5</v>
      </c>
      <c r="B137" s="85"/>
      <c r="C137" s="50" t="s">
        <v>321</v>
      </c>
      <c r="D137" s="54">
        <f>(2.9*4.6+2.3*2.05+2.3*2.05+2.9*3.35+2.75*2.05+2.15*1.2+2.15*1.2+0.9*5.65)*10.764</f>
        <v>520.62776999999994</v>
      </c>
      <c r="E137" s="54">
        <f>((2.3+2.75)+1.2*2.9+1.5*2.9)*10.764</f>
        <v>138.64031999999997</v>
      </c>
      <c r="F137" s="50">
        <f t="shared" si="6"/>
        <v>659.26808999999992</v>
      </c>
      <c r="G137" s="50">
        <v>0</v>
      </c>
      <c r="H137" s="50">
        <f t="shared" si="7"/>
        <v>955.93873049999979</v>
      </c>
      <c r="I137" s="31"/>
      <c r="J137" s="52">
        <f t="shared" si="9"/>
        <v>6882758.8595999982</v>
      </c>
      <c r="K137" s="51">
        <f>H137*7200</f>
        <v>6882758.8595999982</v>
      </c>
      <c r="L137" s="77"/>
      <c r="M137" s="77"/>
      <c r="N137" s="31"/>
    </row>
    <row r="138" spans="1:20" s="51" customFormat="1" ht="15.75" customHeight="1" x14ac:dyDescent="0.25">
      <c r="A138" s="85">
        <f t="shared" si="8"/>
        <v>6</v>
      </c>
      <c r="B138" s="85"/>
      <c r="C138" s="50" t="s">
        <v>321</v>
      </c>
      <c r="D138" s="54">
        <f>(2.9*4.6+2.3*2.05+2.3*2.05+2.9*3.35+2.75*2.05+2.15*1.2+2.15*1.2+0.9*5.65)*10.764</f>
        <v>520.62776999999994</v>
      </c>
      <c r="E138" s="54">
        <f>((2.3+2.75)+1.2*2.9+1.5*2.9)*10.764</f>
        <v>138.64031999999997</v>
      </c>
      <c r="F138" s="50">
        <f t="shared" si="6"/>
        <v>659.26808999999992</v>
      </c>
      <c r="G138" s="50">
        <v>0</v>
      </c>
      <c r="H138" s="50">
        <f>F138*(1.5)+(IF(G138&lt;101,G138,IF(G138&lt;201,G138/2,IF(G138&lt;=301,G138/3,G138/4))))</f>
        <v>988.90213499999982</v>
      </c>
      <c r="I138" s="31"/>
      <c r="K138" s="51">
        <f>8000*H138</f>
        <v>7911217.0799999982</v>
      </c>
      <c r="L138" s="77">
        <f>H138/F138</f>
        <v>1.5</v>
      </c>
      <c r="M138" s="77"/>
      <c r="N138" s="31"/>
    </row>
    <row r="139" spans="1:20" s="51" customFormat="1" ht="15.75" customHeight="1" x14ac:dyDescent="0.25">
      <c r="A139" s="85">
        <f t="shared" si="8"/>
        <v>7</v>
      </c>
      <c r="B139" s="85"/>
      <c r="C139" s="50" t="s">
        <v>320</v>
      </c>
      <c r="D139" s="54">
        <f>(4.6*2.9+2.3*2.25+2.05*2.75+2*2.75+1.65*1.4+1.7*1.2+0.9*2.85+0.9*3.5)*10.764</f>
        <v>427.51916999999992</v>
      </c>
      <c r="E139" s="54">
        <f>(1.5*2.9+(2.75+2.05+2.3))*10.764</f>
        <v>123.24779999999998</v>
      </c>
      <c r="F139" s="50">
        <f t="shared" si="6"/>
        <v>550.7669699999999</v>
      </c>
      <c r="G139" s="50">
        <v>0</v>
      </c>
      <c r="H139" s="50">
        <f t="shared" si="7"/>
        <v>798.61210649999987</v>
      </c>
      <c r="I139" s="31"/>
      <c r="L139" s="77"/>
      <c r="M139" s="77"/>
      <c r="N139" s="31"/>
    </row>
    <row r="140" spans="1:20" s="51" customFormat="1" ht="15.75" customHeight="1" x14ac:dyDescent="0.25">
      <c r="A140" s="78">
        <f t="shared" si="8"/>
        <v>8</v>
      </c>
      <c r="B140" s="79"/>
      <c r="C140" s="50" t="s">
        <v>323</v>
      </c>
      <c r="D140" s="54">
        <f>(4.6*2.9+2.2*1.1+1.6*0.6+3.2*2.3+2.75*2.35+2.75*2.35+2*1.2+1.75*1.3+1.05*1.2)*10.764</f>
        <v>462.2061599999999</v>
      </c>
      <c r="E140" s="54">
        <f>(1.5*2.9+1.2*2.3+3.2+2.75+1.9*2.5)*10.764</f>
        <v>191.70683999999997</v>
      </c>
      <c r="F140" s="50">
        <f t="shared" si="6"/>
        <v>653.9129999999999</v>
      </c>
      <c r="G140" s="50">
        <v>0</v>
      </c>
      <c r="H140" s="50">
        <f t="shared" si="7"/>
        <v>948.17384999999979</v>
      </c>
      <c r="I140" s="31"/>
      <c r="L140" s="77"/>
      <c r="M140" s="77"/>
      <c r="N140" s="31"/>
    </row>
    <row r="141" spans="1:20" s="66" customFormat="1" x14ac:dyDescent="0.25">
      <c r="A141" s="86" t="s">
        <v>341</v>
      </c>
      <c r="B141" s="87"/>
      <c r="C141" s="87"/>
      <c r="D141" s="87"/>
      <c r="E141" s="87"/>
      <c r="F141" s="87"/>
      <c r="G141" s="87"/>
      <c r="H141" s="88"/>
      <c r="J141" s="31"/>
    </row>
    <row r="142" spans="1:20" s="66" customFormat="1" ht="15.75" customHeight="1" x14ac:dyDescent="0.25">
      <c r="A142" s="78">
        <v>1</v>
      </c>
      <c r="B142" s="79"/>
      <c r="C142" s="68" t="s">
        <v>320</v>
      </c>
      <c r="D142" s="59">
        <f>(2.75*4.5+2.15*2.6+2.75*2.05+2.3*2.05+1.2*2.05+1.2*2.25+0.9*3.5)*10.764</f>
        <v>394.25840999999997</v>
      </c>
      <c r="E142" s="59">
        <f>((2.3+2.75))*10.764</f>
        <v>54.358199999999997</v>
      </c>
      <c r="F142" s="68">
        <f t="shared" ref="F142:F149" si="10">D142+E142</f>
        <v>448.61660999999998</v>
      </c>
      <c r="G142" s="68">
        <v>0</v>
      </c>
      <c r="H142" s="68">
        <f t="shared" ref="H142:H149" si="11">F142*(($H$121)+1)+(IF(G142&lt;101,G142,IF(G142&lt;201,G142/2,IF(G142&lt;=301,G142/3,G142/4))))</f>
        <v>650.49408449999999</v>
      </c>
      <c r="I142" s="31"/>
      <c r="J142" s="66">
        <f>7200*H142</f>
        <v>4683557.4084000001</v>
      </c>
      <c r="L142" s="77"/>
      <c r="M142" s="77"/>
      <c r="N142" s="31"/>
      <c r="T142" s="16"/>
    </row>
    <row r="143" spans="1:20" s="66" customFormat="1" ht="15.75" customHeight="1" x14ac:dyDescent="0.25">
      <c r="A143" s="78">
        <f t="shared" ref="A143:A149" si="12">A142+1</f>
        <v>2</v>
      </c>
      <c r="B143" s="79"/>
      <c r="C143" s="50" t="s">
        <v>321</v>
      </c>
      <c r="D143" s="54">
        <f>(2.75*4.5+2.3*2.6+2.75*2.35+2.75*2.05+2.3*2.05+1.2*2.05+1.2*2.05+0.9*5.3)*10.764</f>
        <v>482.87303999999995</v>
      </c>
      <c r="E143" s="54">
        <f>(2.3+2.75+2.75)*10.764</f>
        <v>83.959199999999996</v>
      </c>
      <c r="F143" s="50">
        <f t="shared" si="10"/>
        <v>566.83223999999996</v>
      </c>
      <c r="G143" s="50">
        <v>0</v>
      </c>
      <c r="H143" s="50">
        <f>F143*(1.5)+(IF(G143&lt;101,G143,IF(G143&lt;201,G143/2,IF(G143&lt;=301,G143/3,G143/4))))</f>
        <v>850.24835999999993</v>
      </c>
      <c r="I143" s="31"/>
      <c r="J143" s="66">
        <f t="shared" ref="J143:J146" si="13">7200*H143</f>
        <v>6121788.1919999998</v>
      </c>
      <c r="L143" s="77">
        <f>H143/F143</f>
        <v>1.5</v>
      </c>
      <c r="M143" s="77"/>
      <c r="N143" s="31"/>
    </row>
    <row r="144" spans="1:20" s="66" customFormat="1" ht="15.75" customHeight="1" x14ac:dyDescent="0.25">
      <c r="A144" s="78">
        <f t="shared" si="12"/>
        <v>3</v>
      </c>
      <c r="B144" s="79"/>
      <c r="C144" s="50" t="s">
        <v>322</v>
      </c>
      <c r="D144" s="54">
        <f>(3.2*2.9+0.55*1.6+2.25*2.3+2.75*2.35+1.85*1.2+1.1*1.2+1.35*0.9)*10.764</f>
        <v>285.81110999999999</v>
      </c>
      <c r="E144" s="54">
        <f>(1.1*(2.9+2.3)+2.75)*10.764</f>
        <v>91.171079999999989</v>
      </c>
      <c r="F144" s="50">
        <f t="shared" si="10"/>
        <v>376.98218999999995</v>
      </c>
      <c r="G144" s="50">
        <v>0</v>
      </c>
      <c r="H144" s="50">
        <f t="shared" si="11"/>
        <v>546.62417549999986</v>
      </c>
      <c r="I144" s="31"/>
      <c r="J144" s="66">
        <f t="shared" si="13"/>
        <v>3935694.0635999991</v>
      </c>
      <c r="L144" s="77"/>
      <c r="M144" s="77"/>
      <c r="N144" s="31"/>
    </row>
    <row r="145" spans="1:20" s="66" customFormat="1" ht="15.75" customHeight="1" x14ac:dyDescent="0.25">
      <c r="A145" s="78">
        <f t="shared" si="12"/>
        <v>4</v>
      </c>
      <c r="B145" s="79"/>
      <c r="C145" s="50" t="s">
        <v>320</v>
      </c>
      <c r="D145" s="54">
        <f>(3.2*2.9+2.25*2.55+2*2+2.3*2.25+1.65*1.4+1.7*1.2+0.9*2.2+1.2*0.9)*10.764</f>
        <v>340.16931</v>
      </c>
      <c r="E145" s="54">
        <f>(1*(1.1*2.9+2.55+4+2.3))*10.764</f>
        <v>129.59855999999999</v>
      </c>
      <c r="F145" s="50">
        <f t="shared" si="10"/>
        <v>469.76787000000002</v>
      </c>
      <c r="G145" s="50">
        <v>0</v>
      </c>
      <c r="H145" s="50">
        <f t="shared" si="11"/>
        <v>681.16341150000005</v>
      </c>
      <c r="I145" s="31"/>
      <c r="J145" s="66">
        <f t="shared" si="13"/>
        <v>4904376.5628000004</v>
      </c>
      <c r="L145" s="77"/>
      <c r="M145" s="77"/>
      <c r="N145" s="31"/>
    </row>
    <row r="146" spans="1:20" s="66" customFormat="1" ht="15.75" customHeight="1" x14ac:dyDescent="0.25">
      <c r="A146" s="78">
        <f t="shared" si="12"/>
        <v>5</v>
      </c>
      <c r="B146" s="79"/>
      <c r="C146" s="50" t="s">
        <v>321</v>
      </c>
      <c r="D146" s="54">
        <f>(2.9*4.6+2.3*2.05+2.3*2.05+2.9*3.35+2.75*2.05+2.15*1.2+2.15*1.2+0.9*5.65)*10.764</f>
        <v>520.62776999999994</v>
      </c>
      <c r="E146" s="54">
        <f>((2.3+2.75)+1.2*2.9+1.5*2.9)*10.764</f>
        <v>138.64031999999997</v>
      </c>
      <c r="F146" s="50">
        <f t="shared" si="10"/>
        <v>659.26808999999992</v>
      </c>
      <c r="G146" s="50">
        <v>0</v>
      </c>
      <c r="H146" s="50">
        <f t="shared" si="11"/>
        <v>955.93873049999979</v>
      </c>
      <c r="I146" s="31"/>
      <c r="J146" s="66">
        <f t="shared" si="13"/>
        <v>6882758.8595999982</v>
      </c>
      <c r="L146" s="77"/>
      <c r="M146" s="77"/>
      <c r="N146" s="31"/>
    </row>
    <row r="147" spans="1:20" s="66" customFormat="1" ht="15.75" customHeight="1" x14ac:dyDescent="0.25">
      <c r="A147" s="78">
        <f t="shared" si="12"/>
        <v>6</v>
      </c>
      <c r="B147" s="79"/>
      <c r="C147" s="50" t="s">
        <v>321</v>
      </c>
      <c r="D147" s="54">
        <f>(2.9*4.6+2.3*2.05+2.3*2.05+2.9*3.35+2.75*2.05+2.15*1.2+2.15*1.2+0.9*5.65)*10.764</f>
        <v>520.62776999999994</v>
      </c>
      <c r="E147" s="54">
        <f>((2.3+2.75)+1.2*2.9+1.5*2.9)*10.764</f>
        <v>138.64031999999997</v>
      </c>
      <c r="F147" s="50">
        <f t="shared" si="10"/>
        <v>659.26808999999992</v>
      </c>
      <c r="G147" s="50">
        <v>0</v>
      </c>
      <c r="H147" s="50">
        <f t="shared" si="11"/>
        <v>955.93873049999979</v>
      </c>
      <c r="I147" s="31"/>
      <c r="L147" s="77"/>
      <c r="M147" s="77"/>
      <c r="N147" s="31"/>
    </row>
    <row r="148" spans="1:20" s="66" customFormat="1" ht="15.75" customHeight="1" x14ac:dyDescent="0.25">
      <c r="A148" s="78">
        <f t="shared" si="12"/>
        <v>7</v>
      </c>
      <c r="B148" s="79"/>
      <c r="C148" s="50" t="s">
        <v>320</v>
      </c>
      <c r="D148" s="54">
        <f>(4.6*2.9+2.3*2.25+2.05*2.75+2*2.75+1.65*1.4+1.7*1.2+0.9*2.85+0.9*3.5)*10.764</f>
        <v>427.51916999999992</v>
      </c>
      <c r="E148" s="54">
        <f>(1.5*2.9+(2.75+2.05+2.3))*10.764</f>
        <v>123.24779999999998</v>
      </c>
      <c r="F148" s="50">
        <f t="shared" si="10"/>
        <v>550.7669699999999</v>
      </c>
      <c r="G148" s="50">
        <v>0</v>
      </c>
      <c r="H148" s="50">
        <f>F148*(1.5)+(IF(G148&lt;101,G148,IF(G148&lt;201,G148/2,IF(G148&lt;=301,G148/3,G148/4))))</f>
        <v>826.15045499999985</v>
      </c>
      <c r="I148" s="31"/>
      <c r="J148" s="66">
        <f>H148/F148</f>
        <v>1.5</v>
      </c>
      <c r="L148" s="77"/>
      <c r="M148" s="77"/>
      <c r="N148" s="31"/>
    </row>
    <row r="149" spans="1:20" s="66" customFormat="1" ht="15.75" customHeight="1" x14ac:dyDescent="0.25">
      <c r="A149" s="78">
        <f t="shared" si="12"/>
        <v>8</v>
      </c>
      <c r="B149" s="79"/>
      <c r="C149" s="50" t="s">
        <v>323</v>
      </c>
      <c r="D149" s="54">
        <f>(4.6*2.9+2.2*1.1+1.6*0.6+3.2*2.3+2.75*2.35+2.75*2.35+2*1.2+1.75*1.3+1.05*1.2)*10.764</f>
        <v>462.2061599999999</v>
      </c>
      <c r="E149" s="54">
        <f>(1.5*2.9+1.2*2.3+3.2+2.75+1.9*2.5)*10.764</f>
        <v>191.70683999999997</v>
      </c>
      <c r="F149" s="50">
        <f t="shared" si="10"/>
        <v>653.9129999999999</v>
      </c>
      <c r="G149" s="50">
        <v>0</v>
      </c>
      <c r="H149" s="50">
        <f t="shared" si="11"/>
        <v>948.17384999999979</v>
      </c>
      <c r="I149" s="31"/>
      <c r="L149" s="77"/>
      <c r="M149" s="77"/>
      <c r="N149" s="31"/>
    </row>
    <row r="150" spans="1:20" s="66" customFormat="1" x14ac:dyDescent="0.25">
      <c r="A150" s="86" t="s">
        <v>342</v>
      </c>
      <c r="B150" s="87"/>
      <c r="C150" s="87"/>
      <c r="D150" s="87"/>
      <c r="E150" s="87"/>
      <c r="F150" s="87"/>
      <c r="G150" s="87"/>
      <c r="H150" s="88"/>
      <c r="J150" s="31"/>
    </row>
    <row r="151" spans="1:20" s="66" customFormat="1" ht="15.75" customHeight="1" x14ac:dyDescent="0.25">
      <c r="A151" s="78">
        <v>1</v>
      </c>
      <c r="B151" s="79"/>
      <c r="C151" s="68" t="s">
        <v>320</v>
      </c>
      <c r="D151" s="59">
        <f>(2.75*4.5+2.15*2.6+2.75*2.05+2.3*2.05+1.2*2.05+1.2*2.25+0.9*3.5)*10.764</f>
        <v>394.25840999999997</v>
      </c>
      <c r="E151" s="59">
        <f>((2.3+2.75))*10.764</f>
        <v>54.358199999999997</v>
      </c>
      <c r="F151" s="68">
        <f t="shared" ref="F151:F158" si="14">D151+E151</f>
        <v>448.61660999999998</v>
      </c>
      <c r="G151" s="68">
        <v>0</v>
      </c>
      <c r="H151" s="68">
        <f t="shared" ref="H151:H158" si="15">F151*(($H$121)+1)+(IF(G151&lt;101,G151,IF(G151&lt;201,G151/2,IF(G151&lt;=301,G151/3,G151/4))))</f>
        <v>650.49408449999999</v>
      </c>
      <c r="I151" s="31"/>
      <c r="J151" s="66">
        <f>7200*H151</f>
        <v>4683557.4084000001</v>
      </c>
      <c r="L151" s="77"/>
      <c r="M151" s="77"/>
      <c r="N151" s="31"/>
      <c r="T151" s="16"/>
    </row>
    <row r="152" spans="1:20" s="66" customFormat="1" ht="15.75" customHeight="1" x14ac:dyDescent="0.25">
      <c r="A152" s="78">
        <f t="shared" ref="A152:A158" si="16">A151+1</f>
        <v>2</v>
      </c>
      <c r="B152" s="79"/>
      <c r="C152" s="50" t="s">
        <v>321</v>
      </c>
      <c r="D152" s="54">
        <f>(2.75*4.5+2.3*2.6+2.75*2.35+2.75*2.05+2.3*2.05+1.2*2.05+1.2*2.05+0.9*5.3)*10.764</f>
        <v>482.87303999999995</v>
      </c>
      <c r="E152" s="54">
        <f>(2.3+2.75+2.75)*10.764</f>
        <v>83.959199999999996</v>
      </c>
      <c r="F152" s="50">
        <f t="shared" si="14"/>
        <v>566.83223999999996</v>
      </c>
      <c r="G152" s="50">
        <v>0</v>
      </c>
      <c r="H152" s="50">
        <f t="shared" si="15"/>
        <v>821.90674799999988</v>
      </c>
      <c r="I152" s="31"/>
      <c r="J152" s="66">
        <f t="shared" ref="J152:J155" si="17">7200*H152</f>
        <v>5917728.5855999989</v>
      </c>
      <c r="L152" s="77"/>
      <c r="M152" s="77"/>
      <c r="N152" s="31"/>
    </row>
    <row r="153" spans="1:20" s="66" customFormat="1" ht="15.75" customHeight="1" x14ac:dyDescent="0.25">
      <c r="A153" s="78">
        <f t="shared" si="16"/>
        <v>3</v>
      </c>
      <c r="B153" s="79"/>
      <c r="C153" s="50" t="s">
        <v>322</v>
      </c>
      <c r="D153" s="54">
        <f>(3.2*2.9+0.55*1.6+2.25*2.3+2.75*2.35+1.85*1.2+1.1*1.2+1.35*0.9)*10.764</f>
        <v>285.81110999999999</v>
      </c>
      <c r="E153" s="54">
        <f>(1.1*(2.9+2.3)+2.75)*10.764</f>
        <v>91.171079999999989</v>
      </c>
      <c r="F153" s="50">
        <f t="shared" si="14"/>
        <v>376.98218999999995</v>
      </c>
      <c r="G153" s="50">
        <v>0</v>
      </c>
      <c r="H153" s="50">
        <f t="shared" si="15"/>
        <v>546.62417549999986</v>
      </c>
      <c r="I153" s="31"/>
      <c r="J153" s="66">
        <f t="shared" si="17"/>
        <v>3935694.0635999991</v>
      </c>
      <c r="L153" s="77"/>
      <c r="M153" s="77"/>
      <c r="N153" s="31"/>
    </row>
    <row r="154" spans="1:20" s="66" customFormat="1" ht="15.75" customHeight="1" x14ac:dyDescent="0.25">
      <c r="A154" s="78">
        <f t="shared" si="16"/>
        <v>4</v>
      </c>
      <c r="B154" s="79"/>
      <c r="C154" s="50" t="s">
        <v>320</v>
      </c>
      <c r="D154" s="54">
        <f>(3.2*2.9+2.25*2.55+2*2+2.3*2.25+1.65*1.4+1.7*1.2+0.9*2.2+1.2*0.9)*10.764</f>
        <v>340.16931</v>
      </c>
      <c r="E154" s="54">
        <f>(1*(1.1*2.9+2.55+4+2.3))*10.764</f>
        <v>129.59855999999999</v>
      </c>
      <c r="F154" s="50">
        <f t="shared" si="14"/>
        <v>469.76787000000002</v>
      </c>
      <c r="G154" s="50">
        <v>0</v>
      </c>
      <c r="H154" s="50">
        <f t="shared" si="15"/>
        <v>681.16341150000005</v>
      </c>
      <c r="I154" s="31"/>
      <c r="J154" s="66">
        <f t="shared" si="17"/>
        <v>4904376.5628000004</v>
      </c>
      <c r="L154" s="77"/>
      <c r="M154" s="77"/>
      <c r="N154" s="31"/>
    </row>
    <row r="155" spans="1:20" s="66" customFormat="1" ht="15.75" customHeight="1" x14ac:dyDescent="0.25">
      <c r="A155" s="78">
        <f t="shared" si="16"/>
        <v>5</v>
      </c>
      <c r="B155" s="79"/>
      <c r="C155" s="50" t="s">
        <v>321</v>
      </c>
      <c r="D155" s="54">
        <f>(2.9*4.6+2.3*2.05+2.3*2.05+2.9*3.35+2.75*2.05+2.15*1.2+2.15*1.2+0.9*5.65)*10.764</f>
        <v>520.62776999999994</v>
      </c>
      <c r="E155" s="54">
        <f>((2.3+2.75)+1.2*2.9+1.5*2.9)*10.764</f>
        <v>138.64031999999997</v>
      </c>
      <c r="F155" s="50">
        <f t="shared" si="14"/>
        <v>659.26808999999992</v>
      </c>
      <c r="G155" s="50">
        <v>0</v>
      </c>
      <c r="H155" s="50">
        <f t="shared" si="15"/>
        <v>955.93873049999979</v>
      </c>
      <c r="I155" s="31"/>
      <c r="J155" s="66">
        <f t="shared" si="17"/>
        <v>6882758.8595999982</v>
      </c>
      <c r="L155" s="77"/>
      <c r="M155" s="77"/>
      <c r="N155" s="31"/>
    </row>
    <row r="156" spans="1:20" s="66" customFormat="1" ht="15.75" customHeight="1" x14ac:dyDescent="0.25">
      <c r="A156" s="78">
        <f t="shared" si="16"/>
        <v>6</v>
      </c>
      <c r="B156" s="79"/>
      <c r="C156" s="50" t="s">
        <v>321</v>
      </c>
      <c r="D156" s="54">
        <f>(2.9*4.6+2.3*2.05+2.3*2.05+2.9*3.35+2.75*2.05+2.15*1.2+2.15*1.2+0.9*5.65)*10.764</f>
        <v>520.62776999999994</v>
      </c>
      <c r="E156" s="54">
        <f>((2.3+2.75)+1.2*2.9+1.5*2.9)*10.764</f>
        <v>138.64031999999997</v>
      </c>
      <c r="F156" s="50">
        <f t="shared" si="14"/>
        <v>659.26808999999992</v>
      </c>
      <c r="G156" s="50">
        <v>0</v>
      </c>
      <c r="H156" s="50">
        <f t="shared" si="15"/>
        <v>955.93873049999979</v>
      </c>
      <c r="I156" s="31"/>
      <c r="L156" s="77"/>
      <c r="M156" s="77"/>
      <c r="N156" s="31"/>
    </row>
    <row r="157" spans="1:20" s="66" customFormat="1" ht="15.75" customHeight="1" x14ac:dyDescent="0.25">
      <c r="A157" s="78">
        <f t="shared" si="16"/>
        <v>7</v>
      </c>
      <c r="B157" s="79"/>
      <c r="C157" s="50" t="s">
        <v>320</v>
      </c>
      <c r="D157" s="54">
        <f>(4.6*2.9+2.3*2.25+2.05*2.75+2*2.75+1.65*1.4+1.7*1.2+0.9*2.85+0.9*3.5)*10.764</f>
        <v>427.51916999999992</v>
      </c>
      <c r="E157" s="54">
        <f>(1.5*2.9+(2.75+2.05+2.3))*10.764</f>
        <v>123.24779999999998</v>
      </c>
      <c r="F157" s="50">
        <f t="shared" si="14"/>
        <v>550.7669699999999</v>
      </c>
      <c r="G157" s="50">
        <v>0</v>
      </c>
      <c r="H157" s="50">
        <f t="shared" si="15"/>
        <v>798.61210649999987</v>
      </c>
      <c r="I157" s="31"/>
      <c r="L157" s="77"/>
      <c r="M157" s="77"/>
      <c r="N157" s="31"/>
    </row>
    <row r="158" spans="1:20" s="66" customFormat="1" ht="15.75" customHeight="1" x14ac:dyDescent="0.25">
      <c r="A158" s="78">
        <f t="shared" si="16"/>
        <v>8</v>
      </c>
      <c r="B158" s="79"/>
      <c r="C158" s="50" t="s">
        <v>323</v>
      </c>
      <c r="D158" s="54">
        <f>(4.6*2.9+2.2*1.1+1.6*0.6+3.2*2.3+2.75*2.35+2.75*2.35+2*1.2+1.75*1.3+1.05*1.2)*10.764</f>
        <v>462.2061599999999</v>
      </c>
      <c r="E158" s="54">
        <f>(1.5*2.9+1.2*2.3+3.2+2.75+1.9*2.5)*10.764</f>
        <v>191.70683999999997</v>
      </c>
      <c r="F158" s="50">
        <f t="shared" si="14"/>
        <v>653.9129999999999</v>
      </c>
      <c r="G158" s="50">
        <v>0</v>
      </c>
      <c r="H158" s="50">
        <f t="shared" si="15"/>
        <v>948.17384999999979</v>
      </c>
      <c r="I158" s="31"/>
      <c r="L158" s="77"/>
      <c r="M158" s="77"/>
      <c r="N158" s="31"/>
    </row>
    <row r="159" spans="1:20" s="32" customFormat="1" hidden="1" x14ac:dyDescent="0.25">
      <c r="A159" s="82" t="s">
        <v>116</v>
      </c>
      <c r="B159" s="83"/>
      <c r="C159" s="83"/>
      <c r="D159" s="83"/>
      <c r="E159" s="83"/>
      <c r="F159" s="83"/>
      <c r="G159" s="83"/>
      <c r="H159" s="84"/>
      <c r="J159" s="31"/>
    </row>
    <row r="160" spans="1:20" s="32" customFormat="1" ht="15.75" hidden="1" customHeight="1" x14ac:dyDescent="0.25">
      <c r="A160" s="80">
        <v>1</v>
      </c>
      <c r="B160" s="81"/>
      <c r="C160" s="57"/>
      <c r="D160" s="57"/>
      <c r="E160" s="57">
        <v>0</v>
      </c>
      <c r="F160" s="57">
        <f>D160+E160</f>
        <v>0</v>
      </c>
      <c r="G160" s="57">
        <v>0</v>
      </c>
      <c r="H160" s="57">
        <f>F160*(($H$121)+1)+(IF(G160&lt;101,G160,IF(G160&lt;201,G160/2,IF(G160&lt;=301,G160/3,G160/4))))</f>
        <v>0</v>
      </c>
      <c r="I160" s="31"/>
      <c r="L160" s="77"/>
      <c r="M160" s="77"/>
      <c r="N160" s="31"/>
      <c r="T160" s="16"/>
    </row>
    <row r="161" spans="1:14" s="32" customFormat="1" ht="15.75" hidden="1" customHeight="1" x14ac:dyDescent="0.25">
      <c r="A161" s="80">
        <f>A160+1</f>
        <v>2</v>
      </c>
      <c r="B161" s="81"/>
      <c r="C161" s="57"/>
      <c r="D161" s="57"/>
      <c r="E161" s="57">
        <v>0</v>
      </c>
      <c r="F161" s="57">
        <f>D161+E161</f>
        <v>0</v>
      </c>
      <c r="G161" s="57">
        <v>0</v>
      </c>
      <c r="H161" s="57">
        <f>F161*(($H$121)+1)+(IF(G161&lt;101,G161,IF(G161&lt;201,G161/2,IF(G161&lt;=301,G161/3,G161/4))))</f>
        <v>0</v>
      </c>
      <c r="I161" s="31"/>
      <c r="L161" s="77"/>
      <c r="M161" s="77"/>
      <c r="N161" s="31"/>
    </row>
    <row r="162" spans="1:14" s="32" customFormat="1" ht="15.75" hidden="1" customHeight="1" x14ac:dyDescent="0.25">
      <c r="A162" s="80">
        <f>A161+1</f>
        <v>3</v>
      </c>
      <c r="B162" s="81"/>
      <c r="C162" s="57"/>
      <c r="D162" s="57"/>
      <c r="E162" s="57">
        <v>0</v>
      </c>
      <c r="F162" s="57">
        <f>D162+E162</f>
        <v>0</v>
      </c>
      <c r="G162" s="57">
        <v>0</v>
      </c>
      <c r="H162" s="57">
        <f>F162*(($H$121)+1)+(IF(G162&lt;101,G162,IF(G162&lt;201,G162/2,IF(G162&lt;=301,G162/3,G162/4))))</f>
        <v>0</v>
      </c>
      <c r="I162" s="31"/>
      <c r="L162" s="77"/>
      <c r="M162" s="77"/>
      <c r="N162" s="31"/>
    </row>
    <row r="163" spans="1:14" s="32" customFormat="1" ht="15.75" hidden="1" customHeight="1" x14ac:dyDescent="0.25">
      <c r="A163" s="80">
        <f>A162+1</f>
        <v>4</v>
      </c>
      <c r="B163" s="81"/>
      <c r="C163" s="57"/>
      <c r="D163" s="57"/>
      <c r="E163" s="57">
        <v>0</v>
      </c>
      <c r="F163" s="57">
        <f>D163+E163</f>
        <v>0</v>
      </c>
      <c r="G163" s="57">
        <v>0</v>
      </c>
      <c r="H163" s="57">
        <f>F163*(($H$121)+1)+(IF(G163&lt;101,G163,IF(G163&lt;201,G163/2,IF(G163&lt;=301,G163/3,G163/4))))</f>
        <v>0</v>
      </c>
      <c r="I163" s="31"/>
      <c r="L163" s="77"/>
      <c r="M163" s="77"/>
      <c r="N163" s="31"/>
    </row>
    <row r="164" spans="1:14" s="32" customFormat="1" hidden="1" x14ac:dyDescent="0.25">
      <c r="A164" s="142" t="s">
        <v>117</v>
      </c>
      <c r="B164" s="142"/>
      <c r="C164" s="142"/>
      <c r="D164" s="142"/>
      <c r="E164" s="142"/>
      <c r="F164" s="142"/>
      <c r="G164" s="142"/>
      <c r="H164" s="142"/>
      <c r="I164" s="31"/>
      <c r="L164" s="77"/>
      <c r="M164" s="77"/>
    </row>
    <row r="165" spans="1:14" s="32" customFormat="1" hidden="1" x14ac:dyDescent="0.25">
      <c r="A165" s="131">
        <f>LEFT(A164,SUM(LEN(A164)-LEN(SUBSTITUTE(A164,{"0","1","2","3","4","5","6","7","8","9"},""))))*100+1</f>
        <v>201</v>
      </c>
      <c r="B165" s="131"/>
      <c r="C165" s="57"/>
      <c r="D165" s="57"/>
      <c r="E165" s="57">
        <v>0</v>
      </c>
      <c r="F165" s="57">
        <f>D165+E165</f>
        <v>0</v>
      </c>
      <c r="G165" s="57">
        <v>0</v>
      </c>
      <c r="H165" s="57">
        <f>F165*(($H$121)+1)+(IF(G165&lt;101,G165,IF(G165&lt;201,G165/2,IF(G165&lt;=301,G165/3,G165/4))))</f>
        <v>0</v>
      </c>
      <c r="I165" s="31"/>
      <c r="N165" s="31"/>
    </row>
    <row r="166" spans="1:14" s="32" customFormat="1" hidden="1" x14ac:dyDescent="0.25">
      <c r="A166" s="131">
        <f>A165+1</f>
        <v>202</v>
      </c>
      <c r="B166" s="131"/>
      <c r="C166" s="57"/>
      <c r="D166" s="57"/>
      <c r="E166" s="57">
        <v>0</v>
      </c>
      <c r="F166" s="57">
        <f>D166+E166</f>
        <v>0</v>
      </c>
      <c r="G166" s="57">
        <v>0</v>
      </c>
      <c r="H166" s="57">
        <f>F166*(($H$121)+1)+(IF(G166&lt;101,G166,IF(G166&lt;201,G166/2,IF(G166&lt;=301,G166/3,G166/4))))</f>
        <v>0</v>
      </c>
      <c r="I166" s="31"/>
      <c r="N166" s="31"/>
    </row>
    <row r="167" spans="1:14" s="32" customFormat="1" hidden="1" x14ac:dyDescent="0.25">
      <c r="A167" s="131">
        <f>A166+1</f>
        <v>203</v>
      </c>
      <c r="B167" s="131"/>
      <c r="C167" s="57"/>
      <c r="D167" s="57"/>
      <c r="E167" s="57">
        <v>0</v>
      </c>
      <c r="F167" s="57">
        <f>D167+E167</f>
        <v>0</v>
      </c>
      <c r="G167" s="57">
        <v>0</v>
      </c>
      <c r="H167" s="57">
        <f>F167*(($H$121)+1)+(IF(G167&lt;101,G167,IF(G167&lt;201,G167/2,IF(G167&lt;=301,G167/3,G167/4))))</f>
        <v>0</v>
      </c>
      <c r="I167" s="31"/>
      <c r="N167" s="31"/>
    </row>
    <row r="168" spans="1:14" s="32" customFormat="1" hidden="1" x14ac:dyDescent="0.25">
      <c r="A168" s="131">
        <f>A167+1</f>
        <v>204</v>
      </c>
      <c r="B168" s="131"/>
      <c r="C168" s="57"/>
      <c r="D168" s="57"/>
      <c r="E168" s="57">
        <v>0</v>
      </c>
      <c r="F168" s="57">
        <f>D168+E168</f>
        <v>0</v>
      </c>
      <c r="G168" s="57">
        <v>0</v>
      </c>
      <c r="H168" s="57">
        <f>F168*(($H$121)+1)+(IF(G168&lt;101,G168,IF(G168&lt;201,G168/2,IF(G168&lt;=301,G168/3,G168/4))))</f>
        <v>0</v>
      </c>
      <c r="I168" s="31"/>
      <c r="N168" s="31"/>
    </row>
    <row r="169" spans="1:14" s="32" customFormat="1" hidden="1" x14ac:dyDescent="0.25">
      <c r="A169" s="131">
        <f>A168+1</f>
        <v>205</v>
      </c>
      <c r="B169" s="131"/>
      <c r="C169" s="57"/>
      <c r="D169" s="57"/>
      <c r="E169" s="57">
        <v>0</v>
      </c>
      <c r="F169" s="57">
        <f>D169+E169</f>
        <v>0</v>
      </c>
      <c r="G169" s="57">
        <v>0</v>
      </c>
      <c r="H169" s="57">
        <f>F169*(($H$121)+1)+(IF(G169&lt;101,G169,IF(G169&lt;201,G169/2,IF(G169&lt;=301,G169/3,G169/4))))</f>
        <v>0</v>
      </c>
      <c r="I169" s="31"/>
      <c r="N169" s="31"/>
    </row>
    <row r="170" spans="1:14" s="32" customFormat="1" ht="15.75" hidden="1" customHeight="1" x14ac:dyDescent="0.25">
      <c r="A170" s="82" t="s">
        <v>149</v>
      </c>
      <c r="B170" s="83"/>
      <c r="C170" s="83"/>
      <c r="D170" s="83"/>
      <c r="E170" s="83"/>
      <c r="F170" s="83"/>
      <c r="G170" s="83"/>
      <c r="H170" s="84"/>
      <c r="I170" s="31"/>
    </row>
    <row r="171" spans="1:14" s="32" customFormat="1" ht="15.75" hidden="1" customHeight="1" x14ac:dyDescent="0.25">
      <c r="A171" s="80"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10^ROW(INDIRECT("1:"&amp;LEN((LEFT(A170,SUM(LEN(A170)-LEN(SUBSTITUTE(A170,{"0","1","2"},""))))))))/10))*100+1&amp;""&amp;" ,..,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301 ,.., 1501</v>
      </c>
      <c r="B171" s="81"/>
      <c r="C171" s="57"/>
      <c r="D171" s="57"/>
      <c r="E171" s="57">
        <v>0</v>
      </c>
      <c r="F171" s="57">
        <f>D171+E171</f>
        <v>0</v>
      </c>
      <c r="G171" s="57">
        <v>0</v>
      </c>
      <c r="H171" s="57">
        <f>F171*(($H$121)+1)+(IF(G171&lt;101,G171,IF(G171&lt;201,G171/2,IF(G171&lt;=301,G171/3,G171/4))))</f>
        <v>0</v>
      </c>
      <c r="I171" s="31"/>
    </row>
    <row r="172" spans="1:14" s="32" customFormat="1" ht="15.75" hidden="1" customHeight="1" x14ac:dyDescent="0.25">
      <c r="A172" s="80"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302 ,.., 1502</v>
      </c>
      <c r="B172" s="81"/>
      <c r="C172" s="57"/>
      <c r="D172" s="57"/>
      <c r="E172" s="57">
        <v>0</v>
      </c>
      <c r="F172" s="57">
        <f>D172+E172</f>
        <v>0</v>
      </c>
      <c r="G172" s="57">
        <v>0</v>
      </c>
      <c r="H172" s="57">
        <f>F172*(($H$121)+1)+(IF(G172&lt;101,G172,IF(G172&lt;201,G172/2,IF(G172&lt;=301,G172/3,G172/4))))</f>
        <v>0</v>
      </c>
      <c r="I172" s="31"/>
    </row>
    <row r="173" spans="1:14" s="32" customFormat="1" ht="15.75" hidden="1" customHeight="1" x14ac:dyDescent="0.25">
      <c r="A173" s="80"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303 ,.., 1503</v>
      </c>
      <c r="B173" s="81"/>
      <c r="C173" s="57"/>
      <c r="D173" s="57"/>
      <c r="E173" s="57">
        <v>0</v>
      </c>
      <c r="F173" s="57">
        <f>D173+E173</f>
        <v>0</v>
      </c>
      <c r="G173" s="57">
        <v>0</v>
      </c>
      <c r="H173" s="57">
        <f>F173*(($H$121)+1)+(IF(G173&lt;101,G173,IF(G173&lt;201,G173/2,IF(G173&lt;=301,G173/3,G173/4))))</f>
        <v>0</v>
      </c>
      <c r="I173" s="31"/>
    </row>
    <row r="174" spans="1:14" s="32" customFormat="1" ht="15.75" hidden="1" customHeight="1" x14ac:dyDescent="0.25">
      <c r="A174" s="80"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304 ,.., 1504</v>
      </c>
      <c r="B174" s="81"/>
      <c r="C174" s="57"/>
      <c r="D174" s="57"/>
      <c r="E174" s="57">
        <v>0</v>
      </c>
      <c r="F174" s="57">
        <f>D174+E174</f>
        <v>0</v>
      </c>
      <c r="G174" s="57">
        <v>0</v>
      </c>
      <c r="H174" s="57">
        <f>F174*(($H$121)+1)+(IF(G174&lt;101,G174,IF(G174&lt;201,G174/2,IF(G174&lt;=301,G174/3,G174/4))))</f>
        <v>0</v>
      </c>
      <c r="I174" s="31"/>
    </row>
    <row r="175" spans="1:14" s="32" customFormat="1" ht="15.75" hidden="1" customHeight="1" x14ac:dyDescent="0.25">
      <c r="A175" s="80"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305 ,.., 1505</v>
      </c>
      <c r="B175" s="81"/>
      <c r="C175" s="57"/>
      <c r="D175" s="57"/>
      <c r="E175" s="57">
        <v>0</v>
      </c>
      <c r="F175" s="57">
        <f>D175+E175</f>
        <v>0</v>
      </c>
      <c r="G175" s="57">
        <v>0</v>
      </c>
      <c r="H175" s="57">
        <f>F175*(($H$121)+1)+(IF(G175&lt;101,G175,IF(G175&lt;201,G175/2,IF(G175&lt;=301,G175/3,G175/4))))</f>
        <v>0</v>
      </c>
      <c r="I175" s="31"/>
    </row>
    <row r="176" spans="1:14" s="32" customFormat="1" hidden="1" x14ac:dyDescent="0.25">
      <c r="A176" s="82" t="s">
        <v>143</v>
      </c>
      <c r="B176" s="83"/>
      <c r="C176" s="83"/>
      <c r="D176" s="83"/>
      <c r="E176" s="83"/>
      <c r="F176" s="83"/>
      <c r="G176" s="83"/>
      <c r="H176" s="84"/>
      <c r="I176" s="31"/>
    </row>
    <row r="177" spans="1:20" s="32" customFormat="1" ht="15.75" hidden="1" customHeight="1" x14ac:dyDescent="0.25">
      <c r="A177" s="80"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10^ROW(INDIRECT("1:"&amp;LEN((LEFT(A176,SUM(LEN(A176)-LEN(SUBSTITUTE(A176,{"0","1","2"},""))))))))/10))*100+1&amp;""&amp;" to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",LEN(A176))),LEN(A176)))))))/10))*100+1</f>
        <v>201 to 501</v>
      </c>
      <c r="B177" s="81"/>
      <c r="C177" s="57"/>
      <c r="D177" s="57"/>
      <c r="E177" s="57">
        <v>0</v>
      </c>
      <c r="F177" s="57">
        <f>D177+E177</f>
        <v>0</v>
      </c>
      <c r="G177" s="57">
        <v>0</v>
      </c>
      <c r="H177" s="57">
        <f>F177*(($H$121)+1)+(IF(G177&lt;101,G177,IF(G177&lt;201,G177/2,IF(G177&lt;=301,G177/3,G177/4))))</f>
        <v>0</v>
      </c>
      <c r="I177" s="31"/>
    </row>
    <row r="178" spans="1:20" s="32" customFormat="1" ht="15.75" hidden="1" customHeight="1" x14ac:dyDescent="0.25">
      <c r="A178" s="80"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to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202 to 502</v>
      </c>
      <c r="B178" s="81"/>
      <c r="C178" s="57"/>
      <c r="D178" s="57"/>
      <c r="E178" s="57">
        <v>0</v>
      </c>
      <c r="F178" s="57">
        <f>D178+E178</f>
        <v>0</v>
      </c>
      <c r="G178" s="57">
        <v>0</v>
      </c>
      <c r="H178" s="57">
        <f>F178*(($H$121)+1)+(IF(G178&lt;101,G178,IF(G178&lt;201,G178/2,IF(G178&lt;=301,G178/3,G178/4))))</f>
        <v>0</v>
      </c>
      <c r="I178" s="31"/>
    </row>
    <row r="179" spans="1:20" s="32" customFormat="1" ht="15.75" hidden="1" customHeight="1" x14ac:dyDescent="0.25">
      <c r="A179" s="80"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to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203 to 503</v>
      </c>
      <c r="B179" s="81"/>
      <c r="C179" s="57"/>
      <c r="D179" s="57"/>
      <c r="E179" s="57">
        <v>0</v>
      </c>
      <c r="F179" s="57">
        <f>D179+E179</f>
        <v>0</v>
      </c>
      <c r="G179" s="57">
        <v>0</v>
      </c>
      <c r="H179" s="57">
        <f>F179*(($H$121)+1)+(IF(G179&lt;101,G179,IF(G179&lt;201,G179/2,IF(G179&lt;=301,G179/3,G179/4))))</f>
        <v>0</v>
      </c>
      <c r="I179" s="31"/>
    </row>
    <row r="180" spans="1:20" s="32" customFormat="1" ht="15.75" hidden="1" customHeight="1" x14ac:dyDescent="0.25">
      <c r="A180" s="80"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to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204 to 504</v>
      </c>
      <c r="B180" s="81"/>
      <c r="C180" s="57"/>
      <c r="D180" s="57"/>
      <c r="E180" s="57">
        <v>0</v>
      </c>
      <c r="F180" s="57">
        <f>D180+E180</f>
        <v>0</v>
      </c>
      <c r="G180" s="57">
        <v>0</v>
      </c>
      <c r="H180" s="57">
        <f>F180*(($H$121)+1)+(IF(G180&lt;101,G180,IF(G180&lt;201,G180/2,IF(G180&lt;=301,G180/3,G180/4))))</f>
        <v>0</v>
      </c>
      <c r="I180" s="31"/>
    </row>
    <row r="181" spans="1:20" s="32" customFormat="1" ht="15.75" hidden="1" customHeight="1" x14ac:dyDescent="0.25">
      <c r="A181" s="80"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to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205 to 505</v>
      </c>
      <c r="B181" s="81"/>
      <c r="C181" s="57"/>
      <c r="D181" s="57"/>
      <c r="E181" s="57">
        <v>0</v>
      </c>
      <c r="F181" s="57">
        <f>D181+E181</f>
        <v>0</v>
      </c>
      <c r="G181" s="57">
        <v>0</v>
      </c>
      <c r="H181" s="57">
        <f>F181*(($H$121)+1)+(IF(G181&lt;101,G181,IF(G181&lt;201,G181/2,IF(G181&lt;=301,G181/3,G181/4))))</f>
        <v>0</v>
      </c>
      <c r="I181" s="31"/>
    </row>
    <row r="182" spans="1:20" s="32" customFormat="1" hidden="1" x14ac:dyDescent="0.25">
      <c r="A182" s="82" t="s">
        <v>144</v>
      </c>
      <c r="B182" s="83"/>
      <c r="C182" s="83"/>
      <c r="D182" s="83"/>
      <c r="E182" s="83"/>
      <c r="F182" s="83"/>
      <c r="G182" s="83"/>
      <c r="H182" s="84"/>
      <c r="I182" s="31"/>
    </row>
    <row r="183" spans="1:20" s="32" customFormat="1" ht="15.75" hidden="1" customHeight="1" x14ac:dyDescent="0.25">
      <c r="A183" s="80"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10^ROW(INDIRECT("1:"&amp;LEN((LEFT(A182,SUM(LEN(A182)-LEN(SUBSTITUTE(A182,{"0","1","2"},""))))))))/10))*100+1&amp;""&amp;" &amp;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201 &amp; 501</v>
      </c>
      <c r="B183" s="81"/>
      <c r="C183" s="57"/>
      <c r="D183" s="57"/>
      <c r="E183" s="57">
        <v>0</v>
      </c>
      <c r="F183" s="57">
        <f>D183+E183</f>
        <v>0</v>
      </c>
      <c r="G183" s="57">
        <v>0</v>
      </c>
      <c r="H183" s="57">
        <f>F183*(($H$121)+1)+(IF(G183&lt;101,G183,IF(G183&lt;201,G183/2,IF(G183&lt;=301,G183/3,G183/4))))</f>
        <v>0</v>
      </c>
      <c r="I183" s="31"/>
    </row>
    <row r="184" spans="1:20" s="32" customFormat="1" ht="15.75" hidden="1" customHeight="1" x14ac:dyDescent="0.25">
      <c r="A184" s="80"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202 &amp; 502</v>
      </c>
      <c r="B184" s="81"/>
      <c r="C184" s="57"/>
      <c r="D184" s="57"/>
      <c r="E184" s="57">
        <v>0</v>
      </c>
      <c r="F184" s="57">
        <f>D184+E184</f>
        <v>0</v>
      </c>
      <c r="G184" s="57">
        <v>0</v>
      </c>
      <c r="H184" s="57">
        <f>F184*(($H$121)+1)+(IF(G184&lt;101,G184,IF(G184&lt;201,G184/2,IF(G184&lt;=301,G184/3,G184/4))))</f>
        <v>0</v>
      </c>
      <c r="I184" s="31"/>
    </row>
    <row r="185" spans="1:20" s="32" customFormat="1" ht="15.75" hidden="1" customHeight="1" x14ac:dyDescent="0.25">
      <c r="A185" s="80"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&amp;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203 &amp; 503</v>
      </c>
      <c r="B185" s="81"/>
      <c r="C185" s="57"/>
      <c r="D185" s="57"/>
      <c r="E185" s="57">
        <v>0</v>
      </c>
      <c r="F185" s="57">
        <f>D185+E185</f>
        <v>0</v>
      </c>
      <c r="G185" s="57">
        <v>0</v>
      </c>
      <c r="H185" s="57">
        <f>F185*(($H$121)+1)+(IF(G185&lt;101,G185,IF(G185&lt;201,G185/2,IF(G185&lt;=301,G185/3,G185/4))))</f>
        <v>0</v>
      </c>
      <c r="I185" s="31"/>
    </row>
    <row r="186" spans="1:20" s="32" customFormat="1" ht="15.75" hidden="1" customHeight="1" x14ac:dyDescent="0.25">
      <c r="A186" s="80"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&amp;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204 &amp; 504</v>
      </c>
      <c r="B186" s="81"/>
      <c r="C186" s="57"/>
      <c r="D186" s="57"/>
      <c r="E186" s="57">
        <v>0</v>
      </c>
      <c r="F186" s="57">
        <f>D186+E186</f>
        <v>0</v>
      </c>
      <c r="G186" s="57">
        <v>0</v>
      </c>
      <c r="H186" s="57">
        <f>F186*(($H$121)+1)+(IF(G186&lt;101,G186,IF(G186&lt;201,G186/2,IF(G186&lt;=301,G186/3,G186/4))))</f>
        <v>0</v>
      </c>
      <c r="I186" s="31"/>
    </row>
    <row r="187" spans="1:20" s="32" customFormat="1" ht="15.75" hidden="1" customHeight="1" x14ac:dyDescent="0.25">
      <c r="A187" s="80"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&amp;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205 &amp; 505</v>
      </c>
      <c r="B187" s="81"/>
      <c r="C187" s="57"/>
      <c r="D187" s="57"/>
      <c r="E187" s="57">
        <v>0</v>
      </c>
      <c r="F187" s="57">
        <f>D187+E187</f>
        <v>0</v>
      </c>
      <c r="G187" s="57">
        <v>0</v>
      </c>
      <c r="H187" s="57">
        <f>F187*(($H$121)+1)+(IF(G187&lt;101,G187,IF(G187&lt;201,G187/2,IF(G187&lt;=301,G187/3,G187/4))))</f>
        <v>0</v>
      </c>
      <c r="I187" s="31"/>
    </row>
    <row r="188" spans="1:20" s="30" customFormat="1" x14ac:dyDescent="0.25">
      <c r="A188" s="185" t="s">
        <v>65</v>
      </c>
      <c r="B188" s="185"/>
      <c r="C188" s="185"/>
      <c r="D188" s="185"/>
      <c r="E188" s="185"/>
      <c r="F188" s="185"/>
      <c r="G188" s="185"/>
      <c r="H188" s="185"/>
      <c r="T188" s="32"/>
    </row>
    <row r="189" spans="1:20" s="30" customFormat="1" ht="31.5" customHeight="1" x14ac:dyDescent="0.25">
      <c r="A189" s="60" t="s">
        <v>153</v>
      </c>
      <c r="B189" s="74" t="s">
        <v>349</v>
      </c>
      <c r="C189" s="75"/>
      <c r="D189" s="75"/>
      <c r="E189" s="75"/>
      <c r="F189" s="75"/>
      <c r="G189" s="75"/>
      <c r="H189" s="76"/>
      <c r="T189" s="32"/>
    </row>
    <row r="190" spans="1:20" s="30" customFormat="1" x14ac:dyDescent="0.25">
      <c r="A190" s="60" t="s">
        <v>153</v>
      </c>
      <c r="B190" s="74" t="str">
        <f>(IF(H120="Saleable area Loading :","We have considered Saleable area of Flats as per our Calculation.","We considered Saleable area of Flat as per Builder area Sheet."))</f>
        <v>We have considered Saleable area of Flats as per our Calculation.</v>
      </c>
      <c r="C190" s="75"/>
      <c r="D190" s="75"/>
      <c r="E190" s="75"/>
      <c r="F190" s="75"/>
      <c r="G190" s="75"/>
      <c r="H190" s="76"/>
      <c r="T190" s="32"/>
    </row>
    <row r="191" spans="1:20" s="30" customFormat="1" hidden="1" x14ac:dyDescent="0.25">
      <c r="A191" s="60" t="s">
        <v>153</v>
      </c>
      <c r="B191" s="74" t="str">
        <f>(IF(H112="Saleable area Loading :","We have considered Saleable area of Commercial as per our Calculation.","We considered Saleable area of Commercial as per Builder area Sheet."))</f>
        <v>We have considered Saleable area of Commercial as per our Calculation.</v>
      </c>
      <c r="C191" s="75"/>
      <c r="D191" s="75"/>
      <c r="E191" s="75"/>
      <c r="F191" s="75"/>
      <c r="G191" s="75"/>
      <c r="H191" s="76"/>
    </row>
    <row r="192" spans="1:20" s="30" customFormat="1" x14ac:dyDescent="0.25">
      <c r="A192" s="60" t="s">
        <v>153</v>
      </c>
      <c r="B192" s="74" t="s">
        <v>120</v>
      </c>
      <c r="C192" s="75"/>
      <c r="D192" s="75"/>
      <c r="E192" s="75"/>
      <c r="F192" s="75"/>
      <c r="G192" s="75"/>
      <c r="H192" s="76"/>
    </row>
    <row r="193" spans="1:20" s="30" customFormat="1" x14ac:dyDescent="0.25">
      <c r="A193" s="60" t="s">
        <v>153</v>
      </c>
      <c r="B193" s="74" t="s">
        <v>325</v>
      </c>
      <c r="C193" s="75"/>
      <c r="D193" s="75"/>
      <c r="E193" s="75"/>
      <c r="F193" s="75"/>
      <c r="G193" s="75"/>
      <c r="H193" s="76"/>
    </row>
    <row r="194" spans="1:20" s="30" customFormat="1" x14ac:dyDescent="0.25">
      <c r="A194" s="60" t="s">
        <v>153</v>
      </c>
      <c r="B194" s="74" t="s">
        <v>152</v>
      </c>
      <c r="C194" s="75"/>
      <c r="D194" s="75"/>
      <c r="E194" s="75"/>
      <c r="F194" s="75"/>
      <c r="G194" s="75"/>
      <c r="H194" s="76"/>
    </row>
    <row r="195" spans="1:20" s="30" customFormat="1" x14ac:dyDescent="0.25">
      <c r="A195" s="60" t="s">
        <v>153</v>
      </c>
      <c r="B195" s="74" t="s">
        <v>121</v>
      </c>
      <c r="C195" s="75"/>
      <c r="D195" s="75"/>
      <c r="E195" s="75"/>
      <c r="F195" s="75"/>
      <c r="G195" s="75"/>
      <c r="H195" s="76"/>
    </row>
    <row r="196" spans="1:20" s="30" customFormat="1" ht="34.5" customHeight="1" x14ac:dyDescent="0.25">
      <c r="A196" s="60" t="s">
        <v>153</v>
      </c>
      <c r="B196" s="74" t="s">
        <v>154</v>
      </c>
      <c r="C196" s="75"/>
      <c r="D196" s="75"/>
      <c r="E196" s="75"/>
      <c r="F196" s="75"/>
      <c r="G196" s="75"/>
      <c r="H196" s="76"/>
    </row>
    <row r="197" spans="1:20" s="30" customFormat="1" x14ac:dyDescent="0.25">
      <c r="A197" s="38" t="s">
        <v>153</v>
      </c>
      <c r="B197" s="113" t="s">
        <v>122</v>
      </c>
      <c r="C197" s="114"/>
      <c r="D197" s="114"/>
      <c r="E197" s="114"/>
      <c r="F197" s="114"/>
      <c r="G197" s="114"/>
      <c r="H197" s="115"/>
    </row>
    <row r="198" spans="1:20" s="30" customFormat="1" ht="32.25" customHeight="1" x14ac:dyDescent="0.25">
      <c r="A198" s="42" t="s">
        <v>153</v>
      </c>
      <c r="B198" s="74" t="s">
        <v>329</v>
      </c>
      <c r="C198" s="75"/>
      <c r="D198" s="75"/>
      <c r="E198" s="75"/>
      <c r="F198" s="75"/>
      <c r="G198" s="75"/>
      <c r="H198" s="76"/>
    </row>
    <row r="199" spans="1:20" s="30" customFormat="1" x14ac:dyDescent="0.25">
      <c r="A199" s="67" t="s">
        <v>153</v>
      </c>
      <c r="B199" s="74" t="s">
        <v>345</v>
      </c>
      <c r="C199" s="75"/>
      <c r="D199" s="75"/>
      <c r="E199" s="75"/>
      <c r="F199" s="75"/>
      <c r="G199" s="75"/>
      <c r="H199" s="76"/>
    </row>
    <row r="200" spans="1:20" s="30" customFormat="1" x14ac:dyDescent="0.25">
      <c r="A200" s="69" t="s">
        <v>153</v>
      </c>
      <c r="B200" s="74" t="s">
        <v>346</v>
      </c>
      <c r="C200" s="75"/>
      <c r="D200" s="75"/>
      <c r="E200" s="75"/>
      <c r="F200" s="75"/>
      <c r="G200" s="75"/>
      <c r="H200" s="76"/>
    </row>
    <row r="201" spans="1:20" x14ac:dyDescent="0.25">
      <c r="A201" s="116" t="s">
        <v>58</v>
      </c>
      <c r="B201" s="116"/>
      <c r="C201" s="116"/>
      <c r="D201" s="116"/>
      <c r="E201" s="116"/>
      <c r="F201" s="116"/>
      <c r="G201" s="116"/>
      <c r="H201" s="116"/>
      <c r="T201" s="30"/>
    </row>
    <row r="202" spans="1:20" x14ac:dyDescent="0.25">
      <c r="A202" s="95" t="s">
        <v>59</v>
      </c>
      <c r="B202" s="95"/>
      <c r="C202" s="95"/>
      <c r="D202" s="95"/>
      <c r="E202" s="95"/>
      <c r="F202" s="95"/>
      <c r="G202" s="95"/>
      <c r="H202" s="95"/>
      <c r="T202" s="30"/>
    </row>
    <row r="203" spans="1:20" ht="15.75" customHeight="1" x14ac:dyDescent="0.25">
      <c r="A203" s="130" t="s">
        <v>60</v>
      </c>
      <c r="B203" s="130"/>
      <c r="C203" s="130"/>
      <c r="D203" s="130"/>
      <c r="E203" s="130"/>
      <c r="F203" s="130"/>
      <c r="G203" s="130"/>
      <c r="H203" s="130"/>
      <c r="T203" s="30"/>
    </row>
    <row r="204" spans="1:20" x14ac:dyDescent="0.25">
      <c r="A204" s="95" t="s">
        <v>61</v>
      </c>
      <c r="B204" s="95"/>
      <c r="C204" s="95"/>
      <c r="D204" s="95"/>
      <c r="E204" s="95"/>
      <c r="F204" s="95"/>
      <c r="G204" s="95"/>
      <c r="H204" s="95"/>
    </row>
    <row r="205" spans="1:20" x14ac:dyDescent="0.25">
      <c r="A205" s="99" t="s">
        <v>62</v>
      </c>
      <c r="B205" s="99"/>
      <c r="C205" s="99"/>
      <c r="D205" s="99"/>
      <c r="E205" s="99"/>
      <c r="F205" s="99"/>
      <c r="G205" s="99"/>
      <c r="H205" s="99"/>
    </row>
    <row r="206" spans="1:20" x14ac:dyDescent="0.25">
      <c r="A206" s="99" t="s">
        <v>123</v>
      </c>
      <c r="B206" s="99"/>
      <c r="C206" s="99"/>
      <c r="D206" s="99"/>
      <c r="E206" s="99"/>
      <c r="F206" s="99"/>
      <c r="G206" s="99"/>
      <c r="H206" s="99"/>
    </row>
    <row r="207" spans="1:20" ht="33.950000000000003" customHeight="1" x14ac:dyDescent="0.25">
      <c r="A207" s="117" t="s">
        <v>124</v>
      </c>
      <c r="B207" s="117"/>
      <c r="C207" s="117"/>
      <c r="D207" s="117"/>
      <c r="E207" s="117"/>
      <c r="F207" s="117"/>
      <c r="G207" s="117"/>
      <c r="H207" s="117"/>
    </row>
    <row r="208" spans="1:20" x14ac:dyDescent="0.25">
      <c r="A208" s="139" t="s">
        <v>74</v>
      </c>
      <c r="B208" s="139"/>
      <c r="C208" s="139" t="s">
        <v>348</v>
      </c>
      <c r="D208" s="139"/>
      <c r="E208" s="139" t="s">
        <v>103</v>
      </c>
      <c r="F208" s="139"/>
      <c r="G208" s="139" t="s">
        <v>347</v>
      </c>
      <c r="H208" s="139"/>
    </row>
    <row r="209" spans="1:8" x14ac:dyDescent="0.25">
      <c r="A209" s="138" t="s">
        <v>76</v>
      </c>
      <c r="B209" s="138"/>
      <c r="C209" s="138"/>
      <c r="D209" s="138"/>
      <c r="E209" s="138"/>
      <c r="F209" s="138"/>
      <c r="G209" s="138"/>
      <c r="H209" s="138"/>
    </row>
    <row r="210" spans="1:8" x14ac:dyDescent="0.25">
      <c r="A210" s="138"/>
      <c r="B210" s="138"/>
      <c r="C210" s="138"/>
      <c r="D210" s="138"/>
      <c r="E210" s="138"/>
      <c r="F210" s="138"/>
      <c r="G210" s="138"/>
      <c r="H210" s="138"/>
    </row>
    <row r="211" spans="1:8" x14ac:dyDescent="0.25">
      <c r="A211" s="138"/>
      <c r="B211" s="138"/>
      <c r="C211" s="138"/>
      <c r="D211" s="138"/>
      <c r="E211" s="138"/>
      <c r="F211" s="138"/>
      <c r="G211" s="138"/>
      <c r="H211" s="138"/>
    </row>
    <row r="212" spans="1:8" x14ac:dyDescent="0.25">
      <c r="A212" s="138"/>
      <c r="B212" s="138"/>
      <c r="C212" s="138"/>
      <c r="D212" s="138"/>
      <c r="E212" s="138"/>
      <c r="F212" s="138"/>
      <c r="G212" s="138"/>
      <c r="H212" s="138"/>
    </row>
    <row r="213" spans="1:8" x14ac:dyDescent="0.25">
      <c r="A213" s="33" t="s">
        <v>63</v>
      </c>
      <c r="B213" s="34"/>
      <c r="C213" s="34"/>
      <c r="D213" s="33" t="str">
        <f>E9</f>
        <v>Vinayak Prerana</v>
      </c>
      <c r="F213" s="34"/>
      <c r="G213" s="34"/>
      <c r="H213" s="34"/>
    </row>
    <row r="214" spans="1:8" x14ac:dyDescent="0.25">
      <c r="A214" s="34"/>
      <c r="B214" s="34"/>
      <c r="C214" s="34"/>
      <c r="D214" s="34"/>
      <c r="E214" s="34"/>
      <c r="F214" s="34"/>
      <c r="G214" s="34"/>
      <c r="H214" s="34"/>
    </row>
    <row r="215" spans="1:8" x14ac:dyDescent="0.25">
      <c r="A215" s="34"/>
      <c r="B215" s="34"/>
      <c r="C215" s="34"/>
      <c r="D215" s="34"/>
      <c r="E215" s="34"/>
      <c r="F215" s="34"/>
      <c r="G215" s="34"/>
      <c r="H215" s="34"/>
    </row>
    <row r="216" spans="1:8" ht="15" customHeight="1" x14ac:dyDescent="0.25"/>
    <row r="256" spans="1:1" x14ac:dyDescent="0.25">
      <c r="A256" s="36" t="s">
        <v>164</v>
      </c>
    </row>
    <row r="299" spans="1:1" x14ac:dyDescent="0.25">
      <c r="A299" s="36" t="s">
        <v>64</v>
      </c>
    </row>
  </sheetData>
  <mergeCells count="383">
    <mergeCell ref="B196:H196"/>
    <mergeCell ref="A179:B179"/>
    <mergeCell ref="A168:B168"/>
    <mergeCell ref="A160:B160"/>
    <mergeCell ref="A119:H119"/>
    <mergeCell ref="A120:A121"/>
    <mergeCell ref="F120:F121"/>
    <mergeCell ref="B189:H189"/>
    <mergeCell ref="B190:H190"/>
    <mergeCell ref="B192:H192"/>
    <mergeCell ref="B193:H193"/>
    <mergeCell ref="A129:B129"/>
    <mergeCell ref="A148:B148"/>
    <mergeCell ref="A133:B133"/>
    <mergeCell ref="A138:B138"/>
    <mergeCell ref="A150:H150"/>
    <mergeCell ref="A151:B151"/>
    <mergeCell ref="A180:B180"/>
    <mergeCell ref="A181:B181"/>
    <mergeCell ref="A176:H176"/>
    <mergeCell ref="A170:H170"/>
    <mergeCell ref="A188:H188"/>
    <mergeCell ref="A92:E92"/>
    <mergeCell ref="A108:B108"/>
    <mergeCell ref="E108:F108"/>
    <mergeCell ref="A97:E97"/>
    <mergeCell ref="G108:H108"/>
    <mergeCell ref="C103:D103"/>
    <mergeCell ref="E103:F103"/>
    <mergeCell ref="G103:H103"/>
    <mergeCell ref="A104:B104"/>
    <mergeCell ref="C104:D104"/>
    <mergeCell ref="E104:F104"/>
    <mergeCell ref="G104:H104"/>
    <mergeCell ref="A49:B49"/>
    <mergeCell ref="C49:H49"/>
    <mergeCell ref="B194:H194"/>
    <mergeCell ref="F89:H89"/>
    <mergeCell ref="A89:E89"/>
    <mergeCell ref="D112:D113"/>
    <mergeCell ref="A91:E91"/>
    <mergeCell ref="A90:E90"/>
    <mergeCell ref="A87:E87"/>
    <mergeCell ref="F91:H91"/>
    <mergeCell ref="G112:G113"/>
    <mergeCell ref="A178:B178"/>
    <mergeCell ref="A79:B79"/>
    <mergeCell ref="A75:B75"/>
    <mergeCell ref="A73:B73"/>
    <mergeCell ref="C73:H73"/>
    <mergeCell ref="A81:B81"/>
    <mergeCell ref="A68:C68"/>
    <mergeCell ref="D68:H68"/>
    <mergeCell ref="C75:H75"/>
    <mergeCell ref="A78:B78"/>
    <mergeCell ref="A80:B80"/>
    <mergeCell ref="E76:F76"/>
    <mergeCell ref="A69:C69"/>
    <mergeCell ref="A45:D45"/>
    <mergeCell ref="L164:M164"/>
    <mergeCell ref="A169:B169"/>
    <mergeCell ref="A166:B166"/>
    <mergeCell ref="A167:B167"/>
    <mergeCell ref="A177:B177"/>
    <mergeCell ref="A40:B40"/>
    <mergeCell ref="C40:H40"/>
    <mergeCell ref="F112:F113"/>
    <mergeCell ref="C102:D102"/>
    <mergeCell ref="E102:F102"/>
    <mergeCell ref="B112:B113"/>
    <mergeCell ref="A112:A113"/>
    <mergeCell ref="C120:C121"/>
    <mergeCell ref="G120:G121"/>
    <mergeCell ref="L163:M163"/>
    <mergeCell ref="L160:M160"/>
    <mergeCell ref="A161:B161"/>
    <mergeCell ref="G109:H109"/>
    <mergeCell ref="L161:M161"/>
    <mergeCell ref="A162:B162"/>
    <mergeCell ref="L162:M162"/>
    <mergeCell ref="C55:H55"/>
    <mergeCell ref="A163:B163"/>
    <mergeCell ref="L118:M118"/>
    <mergeCell ref="L117:M117"/>
    <mergeCell ref="L116:M116"/>
    <mergeCell ref="L115:M115"/>
    <mergeCell ref="A84:B84"/>
    <mergeCell ref="C107:D107"/>
    <mergeCell ref="E107:F107"/>
    <mergeCell ref="G107:H107"/>
    <mergeCell ref="A88:E88"/>
    <mergeCell ref="A114:H114"/>
    <mergeCell ref="E112:E113"/>
    <mergeCell ref="F87:H87"/>
    <mergeCell ref="F92:H92"/>
    <mergeCell ref="A118:B118"/>
    <mergeCell ref="A117:B117"/>
    <mergeCell ref="A93:E93"/>
    <mergeCell ref="F93:H93"/>
    <mergeCell ref="A95:E95"/>
    <mergeCell ref="F90:H90"/>
    <mergeCell ref="A94:E94"/>
    <mergeCell ref="E106:F106"/>
    <mergeCell ref="A110:H110"/>
    <mergeCell ref="A109:B109"/>
    <mergeCell ref="C109:D109"/>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77:B77"/>
    <mergeCell ref="G76:H76"/>
    <mergeCell ref="E77:F86"/>
    <mergeCell ref="G77:H86"/>
    <mergeCell ref="A85:B85"/>
    <mergeCell ref="A86:B86"/>
    <mergeCell ref="A83:B83"/>
    <mergeCell ref="A76:B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209:H212"/>
    <mergeCell ref="A208:B208"/>
    <mergeCell ref="E208:F208"/>
    <mergeCell ref="C208:D208"/>
    <mergeCell ref="G208:H208"/>
    <mergeCell ref="A100:H100"/>
    <mergeCell ref="A98:E98"/>
    <mergeCell ref="F98:H98"/>
    <mergeCell ref="A99:E99"/>
    <mergeCell ref="F99:H99"/>
    <mergeCell ref="A164:H164"/>
    <mergeCell ref="A107:B107"/>
    <mergeCell ref="A173:B173"/>
    <mergeCell ref="A102:B102"/>
    <mergeCell ref="A204:H204"/>
    <mergeCell ref="A105:H105"/>
    <mergeCell ref="A207:H207"/>
    <mergeCell ref="A205:H205"/>
    <mergeCell ref="A201:H201"/>
    <mergeCell ref="G106:H106"/>
    <mergeCell ref="A175:B175"/>
    <mergeCell ref="C112:C113"/>
    <mergeCell ref="B120:B121"/>
    <mergeCell ref="A202:H202"/>
    <mergeCell ref="A65:C65"/>
    <mergeCell ref="D65:H65"/>
    <mergeCell ref="C51:E51"/>
    <mergeCell ref="A206:H206"/>
    <mergeCell ref="A203:H203"/>
    <mergeCell ref="A165:B165"/>
    <mergeCell ref="A106:B106"/>
    <mergeCell ref="D120:D121"/>
    <mergeCell ref="E120:E121"/>
    <mergeCell ref="F88:H88"/>
    <mergeCell ref="G102:H102"/>
    <mergeCell ref="F94:H94"/>
    <mergeCell ref="C101:D101"/>
    <mergeCell ref="C108:D108"/>
    <mergeCell ref="A159:H159"/>
    <mergeCell ref="A174:B174"/>
    <mergeCell ref="A171:B171"/>
    <mergeCell ref="A115:B115"/>
    <mergeCell ref="B198:H198"/>
    <mergeCell ref="D69:H69"/>
    <mergeCell ref="A72:C72"/>
    <mergeCell ref="D72:H72"/>
    <mergeCell ref="A70:C70"/>
    <mergeCell ref="D71:H71"/>
    <mergeCell ref="E109:F109"/>
    <mergeCell ref="B197:H197"/>
    <mergeCell ref="B195:H195"/>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A128:B128"/>
    <mergeCell ref="I15:P15"/>
    <mergeCell ref="F97:H97"/>
    <mergeCell ref="F95:H95"/>
    <mergeCell ref="A172:B172"/>
    <mergeCell ref="A111:H111"/>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C50:E50"/>
    <mergeCell ref="G50:H50"/>
    <mergeCell ref="L129:M129"/>
    <mergeCell ref="A130:B130"/>
    <mergeCell ref="L130:M130"/>
    <mergeCell ref="A131:B131"/>
    <mergeCell ref="A132:H132"/>
    <mergeCell ref="A122:H122"/>
    <mergeCell ref="A123:H123"/>
    <mergeCell ref="A124:B124"/>
    <mergeCell ref="L124:M124"/>
    <mergeCell ref="A125:B125"/>
    <mergeCell ref="L125:M125"/>
    <mergeCell ref="A126:B126"/>
    <mergeCell ref="A127:B127"/>
    <mergeCell ref="L127:M127"/>
    <mergeCell ref="L133:M133"/>
    <mergeCell ref="A134:B134"/>
    <mergeCell ref="L134:M134"/>
    <mergeCell ref="A135:B135"/>
    <mergeCell ref="L135:M135"/>
    <mergeCell ref="A136:B136"/>
    <mergeCell ref="L136:M136"/>
    <mergeCell ref="A137:B137"/>
    <mergeCell ref="L137:M137"/>
    <mergeCell ref="L138:M138"/>
    <mergeCell ref="A139:B139"/>
    <mergeCell ref="L139:M139"/>
    <mergeCell ref="A140:B140"/>
    <mergeCell ref="L140:M140"/>
    <mergeCell ref="A141:H141"/>
    <mergeCell ref="A142:B142"/>
    <mergeCell ref="L142:M142"/>
    <mergeCell ref="A149:B149"/>
    <mergeCell ref="L149:M149"/>
    <mergeCell ref="L148:M148"/>
    <mergeCell ref="A143:B143"/>
    <mergeCell ref="L143:M143"/>
    <mergeCell ref="A144:B144"/>
    <mergeCell ref="L144:M144"/>
    <mergeCell ref="A145:B145"/>
    <mergeCell ref="L145:M145"/>
    <mergeCell ref="A146:B146"/>
    <mergeCell ref="L146:M146"/>
    <mergeCell ref="A147:B147"/>
    <mergeCell ref="L147:M147"/>
    <mergeCell ref="B199:H199"/>
    <mergeCell ref="L151:M151"/>
    <mergeCell ref="A152:B152"/>
    <mergeCell ref="L152:M152"/>
    <mergeCell ref="A153:B153"/>
    <mergeCell ref="L153:M153"/>
    <mergeCell ref="B200:H200"/>
    <mergeCell ref="A154:B154"/>
    <mergeCell ref="L154:M154"/>
    <mergeCell ref="A155:B155"/>
    <mergeCell ref="L155:M155"/>
    <mergeCell ref="A156:B156"/>
    <mergeCell ref="L156:M156"/>
    <mergeCell ref="A157:B157"/>
    <mergeCell ref="L157:M157"/>
    <mergeCell ref="A158:B158"/>
    <mergeCell ref="L158:M158"/>
    <mergeCell ref="B191:H191"/>
    <mergeCell ref="A185:B185"/>
    <mergeCell ref="A182:H182"/>
    <mergeCell ref="A183:B183"/>
    <mergeCell ref="A184:B184"/>
    <mergeCell ref="A187:B187"/>
    <mergeCell ref="A186:B186"/>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2:E113">
      <formula1>"Attached Loft area,Attached Otla area,Attached Mezzanine area"</formula1>
    </dataValidation>
    <dataValidation type="list" allowBlank="1" showInputMessage="1" showErrorMessage="1" sqref="G208:H208">
      <formula1>"Gaurav Panchal,Kunal Kadam,Pranita Mhatre,Shruti Fule,Pooja Kawale,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B112:B113">
      <formula1>"Shop No. (Sale Plan),Sale / Rehab,Sale / Mhada"</formula1>
    </dataValidation>
    <dataValidation type="list" allowBlank="1" showInputMessage="1" showErrorMessage="1" sqref="B120:B12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0:E121">
      <formula1>"Fungible area,Balcony Area,Chajja Area,Cornice Area,AP Area,WS Area"</formula1>
    </dataValidation>
    <dataValidation type="list" allowBlank="1" showInputMessage="1" showErrorMessage="1" sqref="H113 H12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2" max="16383" man="1"/>
    <brk id="200" max="16383" man="1"/>
    <brk id="212" max="16383" man="1"/>
    <brk id="255" max="16383" man="1"/>
    <brk id="29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5" zoomScale="85" zoomScaleNormal="85" workbookViewId="0">
      <selection activeCell="C38" sqref="C38"/>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86" t="s">
        <v>104</v>
      </c>
      <c r="C3" s="186"/>
      <c r="D3" s="186"/>
      <c r="E3" s="186"/>
      <c r="F3" s="186"/>
      <c r="G3" s="186"/>
      <c r="H3" s="186"/>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3"/>
      <c r="C4" s="43" t="s">
        <v>11</v>
      </c>
      <c r="D4" s="44" t="s">
        <v>179</v>
      </c>
      <c r="E4" s="44" t="s">
        <v>189</v>
      </c>
      <c r="F4" s="44" t="s">
        <v>173</v>
      </c>
      <c r="G4" s="44" t="s">
        <v>194</v>
      </c>
      <c r="H4" s="44" t="s">
        <v>212</v>
      </c>
      <c r="J4" t="s">
        <v>194</v>
      </c>
      <c r="K4" t="s">
        <v>210</v>
      </c>
    </row>
    <row r="5" spans="2:11" x14ac:dyDescent="0.25">
      <c r="B5" s="43"/>
      <c r="C5" s="43"/>
      <c r="D5" s="44" t="s">
        <v>180</v>
      </c>
      <c r="E5" s="44" t="s">
        <v>187</v>
      </c>
      <c r="F5" s="44" t="s">
        <v>209</v>
      </c>
      <c r="G5" s="44" t="s">
        <v>195</v>
      </c>
      <c r="H5" s="44" t="s">
        <v>213</v>
      </c>
    </row>
    <row r="6" spans="2:11" x14ac:dyDescent="0.25">
      <c r="B6" s="43"/>
      <c r="C6" s="43"/>
      <c r="D6" s="44" t="s">
        <v>181</v>
      </c>
      <c r="E6" s="44" t="s">
        <v>188</v>
      </c>
      <c r="F6" s="44" t="s">
        <v>210</v>
      </c>
      <c r="G6" s="44" t="s">
        <v>196</v>
      </c>
      <c r="H6" s="44" t="s">
        <v>226</v>
      </c>
    </row>
    <row r="7" spans="2:11" x14ac:dyDescent="0.25">
      <c r="B7" s="43"/>
      <c r="C7" s="43"/>
      <c r="D7" s="44" t="s">
        <v>182</v>
      </c>
      <c r="E7" s="44" t="s">
        <v>190</v>
      </c>
      <c r="F7" s="44" t="s">
        <v>211</v>
      </c>
      <c r="G7" s="44" t="s">
        <v>197</v>
      </c>
      <c r="H7" s="44" t="s">
        <v>214</v>
      </c>
    </row>
    <row r="8" spans="2:11" x14ac:dyDescent="0.25">
      <c r="B8" s="43"/>
      <c r="C8" s="43"/>
      <c r="D8" s="44" t="s">
        <v>183</v>
      </c>
      <c r="E8" s="44" t="s">
        <v>191</v>
      </c>
      <c r="F8" s="44"/>
      <c r="G8" s="44" t="s">
        <v>198</v>
      </c>
      <c r="H8" s="44" t="s">
        <v>215</v>
      </c>
    </row>
    <row r="9" spans="2:11" x14ac:dyDescent="0.25">
      <c r="B9" s="43"/>
      <c r="C9" s="43"/>
      <c r="D9" s="44" t="s">
        <v>184</v>
      </c>
      <c r="E9" s="44" t="s">
        <v>189</v>
      </c>
      <c r="F9" s="44"/>
      <c r="G9" s="44" t="s">
        <v>199</v>
      </c>
      <c r="H9" s="44" t="s">
        <v>216</v>
      </c>
    </row>
    <row r="10" spans="2:11" x14ac:dyDescent="0.25">
      <c r="B10" s="43"/>
      <c r="C10" s="43"/>
      <c r="D10" s="44" t="s">
        <v>185</v>
      </c>
      <c r="E10" s="44" t="s">
        <v>192</v>
      </c>
      <c r="F10" s="44"/>
      <c r="G10" s="44" t="s">
        <v>200</v>
      </c>
      <c r="H10" s="44" t="s">
        <v>217</v>
      </c>
    </row>
    <row r="11" spans="2:11" x14ac:dyDescent="0.25">
      <c r="B11" s="43"/>
      <c r="C11" s="43"/>
      <c r="D11" s="44" t="s">
        <v>186</v>
      </c>
      <c r="E11" s="44" t="s">
        <v>193</v>
      </c>
      <c r="F11" s="44"/>
      <c r="G11" s="44" t="s">
        <v>201</v>
      </c>
      <c r="H11" s="44" t="s">
        <v>218</v>
      </c>
    </row>
    <row r="12" spans="2:11" x14ac:dyDescent="0.25">
      <c r="B12" s="43"/>
      <c r="C12" s="43"/>
      <c r="D12" s="44"/>
      <c r="E12" s="44"/>
      <c r="F12" s="44"/>
      <c r="G12" s="44" t="s">
        <v>202</v>
      </c>
      <c r="H12" s="44" t="s">
        <v>219</v>
      </c>
    </row>
    <row r="13" spans="2:11" x14ac:dyDescent="0.25">
      <c r="B13" s="43"/>
      <c r="C13" s="43"/>
      <c r="D13" s="44"/>
      <c r="E13" s="44"/>
      <c r="F13" s="44"/>
      <c r="G13" s="44" t="s">
        <v>203</v>
      </c>
      <c r="H13" s="44" t="s">
        <v>220</v>
      </c>
    </row>
    <row r="14" spans="2:11" x14ac:dyDescent="0.25">
      <c r="B14" s="43"/>
      <c r="C14" s="43"/>
      <c r="D14" s="44"/>
      <c r="E14" s="44"/>
      <c r="F14" s="44"/>
      <c r="G14" s="44" t="s">
        <v>204</v>
      </c>
      <c r="H14" s="44" t="s">
        <v>221</v>
      </c>
    </row>
    <row r="15" spans="2:11" x14ac:dyDescent="0.25">
      <c r="B15" s="43"/>
      <c r="C15" s="43"/>
      <c r="D15" s="44"/>
      <c r="E15" s="44"/>
      <c r="F15" s="44"/>
      <c r="G15" s="44" t="s">
        <v>205</v>
      </c>
      <c r="H15" s="44" t="s">
        <v>222</v>
      </c>
    </row>
    <row r="16" spans="2:11" x14ac:dyDescent="0.25">
      <c r="B16" s="43"/>
      <c r="C16" s="43"/>
      <c r="D16" s="44"/>
      <c r="E16" s="44"/>
      <c r="F16" s="44"/>
      <c r="G16" s="44" t="s">
        <v>206</v>
      </c>
      <c r="H16" s="44" t="s">
        <v>223</v>
      </c>
    </row>
    <row r="17" spans="2:8" x14ac:dyDescent="0.25">
      <c r="B17" s="43"/>
      <c r="C17" s="43"/>
      <c r="D17" s="44"/>
      <c r="E17" s="44"/>
      <c r="F17" s="44"/>
      <c r="G17" s="44" t="s">
        <v>207</v>
      </c>
      <c r="H17" s="44" t="s">
        <v>224</v>
      </c>
    </row>
    <row r="18" spans="2:8" x14ac:dyDescent="0.25">
      <c r="B18" s="43"/>
      <c r="C18" s="43"/>
      <c r="D18" s="44"/>
      <c r="E18" s="44"/>
      <c r="F18" s="44"/>
      <c r="G18" s="44" t="s">
        <v>208</v>
      </c>
      <c r="H18" s="44" t="s">
        <v>225</v>
      </c>
    </row>
    <row r="24" spans="2:8" x14ac:dyDescent="0.25">
      <c r="C24" t="s">
        <v>170</v>
      </c>
    </row>
    <row r="25" spans="2:8" x14ac:dyDescent="0.25">
      <c r="C25" t="s">
        <v>227</v>
      </c>
    </row>
    <row r="26" spans="2:8" x14ac:dyDescent="0.25">
      <c r="C26" t="s">
        <v>228</v>
      </c>
    </row>
    <row r="27" spans="2:8" x14ac:dyDescent="0.25">
      <c r="C27" t="s">
        <v>229</v>
      </c>
    </row>
    <row r="28" spans="2:8" x14ac:dyDescent="0.25">
      <c r="C28" t="s">
        <v>230</v>
      </c>
    </row>
    <row r="29" spans="2:8" x14ac:dyDescent="0.25">
      <c r="C29" t="s">
        <v>231</v>
      </c>
    </row>
    <row r="30" spans="2:8" x14ac:dyDescent="0.25">
      <c r="C30" t="s">
        <v>170</v>
      </c>
    </row>
    <row r="33" spans="3:11" x14ac:dyDescent="0.25">
      <c r="J33">
        <v>1</v>
      </c>
      <c r="K33">
        <v>2</v>
      </c>
    </row>
    <row r="34" spans="3:11" x14ac:dyDescent="0.25">
      <c r="C34" s="45" t="s">
        <v>236</v>
      </c>
      <c r="D34" s="44" t="s">
        <v>234</v>
      </c>
      <c r="E34" s="44" t="s">
        <v>239</v>
      </c>
      <c r="F34" s="44" t="s">
        <v>237</v>
      </c>
      <c r="G34" s="44" t="s">
        <v>238</v>
      </c>
      <c r="H34" s="44" t="s">
        <v>240</v>
      </c>
      <c r="J34" t="s">
        <v>194</v>
      </c>
      <c r="K34" t="s">
        <v>210</v>
      </c>
    </row>
    <row r="35" spans="3:11" x14ac:dyDescent="0.25">
      <c r="C35" s="43" t="s">
        <v>235</v>
      </c>
      <c r="D35" s="44" t="s">
        <v>171</v>
      </c>
      <c r="E35" s="44" t="s">
        <v>244</v>
      </c>
      <c r="F35" s="44" t="s">
        <v>246</v>
      </c>
      <c r="G35" s="44" t="s">
        <v>248</v>
      </c>
      <c r="H35" s="44"/>
    </row>
    <row r="36" spans="3:11" x14ac:dyDescent="0.25">
      <c r="C36" s="43"/>
      <c r="D36" s="44" t="s">
        <v>241</v>
      </c>
      <c r="E36" s="44" t="s">
        <v>245</v>
      </c>
      <c r="F36" s="44" t="s">
        <v>247</v>
      </c>
      <c r="G36" s="44" t="s">
        <v>249</v>
      </c>
      <c r="H36" s="44"/>
    </row>
    <row r="37" spans="3:11" x14ac:dyDescent="0.25">
      <c r="C37" s="43"/>
      <c r="D37" s="44" t="s">
        <v>242</v>
      </c>
      <c r="E37" s="44"/>
      <c r="F37" s="44"/>
      <c r="G37" s="44" t="s">
        <v>250</v>
      </c>
      <c r="H37" s="44"/>
    </row>
    <row r="38" spans="3:11" x14ac:dyDescent="0.25">
      <c r="C38" s="43"/>
      <c r="D38" s="44" t="s">
        <v>243</v>
      </c>
      <c r="E38" s="44"/>
      <c r="F38" s="44"/>
      <c r="G38" s="44" t="s">
        <v>250</v>
      </c>
      <c r="H38" s="44"/>
    </row>
    <row r="39" spans="3:11" x14ac:dyDescent="0.25">
      <c r="C39" s="43"/>
      <c r="D39" s="44"/>
      <c r="E39" s="44"/>
      <c r="F39" s="44"/>
      <c r="G39" s="44" t="s">
        <v>251</v>
      </c>
      <c r="H39" s="44"/>
    </row>
    <row r="40" spans="3:11" x14ac:dyDescent="0.25">
      <c r="C40" s="43"/>
      <c r="D40" s="44"/>
      <c r="E40" s="44"/>
      <c r="F40" s="44"/>
      <c r="G40" s="44" t="s">
        <v>252</v>
      </c>
      <c r="H40" s="44"/>
    </row>
    <row r="41" spans="3:11" x14ac:dyDescent="0.25">
      <c r="C41" s="43"/>
      <c r="D41" s="44"/>
      <c r="E41" s="44"/>
      <c r="F41" s="44"/>
      <c r="G41" s="44"/>
      <c r="H41" s="44"/>
    </row>
    <row r="43" spans="3:11" x14ac:dyDescent="0.25">
      <c r="C43" t="s">
        <v>253</v>
      </c>
    </row>
    <row r="44" spans="3:11" x14ac:dyDescent="0.25">
      <c r="C44" t="s">
        <v>173</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179</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194</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189</v>
      </c>
      <c r="D67" t="s">
        <v>275</v>
      </c>
    </row>
    <row r="68" spans="3:4" x14ac:dyDescent="0.25">
      <c r="D68" t="s">
        <v>276</v>
      </c>
    </row>
    <row r="69" spans="3:4" x14ac:dyDescent="0.2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46">
        <v>1</v>
      </c>
      <c r="C2" s="49" t="s">
        <v>284</v>
      </c>
    </row>
    <row r="3" spans="2:3" x14ac:dyDescent="0.25">
      <c r="B3" s="46">
        <v>2</v>
      </c>
      <c r="C3" s="47" t="s">
        <v>285</v>
      </c>
    </row>
    <row r="4" spans="2:3" x14ac:dyDescent="0.25">
      <c r="B4" s="46">
        <v>3</v>
      </c>
      <c r="C4" s="48" t="s">
        <v>286</v>
      </c>
    </row>
    <row r="5" spans="2:3" ht="30" x14ac:dyDescent="0.25">
      <c r="B5" s="46">
        <v>4</v>
      </c>
      <c r="C5" s="47" t="s">
        <v>287</v>
      </c>
    </row>
    <row r="6" spans="2:3" x14ac:dyDescent="0.25">
      <c r="B6" s="46">
        <v>5</v>
      </c>
      <c r="C6" s="48" t="s">
        <v>288</v>
      </c>
    </row>
    <row r="7" spans="2:3" ht="30" x14ac:dyDescent="0.25">
      <c r="B7" s="46">
        <v>6</v>
      </c>
      <c r="C7" s="47" t="s">
        <v>289</v>
      </c>
    </row>
    <row r="8" spans="2:3" ht="90" x14ac:dyDescent="0.25">
      <c r="B8" s="46">
        <v>7</v>
      </c>
      <c r="C8" s="47" t="s">
        <v>290</v>
      </c>
    </row>
    <row r="9" spans="2:3" x14ac:dyDescent="0.25">
      <c r="B9" s="46">
        <v>8</v>
      </c>
      <c r="C9" s="48" t="s">
        <v>291</v>
      </c>
    </row>
    <row r="10" spans="2:3" x14ac:dyDescent="0.25">
      <c r="B10" s="46">
        <v>9</v>
      </c>
      <c r="C10" s="48" t="s">
        <v>292</v>
      </c>
    </row>
    <row r="11" spans="2:3" x14ac:dyDescent="0.25">
      <c r="B11" s="46">
        <v>10</v>
      </c>
      <c r="C11" s="48" t="s">
        <v>293</v>
      </c>
    </row>
    <row r="12" spans="2:3" x14ac:dyDescent="0.25">
      <c r="B12" s="46">
        <v>11</v>
      </c>
      <c r="C12" s="48" t="s">
        <v>294</v>
      </c>
    </row>
    <row r="13" spans="2:3" x14ac:dyDescent="0.25">
      <c r="B13" s="46">
        <v>12</v>
      </c>
      <c r="C13" s="48" t="s">
        <v>295</v>
      </c>
    </row>
    <row r="14" spans="2:3" x14ac:dyDescent="0.25">
      <c r="B14" s="46">
        <v>13</v>
      </c>
      <c r="C14" s="48" t="s">
        <v>296</v>
      </c>
    </row>
    <row r="15" spans="2:3" x14ac:dyDescent="0.25">
      <c r="B15" s="46">
        <v>14</v>
      </c>
      <c r="C15" s="48"/>
    </row>
    <row r="16" spans="2:3" x14ac:dyDescent="0.25">
      <c r="B16" s="46">
        <v>15</v>
      </c>
      <c r="C16" s="48"/>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2025-07-15T08:50:27Z</cp:lastPrinted>
  <dcterms:created xsi:type="dcterms:W3CDTF">2019-07-16T09:29:46Z</dcterms:created>
  <dcterms:modified xsi:type="dcterms:W3CDTF">2025-07-15T08:52:50Z</dcterms:modified>
</cp:coreProperties>
</file>