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K:\VSJ Work\July 25\Axis\Dump\"/>
    </mc:Choice>
  </mc:AlternateContent>
  <xr:revisionPtr revIDLastSave="0" documentId="13_ncr:1_{4CD60417-9C7A-4317-B45B-08AD9005BEE7}"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Research" sheetId="4" r:id="rId3"/>
    <sheet name="Remarks" sheetId="6" r:id="rId4"/>
  </sheets>
  <definedNames>
    <definedName name="_xlnm.Print_Area" localSheetId="0">Report!$A$1:$H$409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5" i="1" l="1"/>
  <c r="I160" i="1" l="1"/>
  <c r="I144" i="1"/>
  <c r="I140" i="1"/>
  <c r="D221" i="1" l="1"/>
  <c r="F221" i="1" s="1"/>
  <c r="H221" i="1" s="1"/>
  <c r="D220" i="1"/>
  <c r="F220" i="1" s="1"/>
  <c r="H220" i="1" s="1"/>
  <c r="D219" i="1"/>
  <c r="F219" i="1" s="1"/>
  <c r="H219" i="1" s="1"/>
  <c r="A220" i="1"/>
  <c r="D216" i="1"/>
  <c r="F216" i="1" s="1"/>
  <c r="H216" i="1" s="1"/>
  <c r="D215" i="1"/>
  <c r="F215" i="1" s="1"/>
  <c r="H215" i="1" s="1"/>
  <c r="A215" i="1"/>
  <c r="D214" i="1"/>
  <c r="F214" i="1" s="1"/>
  <c r="H214" i="1" s="1"/>
  <c r="D213" i="1"/>
  <c r="F213" i="1" s="1"/>
  <c r="H213" i="1" s="1"/>
  <c r="D212" i="1"/>
  <c r="F212" i="1" s="1"/>
  <c r="H212" i="1" s="1"/>
  <c r="A212" i="1"/>
  <c r="D211" i="1"/>
  <c r="F211" i="1" s="1"/>
  <c r="H211" i="1" s="1"/>
  <c r="D209" i="1"/>
  <c r="F209" i="1" s="1"/>
  <c r="H209" i="1" s="1"/>
  <c r="D208" i="1"/>
  <c r="F208" i="1" s="1"/>
  <c r="H208" i="1" s="1"/>
  <c r="D207" i="1"/>
  <c r="F207" i="1" s="1"/>
  <c r="H207" i="1" s="1"/>
  <c r="D206" i="1"/>
  <c r="F206" i="1" s="1"/>
  <c r="H206" i="1" s="1"/>
  <c r="D205" i="1"/>
  <c r="D204" i="1"/>
  <c r="F204" i="1" s="1"/>
  <c r="H204" i="1" s="1"/>
  <c r="D203" i="1"/>
  <c r="F203" i="1" s="1"/>
  <c r="H203" i="1" s="1"/>
  <c r="D202" i="1"/>
  <c r="F202" i="1" s="1"/>
  <c r="H202" i="1" s="1"/>
  <c r="D201" i="1"/>
  <c r="D200" i="1"/>
  <c r="F200" i="1" s="1"/>
  <c r="H200" i="1" s="1"/>
  <c r="D199" i="1"/>
  <c r="F199" i="1" s="1"/>
  <c r="H199" i="1" s="1"/>
  <c r="D198" i="1"/>
  <c r="F198" i="1" s="1"/>
  <c r="H198" i="1" s="1"/>
  <c r="D195" i="1"/>
  <c r="F195" i="1" s="1"/>
  <c r="H195" i="1" s="1"/>
  <c r="D194" i="1"/>
  <c r="F194" i="1" s="1"/>
  <c r="H194" i="1" s="1"/>
  <c r="D193" i="1"/>
  <c r="F193" i="1" s="1"/>
  <c r="H193" i="1" s="1"/>
  <c r="D192" i="1"/>
  <c r="F192" i="1" s="1"/>
  <c r="H192" i="1" s="1"/>
  <c r="K192" i="1" s="1"/>
  <c r="D191" i="1"/>
  <c r="F191" i="1" s="1"/>
  <c r="H191" i="1" s="1"/>
  <c r="D190" i="1"/>
  <c r="F190" i="1" s="1"/>
  <c r="H190" i="1" s="1"/>
  <c r="D189" i="1"/>
  <c r="F189" i="1" s="1"/>
  <c r="H189" i="1" s="1"/>
  <c r="D188" i="1"/>
  <c r="F188" i="1" s="1"/>
  <c r="H188" i="1" s="1"/>
  <c r="D187" i="1"/>
  <c r="D186" i="1"/>
  <c r="F186" i="1" s="1"/>
  <c r="H186" i="1" s="1"/>
  <c r="D185" i="1"/>
  <c r="F185" i="1" s="1"/>
  <c r="H185" i="1" s="1"/>
  <c r="D184" i="1"/>
  <c r="F184" i="1" s="1"/>
  <c r="H184" i="1" s="1"/>
  <c r="D182" i="1"/>
  <c r="D181" i="1"/>
  <c r="F181" i="1" s="1"/>
  <c r="H181" i="1" s="1"/>
  <c r="D180" i="1"/>
  <c r="F180" i="1" s="1"/>
  <c r="H180" i="1" s="1"/>
  <c r="D179" i="1"/>
  <c r="F179" i="1" s="1"/>
  <c r="H179" i="1" s="1"/>
  <c r="J179" i="1" s="1"/>
  <c r="D178" i="1"/>
  <c r="F178" i="1" s="1"/>
  <c r="H178" i="1" s="1"/>
  <c r="D177" i="1"/>
  <c r="F177" i="1" s="1"/>
  <c r="H177" i="1" s="1"/>
  <c r="D176" i="1"/>
  <c r="F176" i="1" s="1"/>
  <c r="H176" i="1" s="1"/>
  <c r="D175" i="1"/>
  <c r="F175" i="1" s="1"/>
  <c r="H175" i="1" s="1"/>
  <c r="D174" i="1"/>
  <c r="F174" i="1" s="1"/>
  <c r="H174" i="1" s="1"/>
  <c r="D173" i="1"/>
  <c r="F173" i="1" s="1"/>
  <c r="H173" i="1" s="1"/>
  <c r="D172" i="1"/>
  <c r="F172" i="1" s="1"/>
  <c r="H172" i="1" s="1"/>
  <c r="D171" i="1"/>
  <c r="F171" i="1" s="1"/>
  <c r="H171" i="1" s="1"/>
  <c r="D169" i="1"/>
  <c r="D168" i="1"/>
  <c r="F168" i="1" s="1"/>
  <c r="H168" i="1" s="1"/>
  <c r="D167" i="1"/>
  <c r="F167" i="1" s="1"/>
  <c r="H167" i="1" s="1"/>
  <c r="D166" i="1"/>
  <c r="F166" i="1" s="1"/>
  <c r="H166" i="1" s="1"/>
  <c r="D165" i="1"/>
  <c r="F165" i="1" s="1"/>
  <c r="H165" i="1" s="1"/>
  <c r="D163" i="1"/>
  <c r="F163" i="1" s="1"/>
  <c r="H163" i="1" s="1"/>
  <c r="D162" i="1"/>
  <c r="F162" i="1" s="1"/>
  <c r="H162" i="1" s="1"/>
  <c r="D161" i="1"/>
  <c r="F161" i="1" s="1"/>
  <c r="H161" i="1" s="1"/>
  <c r="D160" i="1"/>
  <c r="D159" i="1"/>
  <c r="F159" i="1" s="1"/>
  <c r="H159" i="1" s="1"/>
  <c r="D158" i="1"/>
  <c r="F158" i="1" s="1"/>
  <c r="D156" i="1"/>
  <c r="F156" i="1" s="1"/>
  <c r="H156" i="1" s="1"/>
  <c r="D155" i="1"/>
  <c r="F155" i="1" s="1"/>
  <c r="H155" i="1" s="1"/>
  <c r="D153" i="1"/>
  <c r="D152" i="1"/>
  <c r="E151" i="1"/>
  <c r="D151" i="1"/>
  <c r="E150" i="1"/>
  <c r="D150" i="1"/>
  <c r="E149" i="1"/>
  <c r="D149" i="1"/>
  <c r="E148" i="1"/>
  <c r="D148" i="1"/>
  <c r="E147" i="1"/>
  <c r="D147" i="1"/>
  <c r="E146" i="1"/>
  <c r="D146" i="1"/>
  <c r="E145" i="1"/>
  <c r="D145" i="1"/>
  <c r="E144" i="1"/>
  <c r="D144" i="1"/>
  <c r="E143" i="1"/>
  <c r="D143" i="1"/>
  <c r="E142" i="1"/>
  <c r="D142" i="1"/>
  <c r="E141" i="1"/>
  <c r="D141" i="1"/>
  <c r="E140" i="1"/>
  <c r="D140" i="1"/>
  <c r="E139" i="1"/>
  <c r="D139" i="1"/>
  <c r="E138" i="1"/>
  <c r="D138" i="1"/>
  <c r="A208" i="1"/>
  <c r="F205" i="1"/>
  <c r="H205" i="1" s="1"/>
  <c r="A205" i="1"/>
  <c r="A202" i="1"/>
  <c r="F201" i="1"/>
  <c r="H201" i="1" s="1"/>
  <c r="A199" i="1"/>
  <c r="A194" i="1"/>
  <c r="A191" i="1"/>
  <c r="A188" i="1"/>
  <c r="A185" i="1"/>
  <c r="F187" i="1"/>
  <c r="H187" i="1" s="1"/>
  <c r="F182" i="1"/>
  <c r="H182" i="1" s="1"/>
  <c r="A181" i="1"/>
  <c r="A178" i="1"/>
  <c r="A175" i="1"/>
  <c r="A172" i="1"/>
  <c r="I158" i="1"/>
  <c r="F169" i="1"/>
  <c r="H169" i="1" s="1"/>
  <c r="A168" i="1"/>
  <c r="A165" i="1"/>
  <c r="A162" i="1"/>
  <c r="A159" i="1"/>
  <c r="A156" i="1"/>
  <c r="A160" i="1" s="1"/>
  <c r="H158" i="1" l="1"/>
  <c r="F160" i="1"/>
  <c r="H160" i="1" s="1"/>
  <c r="F151" i="1"/>
  <c r="H151" i="1" s="1"/>
  <c r="F152" i="1"/>
  <c r="H152" i="1" s="1"/>
  <c r="F153" i="1"/>
  <c r="H153" i="1" s="1"/>
  <c r="F150" i="1"/>
  <c r="H150" i="1" s="1"/>
  <c r="I149" i="1"/>
  <c r="F149" i="1"/>
  <c r="H149" i="1" s="1"/>
  <c r="F148" i="1"/>
  <c r="H148" i="1" s="1"/>
  <c r="F147" i="1"/>
  <c r="H147" i="1" s="1"/>
  <c r="F146" i="1"/>
  <c r="F145" i="1"/>
  <c r="F144" i="1"/>
  <c r="H144" i="1" s="1"/>
  <c r="F141" i="1"/>
  <c r="H141" i="1" s="1"/>
  <c r="I138" i="1"/>
  <c r="A150" i="1"/>
  <c r="A151" i="1" s="1"/>
  <c r="A152" i="1" s="1"/>
  <c r="A146" i="1"/>
  <c r="A147" i="1" s="1"/>
  <c r="A148" i="1" s="1"/>
  <c r="A142" i="1"/>
  <c r="A143" i="1" s="1"/>
  <c r="A144" i="1" s="1"/>
  <c r="G51" i="1"/>
  <c r="G119" i="1" l="1"/>
  <c r="H146" i="1"/>
  <c r="G123" i="1" s="1"/>
  <c r="G124" i="1" s="1"/>
  <c r="E123" i="1"/>
  <c r="E124" i="1" s="1"/>
  <c r="C123" i="1"/>
  <c r="C124" i="1" s="1"/>
  <c r="E119" i="1"/>
  <c r="H145" i="1"/>
  <c r="C119" i="1"/>
  <c r="F138" i="1"/>
  <c r="H138" i="1" s="1"/>
  <c r="F143" i="1"/>
  <c r="H143" i="1" s="1"/>
  <c r="F139" i="1"/>
  <c r="H139" i="1" s="1"/>
  <c r="F142" i="1"/>
  <c r="H142" i="1" s="1"/>
  <c r="F140" i="1"/>
  <c r="B259" i="1"/>
  <c r="E118" i="1" l="1"/>
  <c r="E120" i="1" s="1"/>
  <c r="E125" i="1" s="1"/>
  <c r="C118" i="1"/>
  <c r="C120" i="1" s="1"/>
  <c r="C125" i="1" s="1"/>
  <c r="H140" i="1"/>
  <c r="G58" i="1"/>
  <c r="C58" i="1"/>
  <c r="G56" i="1"/>
  <c r="C56" i="1"/>
  <c r="C54" i="1"/>
  <c r="G118" i="1" l="1"/>
  <c r="G120" i="1" s="1"/>
  <c r="G125" i="1" s="1"/>
  <c r="S33" i="1"/>
  <c r="F11" i="5" l="1"/>
  <c r="G11" i="5" s="1"/>
  <c r="F10" i="5"/>
  <c r="G10" i="5" s="1"/>
  <c r="F9" i="5"/>
  <c r="G9" i="5" s="1"/>
  <c r="F8" i="5"/>
  <c r="G8" i="5" s="1"/>
  <c r="F7" i="5"/>
  <c r="G7" i="5" s="1"/>
  <c r="F6" i="5"/>
  <c r="G6" i="5" s="1"/>
  <c r="F5" i="5"/>
  <c r="G5" i="5" s="1"/>
  <c r="G12" i="5" s="1"/>
  <c r="D284" i="1"/>
  <c r="B260" i="1"/>
  <c r="F256" i="1"/>
  <c r="H256" i="1" s="1"/>
  <c r="F255" i="1"/>
  <c r="H255" i="1" s="1"/>
  <c r="F254" i="1"/>
  <c r="H254" i="1" s="1"/>
  <c r="F253" i="1"/>
  <c r="H253" i="1" s="1"/>
  <c r="F252" i="1"/>
  <c r="H252" i="1" s="1"/>
  <c r="F250" i="1"/>
  <c r="H250" i="1" s="1"/>
  <c r="F249" i="1"/>
  <c r="H249" i="1" s="1"/>
  <c r="F248" i="1"/>
  <c r="H248" i="1" s="1"/>
  <c r="F247" i="1"/>
  <c r="H247" i="1" s="1"/>
  <c r="F246" i="1"/>
  <c r="H246" i="1" s="1"/>
  <c r="F244" i="1"/>
  <c r="H244" i="1" s="1"/>
  <c r="F243" i="1"/>
  <c r="H243" i="1" s="1"/>
  <c r="F242" i="1"/>
  <c r="H242" i="1" s="1"/>
  <c r="F241" i="1"/>
  <c r="H241" i="1" s="1"/>
  <c r="F240" i="1"/>
  <c r="H240" i="1" s="1"/>
  <c r="F238" i="1"/>
  <c r="H238" i="1" s="1"/>
  <c r="F237" i="1"/>
  <c r="H237" i="1" s="1"/>
  <c r="F236" i="1"/>
  <c r="H236" i="1" s="1"/>
  <c r="F235" i="1"/>
  <c r="H235" i="1" s="1"/>
  <c r="F234" i="1"/>
  <c r="H234" i="1" s="1"/>
  <c r="A234" i="1"/>
  <c r="A235" i="1" s="1"/>
  <c r="A236" i="1" s="1"/>
  <c r="A237" i="1" s="1"/>
  <c r="A238" i="1" s="1"/>
  <c r="F232" i="1"/>
  <c r="H232" i="1" s="1"/>
  <c r="F231" i="1"/>
  <c r="H231" i="1" s="1"/>
  <c r="F230" i="1"/>
  <c r="H230" i="1" s="1"/>
  <c r="A230" i="1"/>
  <c r="A231" i="1" s="1"/>
  <c r="A232" i="1" s="1"/>
  <c r="F229" i="1"/>
  <c r="H229" i="1" s="1"/>
  <c r="A139" i="1"/>
  <c r="A140" i="1" s="1"/>
  <c r="G131" i="1"/>
  <c r="E131" i="1"/>
  <c r="C131" i="1"/>
  <c r="D67" i="1"/>
  <c r="C51" i="1"/>
  <c r="E44" i="1"/>
  <c r="E45" i="1" s="1"/>
  <c r="E31" i="1"/>
  <c r="E28" i="1"/>
  <c r="E26" i="1"/>
  <c r="C16" i="1"/>
  <c r="I15" i="1"/>
  <c r="Z13" i="1"/>
  <c r="E8" i="1"/>
  <c r="E3" i="1"/>
  <c r="A240" i="1"/>
  <c r="A252" i="1"/>
  <c r="H74" i="1"/>
  <c r="A246" i="1"/>
  <c r="J73" i="1" l="1"/>
  <c r="J75" i="1" s="1"/>
  <c r="J76" i="1"/>
  <c r="J77" i="1"/>
  <c r="J78" i="1"/>
  <c r="C77" i="1" s="1"/>
  <c r="D81" i="1"/>
  <c r="D83" i="1"/>
  <c r="D82" i="1"/>
  <c r="D86" i="1"/>
  <c r="D80" i="1"/>
  <c r="D85" i="1"/>
  <c r="D79" i="1"/>
  <c r="D84" i="1"/>
  <c r="B74" i="1"/>
  <c r="J79" i="1" s="1"/>
  <c r="A247" i="1"/>
  <c r="A253" i="1"/>
  <c r="A241" i="1"/>
  <c r="B88" i="1" l="1"/>
  <c r="D77" i="1"/>
  <c r="J83" i="1"/>
  <c r="J81" i="1"/>
  <c r="J82" i="1"/>
  <c r="J80" i="1"/>
  <c r="J85" i="1" s="1"/>
  <c r="J86" i="1" s="1"/>
  <c r="C78" i="1" s="1"/>
  <c r="J84" i="1"/>
  <c r="A242" i="1"/>
  <c r="A254" i="1"/>
  <c r="A248" i="1"/>
  <c r="H88" i="1"/>
  <c r="D100" i="1" l="1"/>
  <c r="D96" i="1"/>
  <c r="D95" i="1"/>
  <c r="J91" i="1"/>
  <c r="D97" i="1"/>
  <c r="D93" i="1"/>
  <c r="J90" i="1"/>
  <c r="D99" i="1"/>
  <c r="D98" i="1"/>
  <c r="D94" i="1"/>
  <c r="J92" i="1"/>
  <c r="C91" i="1" s="1"/>
  <c r="J87" i="1"/>
  <c r="J89" i="1" s="1"/>
  <c r="J95" i="1"/>
  <c r="J98" i="1"/>
  <c r="J97" i="1"/>
  <c r="J93" i="1"/>
  <c r="J94" i="1" s="1"/>
  <c r="J99" i="1" s="1"/>
  <c r="J100" i="1" s="1"/>
  <c r="C92" i="1" s="1"/>
  <c r="J96" i="1"/>
  <c r="J74" i="1"/>
  <c r="E77" i="1"/>
  <c r="D78" i="1"/>
  <c r="I74" i="1" s="1"/>
  <c r="G77" i="1"/>
  <c r="A249" i="1"/>
  <c r="A255" i="1"/>
  <c r="A243" i="1"/>
  <c r="D71" i="1" l="1"/>
  <c r="F72" i="1" s="1"/>
  <c r="E91" i="1"/>
  <c r="C101" i="1" s="1"/>
  <c r="D92" i="1"/>
  <c r="G91" i="1"/>
  <c r="G101" i="1" s="1"/>
  <c r="D91" i="1"/>
  <c r="I75" i="1"/>
  <c r="I73" i="1" s="1"/>
  <c r="C75" i="1" s="1"/>
  <c r="A250" i="1"/>
  <c r="A256" i="1"/>
  <c r="A244" i="1"/>
  <c r="D72" i="1" l="1"/>
  <c r="I88" i="1"/>
  <c r="I89" i="1" s="1"/>
  <c r="J88" i="1"/>
  <c r="I87" i="1" l="1"/>
  <c r="C8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5" authorId="1" shapeId="0" xr:uid="{00000000-0006-0000-0000-000003000000}">
      <text>
        <r>
          <rPr>
            <b/>
            <sz val="9"/>
            <color indexed="81"/>
            <rFont val="Tahoma"/>
            <family val="2"/>
          </rPr>
          <t>SACHIN:</t>
        </r>
        <r>
          <rPr>
            <sz val="9"/>
            <color indexed="81"/>
            <rFont val="Tahoma"/>
            <family val="2"/>
          </rPr>
          <t xml:space="preserve">
Floor with height</t>
        </r>
      </text>
    </comment>
    <comment ref="C57" authorId="1" shapeId="0" xr:uid="{00000000-0006-0000-0000-000004000000}">
      <text>
        <r>
          <rPr>
            <b/>
            <sz val="9"/>
            <color indexed="81"/>
            <rFont val="Tahoma"/>
            <family val="2"/>
          </rPr>
          <t>SACHIN:</t>
        </r>
        <r>
          <rPr>
            <sz val="9"/>
            <color indexed="81"/>
            <rFont val="Tahoma"/>
            <family val="2"/>
          </rPr>
          <t xml:space="preserve">
Survey Nos.</t>
        </r>
      </text>
    </comment>
    <comment ref="C59" authorId="1" shapeId="0" xr:uid="{00000000-0006-0000-0000-000005000000}">
      <text>
        <r>
          <rPr>
            <b/>
            <sz val="9"/>
            <color indexed="81"/>
            <rFont val="Tahoma"/>
            <family val="2"/>
          </rPr>
          <t>SACHIN:</t>
        </r>
        <r>
          <rPr>
            <sz val="9"/>
            <color indexed="81"/>
            <rFont val="Tahoma"/>
            <family val="2"/>
          </rPr>
          <t xml:space="preserve">
Height from AMSL</t>
        </r>
      </text>
    </comment>
    <comment ref="D62"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108" authorId="1" shapeId="0" xr:uid="{00000000-0006-0000-0000-000007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226" authorId="1" shapeId="0" xr:uid="{00000000-0006-0000-0000-000008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<sst xmlns="http://schemas.openxmlformats.org/spreadsheetml/2006/main" count="746" uniqueCount="366">
  <si>
    <t xml:space="preserve">Valuation Report </t>
  </si>
  <si>
    <t>Date:</t>
  </si>
  <si>
    <t>CPC Name:</t>
  </si>
  <si>
    <t>Date Of Property Visit</t>
  </si>
  <si>
    <t>Name of the builder group</t>
  </si>
  <si>
    <t>Name of the builder company</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</si>
  <si>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</si>
  <si>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</si>
  <si>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</si>
  <si>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</si>
  <si>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</si>
  <si>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</si>
  <si>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</si>
  <si>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</si>
  <si>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</si>
  <si>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</si>
  <si>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</si>
  <si>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</si>
  <si>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</si>
  <si>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</si>
  <si>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</si>
  <si>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</si>
  <si>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</si>
  <si>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</si>
  <si>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</si>
  <si>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</si>
  <si>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</si>
  <si>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</si>
  <si>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</si>
  <si>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</si>
  <si>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</si>
  <si>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</si>
  <si>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</si>
  <si>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</si>
  <si>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</si>
  <si>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</si>
  <si>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</si>
  <si>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</si>
  <si>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</si>
  <si>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</si>
  <si>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</si>
  <si>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</si>
  <si>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</si>
  <si>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</si>
  <si>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</si>
  <si>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</si>
  <si>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</si>
  <si>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</si>
  <si>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</si>
  <si>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</si>
  <si>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</si>
  <si>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</si>
  <si>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</si>
  <si>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</si>
  <si>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</si>
  <si>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</si>
  <si>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</si>
  <si>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</si>
  <si>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</si>
  <si>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</si>
  <si>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</si>
  <si>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</si>
  <si>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</si>
  <si>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</si>
  <si>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</si>
  <si>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</si>
  <si>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</si>
  <si>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</si>
  <si>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</si>
  <si>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</si>
  <si>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</si>
  <si>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</si>
  <si>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</si>
  <si>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</si>
  <si>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</si>
  <si>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</si>
  <si>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</si>
  <si>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</si>
  <si>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</si>
  <si>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</si>
  <si>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</si>
  <si>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</si>
  <si>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</si>
  <si>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</si>
  <si>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</si>
  <si>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</si>
  <si>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</si>
  <si>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</si>
  <si>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</si>
  <si>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</si>
  <si>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</si>
  <si>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</si>
  <si>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</si>
  <si>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</si>
  <si>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</si>
  <si>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</si>
  <si>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</si>
  <si>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</si>
  <si>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</si>
  <si>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</si>
  <si>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</si>
  <si>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</si>
  <si>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</si>
  <si>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</si>
  <si>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</si>
  <si>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</si>
  <si>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</si>
  <si>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</si>
  <si>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</si>
  <si>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</si>
  <si>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</si>
  <si>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</si>
  <si>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</si>
  <si>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</si>
  <si>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</si>
  <si>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</si>
  <si>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r>
      <t xml:space="preserve">Flat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</si>
  <si>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</si>
  <si>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</si>
  <si>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</si>
  <si>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</si>
  <si>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</si>
  <si>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</si>
  <si>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</si>
  <si>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</si>
  <si>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</si>
  <si>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</si>
  <si>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</si>
  <si>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</si>
  <si>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</si>
  <si>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</si>
  <si>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</si>
  <si>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</si>
  <si>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</si>
  <si>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</si>
  <si>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</si>
  <si>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</si>
  <si>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</si>
  <si>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</si>
  <si>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</si>
  <si>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</si>
  <si>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</si>
  <si>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</si>
  <si>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</si>
  <si>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</si>
  <si>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</si>
  <si>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</si>
  <si>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</si>
  <si>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</si>
  <si>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</si>
  <si>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</si>
  <si>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</si>
  <si>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</si>
  <si>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</si>
  <si>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</si>
  <si>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</si>
  <si>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</si>
  <si>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</si>
  <si>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</si>
  <si>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</si>
  <si>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</si>
  <si>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</si>
  <si>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</si>
  <si>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</si>
  <si>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</si>
  <si>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</si>
  <si>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</si>
  <si>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</si>
  <si>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</si>
  <si>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</si>
  <si>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</si>
  <si>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</si>
  <si>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</si>
  <si>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</si>
  <si>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</si>
  <si>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</si>
  <si>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</si>
  <si>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</si>
  <si>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</si>
  <si>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</si>
  <si>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</si>
  <si>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</si>
  <si>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</si>
  <si>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</si>
  <si>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</si>
  <si>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</si>
  <si>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</si>
  <si>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</si>
  <si>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</si>
  <si>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</si>
  <si>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</si>
  <si>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</si>
  <si>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</si>
  <si>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</si>
  <si>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</si>
  <si>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</si>
  <si>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</si>
  <si>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</si>
  <si>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</si>
  <si>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</si>
  <si>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</si>
  <si>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</si>
  <si>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</si>
  <si>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</si>
  <si>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</si>
  <si>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</si>
  <si>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</si>
  <si>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</si>
  <si>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</si>
  <si>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</si>
  <si>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</si>
  <si>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</si>
  <si>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</si>
  <si>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</si>
  <si>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</si>
  <si>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</si>
  <si>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</si>
  <si>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</si>
  <si>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</si>
  <si>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</si>
  <si>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</si>
  <si>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</si>
  <si>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</si>
  <si>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</si>
  <si>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</si>
  <si>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</si>
  <si>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</si>
  <si>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</si>
  <si>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</si>
  <si>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</si>
  <si>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</si>
  <si>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</si>
  <si>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</si>
  <si>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</si>
  <si>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</si>
  <si>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</si>
  <si>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</si>
  <si>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</si>
  <si>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</si>
  <si>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</si>
  <si>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</si>
  <si>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</si>
  <si>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</si>
  <si>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</si>
  <si>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</si>
  <si>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</si>
  <si>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</si>
  <si>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</si>
  <si>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</si>
  <si>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</si>
  <si>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</si>
  <si>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</si>
  <si>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</si>
  <si>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</si>
  <si>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</si>
  <si>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</si>
  <si>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</si>
  <si>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</si>
  <si>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</si>
  <si>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</si>
  <si>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</si>
  <si>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</si>
  <si>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</si>
  <si>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</si>
  <si>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</si>
  <si>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</si>
  <si>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</si>
  <si>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</si>
  <si>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</si>
  <si>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</si>
  <si>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</si>
  <si>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</si>
  <si>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</si>
  <si>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</si>
  <si>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</si>
  <si>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</si>
  <si>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</si>
  <si>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</si>
  <si>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</si>
  <si>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</si>
  <si>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</si>
  <si>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</si>
  <si>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</si>
  <si>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</si>
  <si>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</si>
  <si>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</si>
  <si>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</si>
  <si>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</si>
  <si>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</si>
  <si>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</si>
  <si>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</si>
  <si>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</si>
  <si>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</si>
  <si>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</si>
  <si>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</si>
  <si>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</si>
  <si>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</si>
  <si>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Heer Realty Ventures Pvt Ltd</t>
  </si>
  <si>
    <t>Jai Bhavani Chs Ltd SRA Project</t>
  </si>
  <si>
    <t>Mr. Bipin Shinde 8976996352</t>
  </si>
  <si>
    <t>The Capital Tree / Sale Commercial Building</t>
  </si>
  <si>
    <t>P51700003912</t>
  </si>
  <si>
    <t>Survey No</t>
  </si>
  <si>
    <t>Panchpakhadi</t>
  </si>
  <si>
    <t>19.218361,72.970917</t>
  </si>
  <si>
    <t>https://maps.app.goo.gl/ycwEVCzVqMkd3BA2A</t>
  </si>
  <si>
    <t>5.5 KM from Thane Railway Station</t>
  </si>
  <si>
    <t>Thane West</t>
  </si>
  <si>
    <t xml:space="preserve">Ashar Tiara Commercial Complex </t>
  </si>
  <si>
    <t>Gandhi Nagar</t>
  </si>
  <si>
    <t>Pokharan Road No.2</t>
  </si>
  <si>
    <t>Internal Road</t>
  </si>
  <si>
    <t>Shops</t>
  </si>
  <si>
    <t>Open Plot</t>
  </si>
  <si>
    <t>6.00 M. Wide Proposed Internal Road</t>
  </si>
  <si>
    <t>40.00 M. Wide Pokharan Road No.2</t>
  </si>
  <si>
    <t>Other Plot</t>
  </si>
  <si>
    <t>Sale Parking Building</t>
  </si>
  <si>
    <t>Approved Builtup Area of Sale Commercial Building (Sq.Mt)</t>
  </si>
  <si>
    <t xml:space="preserve">Slum Rehabilitation Authority (SRA)
</t>
  </si>
  <si>
    <t>MMR/SRA/ENG V.P.No.2006/66</t>
  </si>
  <si>
    <t>SRA/ENG /V.P.No.2006/66</t>
  </si>
  <si>
    <t>As per RERA - 30/12/2025</t>
  </si>
  <si>
    <r>
      <t xml:space="preserve">Proposed Amenities :                                                                                                                                                                                                                         </t>
    </r>
    <r>
      <rPr>
        <b/>
        <sz val="12"/>
        <rFont val="Times New Roman"/>
        <family val="1"/>
      </rPr>
      <t xml:space="preserve">                                               </t>
    </r>
  </si>
  <si>
    <t>Ajay Songare</t>
  </si>
  <si>
    <t>Construction work is in process at the time of Visit.</t>
  </si>
  <si>
    <t>Sale Commercial Building = Gr + 1st to 34th Floor</t>
  </si>
  <si>
    <t>Sale / Rehab</t>
  </si>
  <si>
    <t>Sale</t>
  </si>
  <si>
    <t>Restaurant</t>
  </si>
  <si>
    <t>Shop</t>
  </si>
  <si>
    <t>Rehab</t>
  </si>
  <si>
    <t>1st Floor For Multipurpose Hall</t>
  </si>
  <si>
    <t>Multipurpose Hall</t>
  </si>
  <si>
    <t>Office</t>
  </si>
  <si>
    <t>Society Office</t>
  </si>
  <si>
    <t>2nd Floor (Part Society Office Area)</t>
  </si>
  <si>
    <t>3rd to 5th Floor</t>
  </si>
  <si>
    <t>6th, 8th to 10th, 12th to 14th, 17th, 18th, 20th, 22nd, 24th to 26th &amp; 28th Floor</t>
  </si>
  <si>
    <t>7th, 11th, 15th, 19th, 23rd, 27th &amp; 31st (Part Refuge Area)</t>
  </si>
  <si>
    <t>16th Floor (Private Club) For Amenities</t>
  </si>
  <si>
    <t>34th Floor For Amenities</t>
  </si>
  <si>
    <t xml:space="preserve">Details of  Commercials in Building   </t>
  </si>
  <si>
    <t>We considered Gross carpet area = Net carpet + Loft Area</t>
  </si>
  <si>
    <t>Elegant Grand Entrance, 6 High Speeed Elevators For Office, Gymnasium, Cafeteria, Swimming Pool, Outdoor Game, Mugical Jogging Track, Gazebo Sit Out, Automatic Rescue Device, STP &amp; Rainwater Harvesting, 2 Spacious Staicase, Aerobics Room, E.Library, Store Room, Cafeteria, Pantry Room, etc.</t>
  </si>
  <si>
    <t xml:space="preserve">Since Project's Builtup Area is above 20000 Sq.M. Please check for Environment Clearance Certificate.
</t>
  </si>
  <si>
    <t>Mutipurpose Hall</t>
  </si>
  <si>
    <t>29th, 30th &amp; 32nd Floor</t>
  </si>
  <si>
    <t>21st Floor For (Part Mutipurpose Hall)</t>
  </si>
  <si>
    <t>Commercial Area Details :Sale</t>
  </si>
  <si>
    <t>Commercial Area Details :Rehab</t>
  </si>
  <si>
    <t>Sale Shops - 11, Sale Offices - 326, Rehab Shops - 3</t>
  </si>
  <si>
    <t>33rd Floor For Multipurpose Hall, Culinary Institute, Performing Art Center, ED Meter Room &amp; Waiting Lounge</t>
  </si>
  <si>
    <r>
      <t xml:space="preserve">Shop
</t>
    </r>
    <r>
      <rPr>
        <b/>
        <sz val="11"/>
        <rFont val="Times New Roman"/>
        <family val="1"/>
      </rPr>
      <t>(Approved Plan)</t>
    </r>
  </si>
  <si>
    <t>Ground Floor For Commercial, Meter Room, BMS Room &amp; Part Restaurant</t>
  </si>
  <si>
    <t xml:space="preserve">Name of the Project as per RERA </t>
  </si>
  <si>
    <t>507 (Pt)</t>
  </si>
  <si>
    <t>This Further C.C is Re-endorsed for RCC frame work upto 21st floors of Sale Bldg &amp; Mechanical parking Tower 2 as per approved amended plans dtd.25/01/2024.</t>
  </si>
  <si>
    <t>We have updated latest CC from Rera (dtd.27/04/2024).</t>
  </si>
  <si>
    <t>Part 2 - Sale Commercial Building = Gr + 1st to 34th Floor</t>
  </si>
  <si>
    <t>Average Progress %</t>
  </si>
  <si>
    <t>Average Disbursment %</t>
  </si>
  <si>
    <t>Construction percentage has been reduced due to the construction work being processed in two parts.</t>
  </si>
  <si>
    <t>Construction work goes beyond CC permission. Please provide revised approved CC.</t>
  </si>
  <si>
    <t>Construction work is in process at the time of Visit. Internal visit was not allowed.</t>
  </si>
  <si>
    <t>Kunal Kadam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</si>
</sst>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0.0"/>
    <numFmt numFmtId="165" formatCode="_(* #,##0.00_);_(* \(#,##0.00\);_(* &quot;-&quot;??_);_(@_)"/>
    <numFmt numFmtId="166" formatCode="_(* #,##0_);_(* \(#,##0\);_(* &quot;-&quot;??_);_(@_)"/>
    <numFmt numFmtId="167" formatCode="_ * #,##0_ ;_ * \-#,##0_ ;_ * &quot;-&quot;??_ ;_ @_ "/>
    <numFmt numFmtId="168" formatCode="0.000"/>
  </numFmts>
  <fonts count="33"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3">
    <fill>
      <patternFill patternType="none"/>
    </fill>
    <fill>
      <patternFill patternType="gray125"/>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11">
    <xf numFmtId="0" fontId="0" fillId="0" borderId="0"/>
    <xf numFmtId="0" fontId="4" fillId="0" borderId="0"/>
    <xf numFmtId="0" fontId="6" fillId="0" borderId="0"/>
    <xf numFmtId="0" fontId="3" fillId="0" borderId="0"/>
    <xf numFmtId="0" fontId="6" fillId="0" borderId="0"/>
    <xf numFmtId="0" fontId="2" fillId="0" borderId="0"/>
    <xf numFmtId="165" fontId="6" fillId="0" borderId="0" applyFont="0" applyFill="0" applyBorder="0" applyAlignment="0" applyProtection="0"/>
    <xf numFmtId="0" fontId="22" fillId="0" borderId="0"/>
    <xf numFmtId="9" fontId="23" fillId="0" borderId="0" applyFont="0" applyFill="0" applyBorder="0" applyAlignment="0" applyProtection="0"/>
    <xf numFmtId="43" fontId="23" fillId="0" borderId="0" applyFont="0" applyFill="0" applyBorder="0" applyAlignment="0" applyProtection="0"/>
    <xf numFmtId="0" fontId="28" fillId="0" borderId="0" applyNumberFormat="0" applyFill="0" applyBorder="0" applyAlignment="0" applyProtection="0"/>
  </cellStyleXfs>
  <cellXfs count="215">
    <xf numFmtId="0" fontId="0" fillId="0" borderId="0" xfId="0"/>
    <xf numFmtId="0" fontId="6" fillId="0" borderId="0" xfId="4"/>
    <xf numFmtId="0" fontId="2" fillId="0" borderId="0" xfId="5"/>
    <xf numFmtId="0" fontId="10" fillId="0" borderId="1" xfId="5" applyFont="1" applyBorder="1" applyAlignment="1">
      <alignment horizontal="center" vertical="top" wrapText="1"/>
    </xf>
    <xf numFmtId="0" fontId="21" fillId="0" borderId="0" xfId="4" applyFont="1"/>
    <xf numFmtId="0" fontId="2" fillId="0" borderId="1" xfId="5" applyBorder="1" applyAlignment="1">
      <alignment horizontal="center" vertical="center"/>
    </xf>
    <xf numFmtId="0" fontId="2" fillId="0" borderId="1" xfId="5" applyBorder="1" applyAlignment="1">
      <alignment horizontal="left" vertical="center"/>
    </xf>
    <xf numFmtId="1" fontId="2" fillId="0" borderId="1" xfId="5" applyNumberFormat="1" applyBorder="1" applyAlignment="1">
      <alignment horizontal="center" vertical="center"/>
    </xf>
    <xf numFmtId="166" fontId="2" fillId="0" borderId="1" xfId="6" applyNumberFormat="1" applyFont="1" applyBorder="1" applyAlignment="1">
      <alignment horizontal="right" vertical="center"/>
    </xf>
    <xf numFmtId="0" fontId="2" fillId="0" borderId="1" xfId="5" applyBorder="1" applyAlignment="1">
      <alignment horizontal="left" vertical="center" wrapText="1"/>
    </xf>
    <xf numFmtId="0" fontId="10" fillId="0" borderId="1" xfId="5" applyFont="1" applyBorder="1" applyAlignment="1">
      <alignment horizontal="center" vertical="center"/>
    </xf>
    <xf numFmtId="1" fontId="20" fillId="0" borderId="1" xfId="5" applyNumberFormat="1" applyFont="1" applyBorder="1" applyAlignment="1">
      <alignment horizontal="center" vertical="center"/>
    </xf>
    <xf numFmtId="0" fontId="6" fillId="0" borderId="1" xfId="4" applyBorder="1" applyAlignment="1">
      <alignment horizontal="center" vertical="center"/>
    </xf>
    <xf numFmtId="0" fontId="19" fillId="0" borderId="0" xfId="0" applyFont="1" applyProtection="1">
      <protection hidden="1"/>
    </xf>
    <xf numFmtId="0" fontId="19" fillId="0" borderId="10" xfId="0" applyFont="1" applyBorder="1" applyProtection="1">
      <protection hidden="1"/>
    </xf>
    <xf numFmtId="0" fontId="13" fillId="0" borderId="3" xfId="1" applyFont="1" applyBorder="1" applyAlignment="1" applyProtection="1">
      <alignment horizontal="center" vertical="top"/>
      <protection locked="0"/>
    </xf>
    <xf numFmtId="0" fontId="13" fillId="0" borderId="4" xfId="1" applyFont="1" applyBorder="1" applyAlignment="1" applyProtection="1">
      <alignment horizontal="center" vertical="top"/>
      <protection locked="0"/>
    </xf>
    <xf numFmtId="0" fontId="7" fillId="0" borderId="1" xfId="1" applyFont="1" applyBorder="1" applyAlignment="1" applyProtection="1">
      <alignment vertical="top" wrapText="1"/>
      <protection locked="0"/>
    </xf>
    <xf numFmtId="0" fontId="8" fillId="0" borderId="0" xfId="1" applyFont="1"/>
    <xf numFmtId="0" fontId="16" fillId="0" borderId="0" xfId="1" applyFont="1"/>
    <xf numFmtId="0" fontId="13" fillId="0" borderId="0" xfId="1" applyFont="1"/>
    <xf numFmtId="1" fontId="8" fillId="0" borderId="0" xfId="1" applyNumberFormat="1" applyFont="1"/>
    <xf numFmtId="14" fontId="8" fillId="0" borderId="0" xfId="1" applyNumberFormat="1" applyFont="1"/>
    <xf numFmtId="0" fontId="8" fillId="0" borderId="0" xfId="1" applyFont="1" applyProtection="1">
      <protection hidden="1"/>
    </xf>
    <xf numFmtId="0" fontId="25" fillId="0" borderId="0" xfId="1" applyFont="1"/>
    <xf numFmtId="0" fontId="8" fillId="0" borderId="9" xfId="1" applyFont="1" applyBorder="1"/>
    <xf numFmtId="0" fontId="19"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7" fillId="0" borderId="0" xfId="1" applyFont="1"/>
    <xf numFmtId="0" fontId="7" fillId="0" borderId="0" xfId="2" applyFont="1"/>
    <xf numFmtId="0" fontId="8" fillId="0" borderId="0" xfId="0" applyFont="1" applyAlignment="1">
      <alignment horizontal="center" vertical="center"/>
    </xf>
    <xf numFmtId="1" fontId="8" fillId="0" borderId="0" xfId="1" applyNumberFormat="1" applyFont="1" applyAlignment="1">
      <alignment horizontal="center" vertical="center"/>
    </xf>
    <xf numFmtId="0" fontId="8" fillId="0" borderId="0" xfId="1" applyFont="1" applyAlignment="1">
      <alignment horizontal="center" vertical="center"/>
    </xf>
    <xf numFmtId="0" fontId="9" fillId="0" borderId="0" xfId="1" applyFont="1" applyAlignment="1" applyProtection="1">
      <alignment vertical="top"/>
      <protection locked="0"/>
    </xf>
    <xf numFmtId="0" fontId="9" fillId="0" borderId="0" xfId="1" applyFont="1" applyAlignment="1" applyProtection="1">
      <alignment vertical="top" wrapText="1"/>
      <protection locked="0"/>
    </xf>
    <xf numFmtId="0" fontId="8" fillId="0" borderId="0" xfId="1" applyFont="1" applyProtection="1">
      <protection locked="0"/>
    </xf>
    <xf numFmtId="0" fontId="11" fillId="0" borderId="0" xfId="1" applyFont="1" applyProtection="1">
      <protection locked="0"/>
    </xf>
    <xf numFmtId="1" fontId="7" fillId="0" borderId="1" xfId="1" applyNumberFormat="1" applyFont="1" applyBorder="1" applyAlignment="1" applyProtection="1">
      <alignment horizontal="center" vertical="center" wrapText="1"/>
      <protection locked="0"/>
    </xf>
    <xf numFmtId="0" fontId="9" fillId="0" borderId="1" xfId="1" applyFont="1" applyBorder="1" applyAlignment="1" applyProtection="1">
      <alignment vertical="top"/>
      <protection locked="0"/>
    </xf>
    <xf numFmtId="1" fontId="7" fillId="0" borderId="1" xfId="0" applyNumberFormat="1" applyFont="1" applyBorder="1" applyAlignment="1" applyProtection="1">
      <alignment horizontal="center" vertical="center" wrapText="1"/>
      <protection locked="0"/>
    </xf>
    <xf numFmtId="0" fontId="26" fillId="2" borderId="29" xfId="0" applyFont="1" applyFill="1" applyBorder="1"/>
    <xf numFmtId="0" fontId="27" fillId="0" borderId="30" xfId="0" applyFont="1" applyBorder="1"/>
    <xf numFmtId="0" fontId="27" fillId="0" borderId="1" xfId="0" applyFont="1" applyBorder="1"/>
    <xf numFmtId="0" fontId="27" fillId="0" borderId="4" xfId="0" applyFont="1" applyBorder="1"/>
    <xf numFmtId="0" fontId="13"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9" fillId="0" borderId="2" xfId="1" applyNumberFormat="1" applyFont="1" applyBorder="1" applyAlignment="1" applyProtection="1">
      <alignment horizontal="center" vertical="top" wrapText="1"/>
      <protection locked="0"/>
    </xf>
    <xf numFmtId="9" fontId="18" fillId="0" borderId="15"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13" fillId="0" borderId="0" xfId="1" applyFont="1" applyProtection="1">
      <protection locked="0"/>
    </xf>
    <xf numFmtId="0" fontId="1" fillId="0" borderId="0" xfId="1" applyFont="1" applyAlignment="1">
      <alignment wrapText="1"/>
    </xf>
    <xf numFmtId="0" fontId="13" fillId="0" borderId="1" xfId="1" applyFont="1" applyBorder="1" applyAlignment="1" applyProtection="1">
      <alignment horizontal="center" vertical="top" wrapText="1"/>
      <protection locked="0"/>
    </xf>
    <xf numFmtId="9" fontId="13" fillId="0" borderId="1" xfId="8" applyFont="1" applyFill="1" applyBorder="1" applyAlignment="1" applyProtection="1">
      <alignment horizontal="center" vertical="top" wrapText="1"/>
      <protection locked="0"/>
    </xf>
    <xf numFmtId="0" fontId="13" fillId="0" borderId="6" xfId="1" applyFont="1" applyBorder="1" applyAlignment="1" applyProtection="1">
      <alignment horizontal="center" vertical="top" wrapText="1"/>
      <protection locked="0"/>
    </xf>
    <xf numFmtId="9" fontId="13" fillId="0" borderId="6" xfId="8" applyFont="1" applyFill="1" applyBorder="1" applyAlignment="1" applyProtection="1">
      <alignment horizontal="center" vertical="top" wrapText="1"/>
      <protection locked="0"/>
    </xf>
    <xf numFmtId="2" fontId="8" fillId="0" borderId="0" xfId="1" applyNumberFormat="1" applyFont="1" applyAlignment="1">
      <alignment horizontal="center" vertical="center"/>
    </xf>
    <xf numFmtId="168" fontId="8" fillId="0" borderId="0" xfId="1" applyNumberFormat="1" applyFont="1" applyAlignment="1">
      <alignment horizontal="center" vertical="center"/>
    </xf>
    <xf numFmtId="1" fontId="8" fillId="0" borderId="1" xfId="1" applyNumberFormat="1" applyFont="1" applyBorder="1" applyAlignment="1">
      <alignment horizontal="center" vertical="center"/>
    </xf>
    <xf numFmtId="9" fontId="11" fillId="0" borderId="15" xfId="8" applyFont="1" applyFill="1" applyBorder="1" applyAlignment="1" applyProtection="1">
      <alignment horizontal="center" vertical="top" wrapText="1"/>
      <protection locked="0"/>
    </xf>
    <xf numFmtId="1" fontId="7" fillId="0" borderId="1" xfId="1" applyNumberFormat="1" applyFont="1" applyBorder="1" applyAlignment="1" applyProtection="1">
      <alignment horizontal="center" vertical="center"/>
      <protection locked="0"/>
    </xf>
    <xf numFmtId="1" fontId="13" fillId="0" borderId="1" xfId="1"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horizontal="left" vertical="top"/>
      <protection locked="0"/>
    </xf>
    <xf numFmtId="1" fontId="9" fillId="0" borderId="2" xfId="0" applyNumberFormat="1" applyFont="1" applyBorder="1" applyAlignment="1" applyProtection="1">
      <alignment horizontal="center" vertical="top" wrapText="1"/>
      <protection locked="0"/>
    </xf>
    <xf numFmtId="0" fontId="8" fillId="0" borderId="1" xfId="0" applyFont="1" applyBorder="1" applyAlignment="1" applyProtection="1">
      <alignment horizontal="center" vertical="center"/>
      <protection locked="0"/>
    </xf>
    <xf numFmtId="1" fontId="8" fillId="0" borderId="1" xfId="0" applyNumberFormat="1"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wrapText="1"/>
      <protection locked="0"/>
    </xf>
    <xf numFmtId="1" fontId="11"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1" fontId="11" fillId="0" borderId="1" xfId="0" applyNumberFormat="1" applyFont="1" applyBorder="1" applyAlignment="1" applyProtection="1">
      <alignment horizontal="center" vertical="top" wrapText="1"/>
      <protection locked="0"/>
    </xf>
    <xf numFmtId="0" fontId="11" fillId="0" borderId="1" xfId="0"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8" fillId="0" borderId="1" xfId="0"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167" fontId="13" fillId="0" borderId="1" xfId="9" applyNumberFormat="1" applyFont="1" applyFill="1" applyBorder="1" applyAlignment="1" applyProtection="1">
      <alignment horizontal="left" vertical="top"/>
      <protection locked="0"/>
    </xf>
    <xf numFmtId="0" fontId="9" fillId="0" borderId="1" xfId="1" applyFont="1" applyBorder="1" applyAlignment="1" applyProtection="1">
      <alignment horizontal="left" vertical="top"/>
      <protection locked="0"/>
    </xf>
    <xf numFmtId="0" fontId="7" fillId="0" borderId="7" xfId="1" applyFont="1" applyBorder="1" applyAlignment="1" applyProtection="1">
      <alignment horizontal="left" vertical="top" wrapText="1"/>
      <protection locked="0"/>
    </xf>
    <xf numFmtId="0" fontId="7" fillId="0" borderId="8" xfId="1" applyFont="1" applyBorder="1" applyAlignment="1" applyProtection="1">
      <alignment horizontal="left" vertical="top" wrapText="1"/>
      <protection locked="0"/>
    </xf>
    <xf numFmtId="0" fontId="14" fillId="0" borderId="7" xfId="1" applyFont="1" applyBorder="1" applyAlignment="1" applyProtection="1">
      <alignment horizontal="left" vertical="top"/>
      <protection locked="0"/>
    </xf>
    <xf numFmtId="0" fontId="14" fillId="0" borderId="20" xfId="1" applyFont="1" applyBorder="1" applyAlignment="1" applyProtection="1">
      <alignment horizontal="left" vertical="top"/>
      <protection locked="0"/>
    </xf>
    <xf numFmtId="0" fontId="14" fillId="0" borderId="8" xfId="1" applyFont="1" applyBorder="1" applyAlignment="1" applyProtection="1">
      <alignment horizontal="left" vertical="top"/>
      <protection locked="0"/>
    </xf>
    <xf numFmtId="1" fontId="9" fillId="0" borderId="7" xfId="0" applyNumberFormat="1" applyFont="1" applyBorder="1" applyAlignment="1" applyProtection="1">
      <alignment vertical="top" wrapText="1"/>
      <protection locked="0"/>
    </xf>
    <xf numFmtId="1" fontId="9" fillId="0" borderId="20" xfId="0" applyNumberFormat="1" applyFont="1" applyBorder="1" applyAlignment="1" applyProtection="1">
      <alignment vertical="top" wrapText="1"/>
      <protection locked="0"/>
    </xf>
    <xf numFmtId="1" fontId="9" fillId="0" borderId="8" xfId="0" applyNumberFormat="1" applyFont="1" applyBorder="1" applyAlignment="1" applyProtection="1">
      <alignment vertical="top" wrapText="1"/>
      <protection locked="0"/>
    </xf>
    <xf numFmtId="1" fontId="9" fillId="0" borderId="2" xfId="1" applyNumberFormat="1" applyFont="1" applyBorder="1" applyAlignment="1" applyProtection="1">
      <alignment horizontal="center" vertical="top" wrapText="1"/>
      <protection locked="0"/>
    </xf>
    <xf numFmtId="1" fontId="9" fillId="0" borderId="15" xfId="1" applyNumberFormat="1" applyFont="1" applyBorder="1" applyAlignment="1" applyProtection="1">
      <alignment horizontal="center" vertical="top" wrapText="1"/>
      <protection locked="0"/>
    </xf>
    <xf numFmtId="0" fontId="9" fillId="0" borderId="15" xfId="1" applyFont="1" applyBorder="1" applyAlignment="1" applyProtection="1">
      <alignment horizontal="left" vertical="top"/>
      <protection locked="0"/>
    </xf>
    <xf numFmtId="1" fontId="5" fillId="0" borderId="2" xfId="1" applyNumberFormat="1" applyFont="1" applyBorder="1" applyAlignment="1" applyProtection="1">
      <alignment horizontal="center" vertical="top" wrapText="1"/>
      <protection locked="0"/>
    </xf>
    <xf numFmtId="1" fontId="5" fillId="0" borderId="15" xfId="1" applyNumberFormat="1" applyFont="1" applyBorder="1" applyAlignment="1" applyProtection="1">
      <alignment horizontal="center" vertical="top" wrapText="1"/>
      <protection locked="0"/>
    </xf>
    <xf numFmtId="1" fontId="7" fillId="0" borderId="7"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0" fontId="8" fillId="0" borderId="3" xfId="1" applyFont="1" applyBorder="1" applyAlignment="1" applyProtection="1">
      <alignment horizontal="center" vertical="top" wrapText="1"/>
      <protection locked="0"/>
    </xf>
    <xf numFmtId="0" fontId="8" fillId="0" borderId="1" xfId="1" applyFont="1" applyBorder="1" applyAlignment="1" applyProtection="1">
      <alignment horizontal="center" vertical="top" wrapText="1"/>
      <protection locked="0"/>
    </xf>
    <xf numFmtId="0" fontId="14" fillId="0" borderId="3" xfId="1" applyFont="1" applyBorder="1" applyAlignment="1" applyProtection="1">
      <alignment horizontal="left" vertical="top"/>
      <protection locked="0"/>
    </xf>
    <xf numFmtId="0" fontId="14" fillId="0" borderId="1" xfId="1" applyFont="1" applyBorder="1" applyAlignment="1" applyProtection="1">
      <alignment horizontal="left" vertical="top"/>
      <protection locked="0"/>
    </xf>
    <xf numFmtId="0" fontId="9" fillId="0" borderId="21" xfId="1" applyFont="1" applyBorder="1" applyAlignment="1" applyProtection="1">
      <alignment horizontal="left" vertical="top" wrapText="1"/>
      <protection locked="0"/>
    </xf>
    <xf numFmtId="0" fontId="9" fillId="0" borderId="14" xfId="1" applyFont="1" applyBorder="1" applyAlignment="1" applyProtection="1">
      <alignment horizontal="left" vertical="top" wrapText="1"/>
      <protection locked="0"/>
    </xf>
    <xf numFmtId="0" fontId="14" fillId="0" borderId="12" xfId="1" applyFont="1" applyBorder="1" applyAlignment="1" applyProtection="1">
      <alignment horizontal="left" vertical="top" wrapText="1"/>
      <protection locked="0"/>
    </xf>
    <xf numFmtId="0" fontId="14" fillId="0" borderId="13" xfId="1" applyFont="1" applyBorder="1" applyAlignment="1" applyProtection="1">
      <alignment horizontal="left" vertical="top" wrapText="1"/>
      <protection locked="0"/>
    </xf>
    <xf numFmtId="0" fontId="14" fillId="0" borderId="22"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14" fillId="0" borderId="1" xfId="1" applyFont="1" applyBorder="1" applyAlignment="1" applyProtection="1">
      <alignment horizontal="left" vertical="top" wrapText="1"/>
      <protection locked="0"/>
    </xf>
    <xf numFmtId="0" fontId="14" fillId="0" borderId="4" xfId="1" applyFont="1" applyBorder="1" applyAlignment="1" applyProtection="1">
      <alignment horizontal="left" vertical="top" wrapText="1"/>
      <protection locked="0"/>
    </xf>
    <xf numFmtId="0" fontId="8" fillId="0" borderId="0" xfId="1" applyFont="1" applyAlignment="1">
      <alignment horizontal="center" vertical="center"/>
    </xf>
    <xf numFmtId="1" fontId="7" fillId="0" borderId="1" xfId="1" applyNumberFormat="1" applyFont="1" applyBorder="1" applyAlignment="1" applyProtection="1">
      <alignment horizontal="center" vertical="center" wrapText="1"/>
      <protection locked="0"/>
    </xf>
    <xf numFmtId="0" fontId="28" fillId="0" borderId="1" xfId="10" applyFill="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1" fontId="8" fillId="0" borderId="1" xfId="0" applyNumberFormat="1" applyFont="1" applyBorder="1" applyAlignment="1" applyProtection="1">
      <alignment horizontal="center" vertical="center"/>
      <protection locked="0"/>
    </xf>
    <xf numFmtId="1" fontId="14" fillId="0" borderId="2" xfId="1" applyNumberFormat="1" applyFont="1" applyBorder="1" applyAlignment="1" applyProtection="1">
      <alignment horizontal="center" vertical="top" wrapText="1"/>
      <protection locked="0"/>
    </xf>
    <xf numFmtId="1" fontId="14" fillId="0" borderId="15" xfId="1" applyNumberFormat="1" applyFont="1" applyBorder="1" applyAlignment="1" applyProtection="1">
      <alignment horizontal="center" vertical="top" wrapText="1"/>
      <protection locked="0"/>
    </xf>
    <xf numFmtId="1" fontId="9" fillId="0" borderId="32" xfId="0" applyNumberFormat="1" applyFont="1" applyBorder="1" applyAlignment="1" applyProtection="1">
      <alignment horizontal="center" vertical="top" wrapText="1"/>
      <protection locked="0"/>
    </xf>
    <xf numFmtId="1" fontId="9" fillId="0" borderId="33" xfId="0" applyNumberFormat="1" applyFont="1" applyBorder="1" applyAlignment="1" applyProtection="1">
      <alignment horizontal="center" vertical="top" wrapText="1"/>
      <protection locked="0"/>
    </xf>
    <xf numFmtId="0" fontId="7" fillId="0" borderId="7" xfId="1" applyFont="1" applyBorder="1" applyAlignment="1" applyProtection="1">
      <alignment vertical="top" wrapText="1"/>
      <protection locked="0"/>
    </xf>
    <xf numFmtId="0" fontId="7" fillId="0" borderId="20" xfId="1" applyFont="1" applyBorder="1" applyAlignment="1" applyProtection="1">
      <alignment vertical="top" wrapText="1"/>
      <protection locked="0"/>
    </xf>
    <xf numFmtId="0" fontId="7" fillId="0" borderId="8" xfId="1" applyFont="1" applyBorder="1" applyAlignment="1" applyProtection="1">
      <alignment vertical="top" wrapText="1"/>
      <protection locked="0"/>
    </xf>
    <xf numFmtId="1" fontId="9" fillId="0" borderId="7" xfId="1" applyNumberFormat="1" applyFont="1" applyBorder="1" applyAlignment="1" applyProtection="1">
      <alignment horizontal="center" vertical="center" wrapText="1"/>
      <protection locked="0"/>
    </xf>
    <xf numFmtId="1" fontId="9" fillId="0" borderId="20" xfId="1" applyNumberFormat="1" applyFont="1" applyBorder="1" applyAlignment="1" applyProtection="1">
      <alignment horizontal="center" vertical="center" wrapText="1"/>
      <protection locked="0"/>
    </xf>
    <xf numFmtId="1" fontId="9" fillId="0" borderId="8" xfId="1" applyNumberFormat="1" applyFont="1" applyBorder="1" applyAlignment="1" applyProtection="1">
      <alignment horizontal="center" vertical="center" wrapText="1"/>
      <protection locked="0"/>
    </xf>
    <xf numFmtId="1" fontId="11" fillId="0" borderId="7" xfId="0" applyNumberFormat="1"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9" fillId="0" borderId="15"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3" fillId="0" borderId="7" xfId="1" applyFont="1" applyBorder="1" applyAlignment="1" applyProtection="1">
      <alignment horizontal="center" vertical="top"/>
      <protection locked="0"/>
    </xf>
    <xf numFmtId="0" fontId="13" fillId="0" borderId="20" xfId="1" applyFont="1" applyBorder="1" applyAlignment="1" applyProtection="1">
      <alignment horizontal="center" vertical="top"/>
      <protection locked="0"/>
    </xf>
    <xf numFmtId="0" fontId="13" fillId="0" borderId="8" xfId="1" applyFont="1" applyBorder="1" applyAlignment="1" applyProtection="1">
      <alignment horizontal="center" vertical="top"/>
      <protection locked="0"/>
    </xf>
    <xf numFmtId="2" fontId="13" fillId="0" borderId="1" xfId="1" applyNumberFormat="1" applyFont="1" applyBorder="1" applyAlignment="1" applyProtection="1">
      <alignment horizontal="left" vertical="top" wrapText="1"/>
      <protection locked="0"/>
    </xf>
    <xf numFmtId="1" fontId="7" fillId="0" borderId="1" xfId="1" applyNumberFormat="1" applyFont="1" applyBorder="1" applyAlignment="1" applyProtection="1">
      <alignment horizontal="left" vertical="top" wrapText="1"/>
      <protection locked="0"/>
    </xf>
    <xf numFmtId="164" fontId="13" fillId="0" borderId="1" xfId="1" applyNumberFormat="1" applyFont="1" applyBorder="1" applyAlignment="1" applyProtection="1">
      <alignment horizontal="left" vertical="top"/>
      <protection locked="0"/>
    </xf>
    <xf numFmtId="2" fontId="13"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7" fillId="0" borderId="20" xfId="1" applyFont="1" applyBorder="1" applyAlignment="1" applyProtection="1">
      <alignment horizontal="left" vertical="top" wrapText="1"/>
      <protection locked="0"/>
    </xf>
    <xf numFmtId="0" fontId="13" fillId="0" borderId="2" xfId="1" applyFont="1" applyBorder="1" applyAlignment="1" applyProtection="1">
      <alignment horizontal="left" vertical="top" wrapText="1"/>
      <protection locked="0"/>
    </xf>
    <xf numFmtId="0" fontId="13" fillId="0" borderId="2" xfId="1" applyFont="1" applyBorder="1" applyAlignment="1" applyProtection="1">
      <alignment horizontal="left" vertical="top"/>
      <protection locked="0"/>
    </xf>
    <xf numFmtId="0" fontId="13" fillId="0" borderId="16" xfId="1" applyFont="1" applyBorder="1" applyAlignment="1" applyProtection="1">
      <alignment horizontal="left" vertical="top" wrapText="1"/>
      <protection locked="0"/>
    </xf>
    <xf numFmtId="0" fontId="13" fillId="0" borderId="23" xfId="1" applyFont="1" applyBorder="1" applyAlignment="1" applyProtection="1">
      <alignment horizontal="left" vertical="top" wrapText="1"/>
      <protection locked="0"/>
    </xf>
    <xf numFmtId="0" fontId="13" fillId="0" borderId="17" xfId="1" applyFont="1" applyBorder="1" applyAlignment="1" applyProtection="1">
      <alignment horizontal="left" vertical="top" wrapText="1"/>
      <protection locked="0"/>
    </xf>
    <xf numFmtId="0" fontId="14" fillId="0" borderId="7" xfId="1" applyFont="1" applyBorder="1" applyAlignment="1" applyProtection="1">
      <alignment horizontal="center" vertical="top"/>
      <protection locked="0"/>
    </xf>
    <xf numFmtId="0" fontId="14" fillId="0" borderId="20" xfId="1" applyFont="1" applyBorder="1" applyAlignment="1" applyProtection="1">
      <alignment horizontal="center" vertical="top"/>
      <protection locked="0"/>
    </xf>
    <xf numFmtId="0" fontId="14" fillId="0" borderId="8" xfId="1" applyFont="1" applyBorder="1" applyAlignment="1" applyProtection="1">
      <alignment horizontal="center" vertical="top"/>
      <protection locked="0"/>
    </xf>
    <xf numFmtId="0" fontId="14" fillId="0" borderId="1" xfId="1" applyFont="1" applyBorder="1" applyAlignment="1" applyProtection="1">
      <alignment horizontal="center"/>
      <protection locked="0"/>
    </xf>
    <xf numFmtId="0" fontId="13" fillId="0" borderId="1" xfId="1" applyFont="1" applyBorder="1" applyAlignment="1" applyProtection="1">
      <alignment horizontal="left"/>
      <protection locked="0"/>
    </xf>
    <xf numFmtId="0" fontId="12" fillId="0" borderId="1" xfId="1" applyFont="1" applyBorder="1" applyAlignment="1" applyProtection="1">
      <alignment horizontal="center" vertical="top" wrapText="1"/>
      <protection locked="0"/>
    </xf>
    <xf numFmtId="0" fontId="9" fillId="0" borderId="1" xfId="1" applyFont="1" applyBorder="1" applyAlignment="1" applyProtection="1">
      <alignment horizontal="center" vertical="top"/>
      <protection locked="0"/>
    </xf>
    <xf numFmtId="14" fontId="13"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7" fillId="0" borderId="2" xfId="1" applyFont="1" applyBorder="1" applyAlignment="1" applyProtection="1">
      <alignment horizontal="left" vertical="top" wrapText="1"/>
      <protection locked="0"/>
    </xf>
    <xf numFmtId="0" fontId="13" fillId="0" borderId="4" xfId="1" applyFont="1" applyBorder="1" applyAlignment="1" applyProtection="1">
      <alignment horizontal="center" vertical="top" wrapText="1"/>
      <protection locked="0"/>
    </xf>
    <xf numFmtId="9" fontId="13" fillId="0" borderId="16" xfId="8" applyFont="1" applyFill="1" applyBorder="1" applyAlignment="1" applyProtection="1">
      <alignment horizontal="center" vertical="center" wrapText="1"/>
      <protection locked="0"/>
    </xf>
    <xf numFmtId="9" fontId="13" fillId="0" borderId="17" xfId="8" applyFont="1" applyFill="1" applyBorder="1" applyAlignment="1" applyProtection="1">
      <alignment horizontal="center" vertical="center" wrapText="1"/>
      <protection locked="0"/>
    </xf>
    <xf numFmtId="9" fontId="13" fillId="0" borderId="24" xfId="8" applyFont="1" applyFill="1" applyBorder="1" applyAlignment="1" applyProtection="1">
      <alignment horizontal="center" vertical="center" wrapText="1"/>
      <protection locked="0"/>
    </xf>
    <xf numFmtId="9" fontId="13" fillId="0" borderId="25" xfId="8" applyFont="1" applyFill="1" applyBorder="1" applyAlignment="1" applyProtection="1">
      <alignment horizontal="center" vertical="center" wrapText="1"/>
      <protection locked="0"/>
    </xf>
    <xf numFmtId="9" fontId="13" fillId="0" borderId="27" xfId="8" applyFont="1" applyFill="1" applyBorder="1" applyAlignment="1" applyProtection="1">
      <alignment horizontal="center" vertical="center" wrapText="1"/>
      <protection locked="0"/>
    </xf>
    <xf numFmtId="9" fontId="13" fillId="0" borderId="28" xfId="8" applyFont="1" applyFill="1" applyBorder="1" applyAlignment="1" applyProtection="1">
      <alignment horizontal="center" vertical="center" wrapText="1"/>
      <protection locked="0"/>
    </xf>
    <xf numFmtId="9" fontId="13" fillId="0" borderId="26" xfId="8" applyFont="1" applyFill="1" applyBorder="1" applyAlignment="1" applyProtection="1">
      <alignment horizontal="center" vertical="center" wrapText="1"/>
      <protection locked="0"/>
    </xf>
    <xf numFmtId="9" fontId="13" fillId="0" borderId="9" xfId="8" applyFont="1" applyFill="1" applyBorder="1" applyAlignment="1" applyProtection="1">
      <alignment horizontal="center" vertical="center" wrapText="1"/>
      <protection locked="0"/>
    </xf>
    <xf numFmtId="9" fontId="13" fillId="0" borderId="11" xfId="8" applyFont="1" applyFill="1" applyBorder="1" applyAlignment="1" applyProtection="1">
      <alignment horizontal="center" vertical="center" wrapText="1"/>
      <protection locked="0"/>
    </xf>
    <xf numFmtId="0" fontId="8" fillId="0" borderId="5" xfId="1" applyFont="1" applyBorder="1" applyAlignment="1" applyProtection="1">
      <alignment horizontal="center" vertical="top" wrapText="1"/>
      <protection locked="0"/>
    </xf>
    <xf numFmtId="0" fontId="8" fillId="0" borderId="6" xfId="1" applyFont="1" applyBorder="1" applyAlignment="1" applyProtection="1">
      <alignment horizontal="center" vertical="top" wrapText="1"/>
      <protection locked="0"/>
    </xf>
    <xf numFmtId="0" fontId="11" fillId="0" borderId="32" xfId="0" applyFont="1" applyBorder="1" applyAlignment="1" applyProtection="1">
      <alignment horizontal="center" vertical="center"/>
      <protection locked="0"/>
    </xf>
    <xf numFmtId="0" fontId="11" fillId="0" borderId="32" xfId="0" applyFont="1" applyBorder="1" applyAlignment="1" applyProtection="1">
      <alignment horizontal="center" vertical="top" wrapText="1"/>
      <protection locked="0"/>
    </xf>
    <xf numFmtId="1" fontId="9" fillId="0" borderId="16" xfId="1" applyNumberFormat="1" applyFont="1" applyBorder="1" applyAlignment="1" applyProtection="1">
      <alignment horizontal="center" vertical="top" wrapText="1"/>
      <protection locked="0"/>
    </xf>
    <xf numFmtId="1" fontId="9" fillId="0" borderId="18" xfId="1" applyNumberFormat="1" applyFont="1" applyBorder="1" applyAlignment="1" applyProtection="1">
      <alignment horizontal="center" vertical="top" wrapText="1"/>
      <protection locked="0"/>
    </xf>
    <xf numFmtId="1" fontId="9" fillId="0" borderId="2" xfId="0" applyNumberFormat="1" applyFont="1" applyBorder="1" applyAlignment="1" applyProtection="1">
      <alignment horizontal="center" vertical="center" wrapText="1"/>
      <protection locked="0"/>
    </xf>
    <xf numFmtId="0" fontId="11" fillId="0" borderId="2" xfId="0"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0" fontId="9" fillId="0" borderId="1" xfId="1" applyFont="1" applyBorder="1" applyAlignment="1" applyProtection="1">
      <alignment vertical="top"/>
      <protection locked="0"/>
    </xf>
    <xf numFmtId="0" fontId="7" fillId="0" borderId="1" xfId="1" applyFont="1" applyBorder="1" applyAlignment="1" applyProtection="1">
      <alignment vertical="top"/>
      <protection locked="0"/>
    </xf>
    <xf numFmtId="1" fontId="11" fillId="0" borderId="7" xfId="0" applyNumberFormat="1" applyFont="1" applyBorder="1" applyAlignment="1" applyProtection="1">
      <alignment vertical="top" wrapText="1"/>
      <protection locked="0"/>
    </xf>
    <xf numFmtId="1" fontId="11" fillId="0" borderId="20" xfId="0" applyNumberFormat="1" applyFont="1" applyBorder="1" applyAlignment="1" applyProtection="1">
      <alignment vertical="top" wrapText="1"/>
      <protection locked="0"/>
    </xf>
    <xf numFmtId="1" fontId="11" fillId="0" borderId="8" xfId="0" applyNumberFormat="1" applyFont="1" applyBorder="1" applyAlignment="1" applyProtection="1">
      <alignment vertical="top" wrapText="1"/>
      <protection locked="0"/>
    </xf>
    <xf numFmtId="1" fontId="9" fillId="0" borderId="1" xfId="0" applyNumberFormat="1" applyFont="1" applyBorder="1" applyAlignment="1" applyProtection="1">
      <alignment horizontal="left" vertical="top" wrapText="1"/>
      <protection locked="0"/>
    </xf>
    <xf numFmtId="1" fontId="14" fillId="0" borderId="7" xfId="0" applyNumberFormat="1" applyFont="1" applyBorder="1" applyAlignment="1" applyProtection="1">
      <alignment vertical="top" wrapText="1"/>
      <protection locked="0"/>
    </xf>
    <xf numFmtId="1" fontId="14" fillId="0" borderId="20" xfId="0" applyNumberFormat="1" applyFont="1" applyBorder="1" applyAlignment="1" applyProtection="1">
      <alignment vertical="top" wrapText="1"/>
      <protection locked="0"/>
    </xf>
    <xf numFmtId="1" fontId="14" fillId="0" borderId="8" xfId="0" applyNumberFormat="1" applyFont="1" applyBorder="1" applyAlignment="1" applyProtection="1">
      <alignment vertical="top" wrapText="1"/>
      <protection locked="0"/>
    </xf>
    <xf numFmtId="14" fontId="7" fillId="0" borderId="7" xfId="1" applyNumberFormat="1" applyFont="1" applyBorder="1" applyAlignment="1" applyProtection="1">
      <alignment horizontal="left" vertical="top" wrapText="1"/>
      <protection locked="0"/>
    </xf>
    <xf numFmtId="0" fontId="7" fillId="0" borderId="16" xfId="1" applyFont="1" applyBorder="1" applyAlignment="1" applyProtection="1">
      <alignment horizontal="left" vertical="top" wrapText="1"/>
      <protection locked="0"/>
    </xf>
    <xf numFmtId="0" fontId="7" fillId="0" borderId="17" xfId="1" applyFont="1" applyBorder="1" applyAlignment="1" applyProtection="1">
      <alignment horizontal="left" vertical="top" wrapText="1"/>
      <protection locked="0"/>
    </xf>
    <xf numFmtId="0" fontId="7" fillId="0" borderId="18" xfId="1" applyFont="1" applyBorder="1" applyAlignment="1" applyProtection="1">
      <alignment horizontal="left" vertical="top" wrapText="1"/>
      <protection locked="0"/>
    </xf>
    <xf numFmtId="0" fontId="7" fillId="0" borderId="19" xfId="1" applyFont="1" applyBorder="1" applyAlignment="1" applyProtection="1">
      <alignment horizontal="left" vertical="top" wrapText="1"/>
      <protection locked="0"/>
    </xf>
    <xf numFmtId="0" fontId="7" fillId="0" borderId="2" xfId="1" applyFont="1" applyBorder="1" applyAlignment="1" applyProtection="1">
      <alignment horizontal="left" vertical="top"/>
      <protection locked="0"/>
    </xf>
    <xf numFmtId="0" fontId="8" fillId="0" borderId="1" xfId="1" applyFont="1" applyBorder="1" applyAlignment="1" applyProtection="1">
      <alignment horizontal="left" vertical="top"/>
      <protection locked="0"/>
    </xf>
    <xf numFmtId="0" fontId="9" fillId="0" borderId="7" xfId="1" applyFont="1" applyBorder="1" applyAlignment="1" applyProtection="1">
      <alignment horizontal="left" vertical="top"/>
      <protection locked="0"/>
    </xf>
    <xf numFmtId="0" fontId="9" fillId="0" borderId="8" xfId="1" applyFont="1" applyBorder="1" applyAlignment="1" applyProtection="1">
      <alignment horizontal="left" vertical="top"/>
      <protection locked="0"/>
    </xf>
    <xf numFmtId="0" fontId="16" fillId="0" borderId="16" xfId="1" applyFont="1" applyBorder="1" applyAlignment="1" applyProtection="1">
      <alignment horizontal="left" vertical="top" wrapText="1"/>
      <protection locked="0"/>
    </xf>
    <xf numFmtId="0" fontId="16" fillId="0" borderId="17" xfId="1" applyFont="1" applyBorder="1" applyAlignment="1" applyProtection="1">
      <alignment horizontal="left" vertical="top" wrapText="1"/>
      <protection locked="0"/>
    </xf>
    <xf numFmtId="0" fontId="16" fillId="0" borderId="18" xfId="1" applyFont="1" applyBorder="1" applyAlignment="1" applyProtection="1">
      <alignment horizontal="left" vertical="top" wrapText="1"/>
      <protection locked="0"/>
    </xf>
    <xf numFmtId="0" fontId="16" fillId="0" borderId="19" xfId="1" applyFont="1" applyBorder="1" applyAlignment="1" applyProtection="1">
      <alignment horizontal="left" vertical="top" wrapText="1"/>
      <protection locked="0"/>
    </xf>
    <xf numFmtId="1" fontId="18" fillId="0" borderId="7" xfId="0" applyNumberFormat="1" applyFont="1" applyBorder="1" applyAlignment="1" applyProtection="1">
      <alignment vertical="top" wrapText="1"/>
      <protection locked="0"/>
    </xf>
    <xf numFmtId="1" fontId="18" fillId="0" borderId="20" xfId="0" applyNumberFormat="1" applyFont="1" applyBorder="1" applyAlignment="1" applyProtection="1">
      <alignment vertical="top" wrapText="1"/>
      <protection locked="0"/>
    </xf>
    <xf numFmtId="1" fontId="18" fillId="0" borderId="8" xfId="0" applyNumberFormat="1" applyFont="1" applyBorder="1" applyAlignment="1" applyProtection="1">
      <alignment vertical="top" wrapText="1"/>
      <protection locked="0"/>
    </xf>
    <xf numFmtId="1" fontId="9" fillId="0" borderId="31" xfId="0" applyNumberFormat="1" applyFont="1" applyBorder="1" applyAlignment="1" applyProtection="1">
      <alignment horizontal="center" vertical="center" wrapText="1"/>
      <protection locked="0"/>
    </xf>
    <xf numFmtId="1" fontId="9" fillId="0" borderId="32" xfId="0" applyNumberFormat="1" applyFont="1" applyBorder="1" applyAlignment="1" applyProtection="1">
      <alignment horizontal="center" vertical="center" wrapText="1"/>
      <protection locked="0"/>
    </xf>
    <xf numFmtId="1" fontId="7" fillId="0" borderId="20" xfId="1" applyNumberFormat="1" applyFont="1" applyBorder="1" applyAlignment="1" applyProtection="1">
      <alignment horizontal="center" vertical="center" wrapText="1"/>
      <protection locked="0"/>
    </xf>
    <xf numFmtId="1" fontId="9" fillId="0" borderId="1" xfId="1" applyNumberFormat="1" applyFont="1" applyBorder="1" applyAlignment="1" applyProtection="1">
      <alignment horizontal="center" vertical="center" wrapText="1"/>
      <protection locked="0"/>
    </xf>
    <xf numFmtId="0" fontId="8" fillId="0" borderId="24" xfId="1" applyFont="1" applyBorder="1" applyAlignment="1">
      <alignment horizontal="center"/>
    </xf>
    <xf numFmtId="0" fontId="8" fillId="0" borderId="0" xfId="1" applyFont="1" applyAlignment="1">
      <alignment horizontal="center"/>
    </xf>
    <xf numFmtId="0" fontId="11" fillId="0" borderId="1" xfId="1" applyFont="1" applyBorder="1" applyAlignment="1" applyProtection="1">
      <alignment horizontal="center" vertical="top"/>
      <protection locked="0"/>
    </xf>
    <xf numFmtId="0" fontId="9" fillId="0" borderId="7" xfId="1" applyFont="1" applyBorder="1" applyAlignment="1" applyProtection="1">
      <alignment horizontal="left" vertical="top" wrapText="1"/>
      <protection locked="0"/>
    </xf>
    <xf numFmtId="0" fontId="9" fillId="0" borderId="8" xfId="1" applyFont="1" applyBorder="1" applyAlignment="1" applyProtection="1">
      <alignment horizontal="left" vertical="top" wrapText="1"/>
      <protection locked="0"/>
    </xf>
    <xf numFmtId="0" fontId="9" fillId="0" borderId="20" xfId="1" applyFont="1" applyBorder="1" applyAlignment="1" applyProtection="1">
      <alignment horizontal="left" vertical="top" wrapText="1"/>
      <protection locked="0"/>
    </xf>
    <xf numFmtId="0" fontId="11" fillId="0" borderId="2" xfId="0" applyFont="1" applyBorder="1" applyAlignment="1" applyProtection="1">
      <alignment horizontal="center" vertical="center"/>
      <protection locked="0"/>
    </xf>
    <xf numFmtId="0" fontId="9" fillId="0" borderId="34" xfId="1" applyFont="1" applyBorder="1" applyAlignment="1" applyProtection="1">
      <alignment horizontal="center" vertical="center" wrapText="1"/>
      <protection locked="0"/>
    </xf>
    <xf numFmtId="0" fontId="9" fillId="0" borderId="35" xfId="1" applyFont="1" applyBorder="1" applyAlignment="1" applyProtection="1">
      <alignment horizontal="center" vertical="center" wrapText="1"/>
      <protection locked="0"/>
    </xf>
    <xf numFmtId="0" fontId="9" fillId="0" borderId="18" xfId="1" applyFont="1" applyBorder="1" applyAlignment="1" applyProtection="1">
      <alignment horizontal="center" vertical="center" wrapText="1"/>
      <protection locked="0"/>
    </xf>
    <xf numFmtId="0" fontId="9" fillId="0" borderId="19" xfId="1" applyFont="1" applyBorder="1" applyAlignment="1" applyProtection="1">
      <alignment horizontal="center" vertical="center" wrapText="1"/>
      <protection locked="0"/>
    </xf>
    <xf numFmtId="9" fontId="9" fillId="0" borderId="34" xfId="1" applyNumberFormat="1" applyFont="1" applyBorder="1" applyAlignment="1" applyProtection="1">
      <alignment horizontal="center" vertical="center" wrapText="1"/>
      <protection locked="0"/>
    </xf>
    <xf numFmtId="0" fontId="10" fillId="0" borderId="1" xfId="5" applyFont="1" applyBorder="1" applyAlignment="1">
      <alignment horizontal="left"/>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g"/></Relationships>
</file>

<file path=xl/drawings/_rels/drawing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1</xdr:col>
      <xdr:colOff>775608</xdr:colOff>
      <xdr:row>325</xdr:row>
      <xdr:rowOff>176891</xdr:rowOff>
    </xdr:from>
    <xdr:to>
      <xdr:col>4</xdr:col>
      <xdr:colOff>709509</xdr:colOff>
      <xdr:row>339</xdr:row>
      <xdr:rowOff>104176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537608" y="57081962"/>
          <a:ext cx="2492044" cy="2784784"/>
        </a:xfrm>
        <a:prstGeom prst="rect">
          <a:avLst/>
        </a:prstGeom>
        <a:ln w="9525">
          <a:solidFill>
            <a:schemeClr val="tx1"/>
          </a:solidFill>
        </a:ln>
      </xdr:spPr>
    </xdr:pic>
    <xdr:clientData/>
  </xdr:twoCellAnchor>
  <xdr:twoCellAnchor editAs="oneCell">
    <xdr:from>
      <xdr:col>2</xdr:col>
      <xdr:colOff>231326</xdr:colOff>
      <xdr:row>340</xdr:row>
      <xdr:rowOff>40434</xdr:rowOff>
    </xdr:from>
    <xdr:to>
      <xdr:col>4</xdr:col>
      <xdr:colOff>281940</xdr:colOff>
      <xdr:row>366</xdr:row>
      <xdr:rowOff>31535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rot="16200000">
          <a:off x="196312" y="61789828"/>
          <a:ext cx="5142221" cy="1856554"/>
        </a:xfrm>
        <a:prstGeom prst="rect">
          <a:avLst/>
        </a:prstGeom>
        <a:ln w="9525">
          <a:solidFill>
            <a:schemeClr val="tx1"/>
          </a:solidFill>
        </a:ln>
      </xdr:spPr>
    </xdr:pic>
    <xdr:clientData/>
  </xdr:twoCellAnchor>
  <xdr:twoCellAnchor>
    <xdr:from>
      <xdr:col>3</xdr:col>
      <xdr:colOff>218440</xdr:colOff>
      <xdr:row>357</xdr:row>
      <xdr:rowOff>97009</xdr:rowOff>
    </xdr:from>
    <xdr:to>
      <xdr:col>3</xdr:col>
      <xdr:colOff>753305</xdr:colOff>
      <xdr:row>363</xdr:row>
      <xdr:rowOff>114300</xdr:rowOff>
    </xdr:to>
    <xdr:sp macro="" textlink="">
      <xdr:nvSpPr>
        <xdr:cNvPr id="4" name="Freeform 3">
          <a:extLst>
            <a:ext uri="{FF2B5EF4-FFF2-40B4-BE49-F238E27FC236}">
              <a16:creationId xmlns:a16="http://schemas.microsoft.com/office/drawing/2014/main" id="{00000000-0008-0000-0000-000004000000}"/>
            </a:ext>
          </a:extLst>
        </xdr:cNvPr>
        <xdr:cNvSpPr/>
      </xdr:nvSpPr>
      <xdr:spPr>
        <a:xfrm>
          <a:off x="2694940" y="63571609"/>
          <a:ext cx="534865" cy="1206011"/>
        </a:xfrm>
        <a:custGeom>
          <a:avLst/>
          <a:gdLst>
            <a:gd name="connsiteX0" fmla="*/ 0 w 527538"/>
            <a:gd name="connsiteY0" fmla="*/ 0 h 1230923"/>
            <a:gd name="connsiteX1" fmla="*/ 293077 w 527538"/>
            <a:gd name="connsiteY1" fmla="*/ 21980 h 1230923"/>
            <a:gd name="connsiteX2" fmla="*/ 278423 w 527538"/>
            <a:gd name="connsiteY2" fmla="*/ 234461 h 1230923"/>
            <a:gd name="connsiteX3" fmla="*/ 337038 w 527538"/>
            <a:gd name="connsiteY3" fmla="*/ 417634 h 1230923"/>
            <a:gd name="connsiteX4" fmla="*/ 337038 w 527538"/>
            <a:gd name="connsiteY4" fmla="*/ 747346 h 1230923"/>
            <a:gd name="connsiteX5" fmla="*/ 520211 w 527538"/>
            <a:gd name="connsiteY5" fmla="*/ 740019 h 1230923"/>
            <a:gd name="connsiteX6" fmla="*/ 527538 w 527538"/>
            <a:gd name="connsiteY6" fmla="*/ 1230923 h 1230923"/>
            <a:gd name="connsiteX7" fmla="*/ 0 w 527538"/>
            <a:gd name="connsiteY7" fmla="*/ 1216269 h 1230923"/>
            <a:gd name="connsiteX8" fmla="*/ 0 w 527538"/>
            <a:gd name="connsiteY8" fmla="*/ 0 h 123092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527538" h="1230923">
              <a:moveTo>
                <a:pt x="0" y="0"/>
              </a:moveTo>
              <a:lnTo>
                <a:pt x="293077" y="21980"/>
              </a:lnTo>
              <a:lnTo>
                <a:pt x="278423" y="234461"/>
              </a:lnTo>
              <a:lnTo>
                <a:pt x="337038" y="417634"/>
              </a:lnTo>
              <a:lnTo>
                <a:pt x="337038" y="747346"/>
              </a:lnTo>
              <a:lnTo>
                <a:pt x="520211" y="740019"/>
              </a:lnTo>
              <a:lnTo>
                <a:pt x="527538" y="1230923"/>
              </a:lnTo>
              <a:lnTo>
                <a:pt x="0" y="1216269"/>
              </a:lnTo>
              <a:lnTo>
                <a:pt x="0" y="0"/>
              </a:lnTo>
              <a:close/>
            </a:path>
          </a:pathLst>
        </a:custGeom>
        <a:no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2</xdr:col>
      <xdr:colOff>488558</xdr:colOff>
      <xdr:row>363</xdr:row>
      <xdr:rowOff>146831</xdr:rowOff>
    </xdr:from>
    <xdr:to>
      <xdr:col>5</xdr:col>
      <xdr:colOff>41617</xdr:colOff>
      <xdr:row>365</xdr:row>
      <xdr:rowOff>58908</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2096378" y="64810151"/>
          <a:ext cx="2159099" cy="308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solidFill>
                <a:srgbClr val="C00000"/>
              </a:solidFill>
            </a:rPr>
            <a:t>Sale Commercial Building</a:t>
          </a:r>
        </a:p>
      </xdr:txBody>
    </xdr:sp>
    <xdr:clientData/>
  </xdr:twoCellAnchor>
  <xdr:twoCellAnchor editAs="oneCell">
    <xdr:from>
      <xdr:col>0</xdr:col>
      <xdr:colOff>540431</xdr:colOff>
      <xdr:row>368</xdr:row>
      <xdr:rowOff>95249</xdr:rowOff>
    </xdr:from>
    <xdr:to>
      <xdr:col>7</xdr:col>
      <xdr:colOff>27950</xdr:colOff>
      <xdr:row>384</xdr:row>
      <xdr:rowOff>151719</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rotWithShape="1">
        <a:blip xmlns:r="http://schemas.openxmlformats.org/officeDocument/2006/relationships" r:embed="rId3"/>
        <a:srcRect l="2241" t="10594" r="3656" b="7700"/>
        <a:stretch/>
      </xdr:blipFill>
      <xdr:spPr>
        <a:xfrm>
          <a:off x="540431" y="59993892"/>
          <a:ext cx="5066448" cy="3322185"/>
        </a:xfrm>
        <a:prstGeom prst="rect">
          <a:avLst/>
        </a:prstGeom>
        <a:ln w="9525">
          <a:solidFill>
            <a:schemeClr val="tx1"/>
          </a:solidFill>
        </a:ln>
      </xdr:spPr>
    </xdr:pic>
    <xdr:clientData/>
  </xdr:twoCellAnchor>
  <xdr:twoCellAnchor editAs="oneCell">
    <xdr:from>
      <xdr:col>0</xdr:col>
      <xdr:colOff>435428</xdr:colOff>
      <xdr:row>385</xdr:row>
      <xdr:rowOff>107656</xdr:rowOff>
    </xdr:from>
    <xdr:to>
      <xdr:col>7</xdr:col>
      <xdr:colOff>250615</xdr:colOff>
      <xdr:row>404</xdr:row>
      <xdr:rowOff>176893</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4"/>
        <a:srcRect b="5879"/>
        <a:stretch/>
      </xdr:blipFill>
      <xdr:spPr>
        <a:xfrm>
          <a:off x="435428" y="63476120"/>
          <a:ext cx="5394116" cy="3947272"/>
        </a:xfrm>
        <a:prstGeom prst="rect">
          <a:avLst/>
        </a:prstGeom>
        <a:ln w="9525">
          <a:solidFill>
            <a:schemeClr val="tx1"/>
          </a:solidFill>
        </a:ln>
      </xdr:spPr>
    </xdr:pic>
    <xdr:clientData/>
  </xdr:twoCellAnchor>
  <xdr:twoCellAnchor>
    <xdr:from>
      <xdr:col>3</xdr:col>
      <xdr:colOff>713563</xdr:colOff>
      <xdr:row>391</xdr:row>
      <xdr:rowOff>56758</xdr:rowOff>
    </xdr:from>
    <xdr:to>
      <xdr:col>4</xdr:col>
      <xdr:colOff>240428</xdr:colOff>
      <xdr:row>395</xdr:row>
      <xdr:rowOff>196210</xdr:rowOff>
    </xdr:to>
    <xdr:sp macro="" textlink="">
      <xdr:nvSpPr>
        <xdr:cNvPr id="11" name="Freeform 10">
          <a:extLst>
            <a:ext uri="{FF2B5EF4-FFF2-40B4-BE49-F238E27FC236}">
              <a16:creationId xmlns:a16="http://schemas.microsoft.com/office/drawing/2014/main" id="{00000000-0008-0000-0000-00000B000000}"/>
            </a:ext>
          </a:extLst>
        </xdr:cNvPr>
        <xdr:cNvSpPr/>
      </xdr:nvSpPr>
      <xdr:spPr>
        <a:xfrm rot="1990160">
          <a:off x="3122027" y="64649865"/>
          <a:ext cx="438544" cy="955881"/>
        </a:xfrm>
        <a:custGeom>
          <a:avLst/>
          <a:gdLst>
            <a:gd name="connsiteX0" fmla="*/ 0 w 527538"/>
            <a:gd name="connsiteY0" fmla="*/ 0 h 1230923"/>
            <a:gd name="connsiteX1" fmla="*/ 293077 w 527538"/>
            <a:gd name="connsiteY1" fmla="*/ 21980 h 1230923"/>
            <a:gd name="connsiteX2" fmla="*/ 278423 w 527538"/>
            <a:gd name="connsiteY2" fmla="*/ 234461 h 1230923"/>
            <a:gd name="connsiteX3" fmla="*/ 337038 w 527538"/>
            <a:gd name="connsiteY3" fmla="*/ 417634 h 1230923"/>
            <a:gd name="connsiteX4" fmla="*/ 337038 w 527538"/>
            <a:gd name="connsiteY4" fmla="*/ 747346 h 1230923"/>
            <a:gd name="connsiteX5" fmla="*/ 520211 w 527538"/>
            <a:gd name="connsiteY5" fmla="*/ 740019 h 1230923"/>
            <a:gd name="connsiteX6" fmla="*/ 527538 w 527538"/>
            <a:gd name="connsiteY6" fmla="*/ 1230923 h 1230923"/>
            <a:gd name="connsiteX7" fmla="*/ 0 w 527538"/>
            <a:gd name="connsiteY7" fmla="*/ 1216269 h 1230923"/>
            <a:gd name="connsiteX8" fmla="*/ 0 w 527538"/>
            <a:gd name="connsiteY8" fmla="*/ 0 h 123092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527538" h="1230923">
              <a:moveTo>
                <a:pt x="0" y="0"/>
              </a:moveTo>
              <a:lnTo>
                <a:pt x="293077" y="21980"/>
              </a:lnTo>
              <a:lnTo>
                <a:pt x="278423" y="234461"/>
              </a:lnTo>
              <a:lnTo>
                <a:pt x="337038" y="417634"/>
              </a:lnTo>
              <a:lnTo>
                <a:pt x="337038" y="747346"/>
              </a:lnTo>
              <a:lnTo>
                <a:pt x="520211" y="740019"/>
              </a:lnTo>
              <a:lnTo>
                <a:pt x="527538" y="1230923"/>
              </a:lnTo>
              <a:lnTo>
                <a:pt x="0" y="1216269"/>
              </a:lnTo>
              <a:lnTo>
                <a:pt x="0" y="0"/>
              </a:lnTo>
              <a:close/>
            </a:path>
          </a:pathLst>
        </a:custGeom>
        <a:noFill/>
        <a:ln w="190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clientData/>
  </xdr:twoCellAnchor>
  <xdr:twoCellAnchor>
    <xdr:from>
      <xdr:col>3</xdr:col>
      <xdr:colOff>593217</xdr:colOff>
      <xdr:row>388</xdr:row>
      <xdr:rowOff>176683</xdr:rowOff>
    </xdr:from>
    <xdr:to>
      <xdr:col>3</xdr:col>
      <xdr:colOff>854827</xdr:colOff>
      <xdr:row>395</xdr:row>
      <xdr:rowOff>119533</xdr:rowOff>
    </xdr:to>
    <xdr:sp macro="" textlink="">
      <xdr:nvSpPr>
        <xdr:cNvPr id="12" name="TextBox 12">
          <a:extLst>
            <a:ext uri="{FF2B5EF4-FFF2-40B4-BE49-F238E27FC236}">
              <a16:creationId xmlns:a16="http://schemas.microsoft.com/office/drawing/2014/main" id="{00000000-0008-0000-0000-00000C000000}"/>
            </a:ext>
          </a:extLst>
        </xdr:cNvPr>
        <xdr:cNvSpPr txBox="1"/>
      </xdr:nvSpPr>
      <xdr:spPr>
        <a:xfrm rot="18252160">
          <a:off x="2446686" y="64712464"/>
          <a:ext cx="1371600" cy="2616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b="1">
              <a:solidFill>
                <a:srgbClr val="FFFF00"/>
              </a:solidFill>
            </a:rPr>
            <a:t>The Capital Tree</a:t>
          </a:r>
          <a:endParaRPr lang="en-IN" sz="1100" b="1">
            <a:solidFill>
              <a:srgbClr val="FFFF00"/>
            </a:solidFill>
          </a:endParaRPr>
        </a:p>
      </xdr:txBody>
    </xdr:sp>
    <xdr:clientData/>
  </xdr:twoCellAnchor>
  <xdr:twoCellAnchor editAs="oneCell">
    <xdr:from>
      <xdr:col>8</xdr:col>
      <xdr:colOff>676275</xdr:colOff>
      <xdr:row>216</xdr:row>
      <xdr:rowOff>171450</xdr:rowOff>
    </xdr:from>
    <xdr:to>
      <xdr:col>12</xdr:col>
      <xdr:colOff>238560</xdr:colOff>
      <xdr:row>264</xdr:row>
      <xdr:rowOff>133744</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xfrm>
          <a:off x="6991350" y="41395650"/>
          <a:ext cx="3115110" cy="2829320"/>
        </a:xfrm>
        <a:prstGeom prst="rect">
          <a:avLst/>
        </a:prstGeom>
      </xdr:spPr>
    </xdr:pic>
    <xdr:clientData/>
  </xdr:twoCellAnchor>
  <xdr:twoCellAnchor editAs="oneCell">
    <xdr:from>
      <xdr:col>8</xdr:col>
      <xdr:colOff>552450</xdr:colOff>
      <xdr:row>195</xdr:row>
      <xdr:rowOff>85725</xdr:rowOff>
    </xdr:from>
    <xdr:to>
      <xdr:col>11</xdr:col>
      <xdr:colOff>676659</xdr:colOff>
      <xdr:row>216</xdr:row>
      <xdr:rowOff>124418</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6"/>
        <a:stretch>
          <a:fillRect/>
        </a:stretch>
      </xdr:blipFill>
      <xdr:spPr>
        <a:xfrm>
          <a:off x="6867525" y="36909375"/>
          <a:ext cx="2753109" cy="4239217"/>
        </a:xfrm>
        <a:prstGeom prst="rect">
          <a:avLst/>
        </a:prstGeom>
      </xdr:spPr>
    </xdr:pic>
    <xdr:clientData/>
  </xdr:twoCellAnchor>
  <xdr:twoCellAnchor>
    <xdr:from>
      <xdr:col>8</xdr:col>
      <xdr:colOff>537698</xdr:colOff>
      <xdr:row>285</xdr:row>
      <xdr:rowOff>130944</xdr:rowOff>
    </xdr:from>
    <xdr:to>
      <xdr:col>9</xdr:col>
      <xdr:colOff>316223</xdr:colOff>
      <xdr:row>287</xdr:row>
      <xdr:rowOff>107052</xdr:rowOff>
    </xdr:to>
    <xdr:sp macro="" textlink="">
      <xdr:nvSpPr>
        <xdr:cNvPr id="36" name="TextBox 11">
          <a:extLst>
            <a:ext uri="{FF2B5EF4-FFF2-40B4-BE49-F238E27FC236}">
              <a16:creationId xmlns:a16="http://schemas.microsoft.com/office/drawing/2014/main" id="{302457E9-6EE2-3751-5DB2-DCFD202B3B3F}"/>
            </a:ext>
          </a:extLst>
        </xdr:cNvPr>
        <xdr:cNvSpPr txBox="1"/>
      </xdr:nvSpPr>
      <xdr:spPr>
        <a:xfrm>
          <a:off x="6852773" y="50203869"/>
          <a:ext cx="940575" cy="376158"/>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Part 1</a:t>
          </a:r>
        </a:p>
      </xdr:txBody>
    </xdr:sp>
    <xdr:clientData/>
  </xdr:twoCellAnchor>
  <xdr:twoCellAnchor>
    <xdr:from>
      <xdr:col>10</xdr:col>
      <xdr:colOff>640080</xdr:colOff>
      <xdr:row>278</xdr:row>
      <xdr:rowOff>62865</xdr:rowOff>
    </xdr:from>
    <xdr:to>
      <xdr:col>18</xdr:col>
      <xdr:colOff>158101</xdr:colOff>
      <xdr:row>310</xdr:row>
      <xdr:rowOff>100964</xdr:rowOff>
    </xdr:to>
    <xdr:grpSp>
      <xdr:nvGrpSpPr>
        <xdr:cNvPr id="47" name="Group 46">
          <a:extLst>
            <a:ext uri="{FF2B5EF4-FFF2-40B4-BE49-F238E27FC236}">
              <a16:creationId xmlns:a16="http://schemas.microsoft.com/office/drawing/2014/main" id="{00000000-0008-0000-0000-00002F000000}"/>
            </a:ext>
          </a:extLst>
        </xdr:cNvPr>
        <xdr:cNvGrpSpPr/>
      </xdr:nvGrpSpPr>
      <xdr:grpSpPr>
        <a:xfrm>
          <a:off x="9105900" y="48145065"/>
          <a:ext cx="5751181" cy="6377939"/>
          <a:chOff x="419100" y="49996725"/>
          <a:chExt cx="5602591" cy="6438899"/>
        </a:xfrm>
      </xdr:grpSpPr>
      <xdr:grpSp>
        <xdr:nvGrpSpPr>
          <xdr:cNvPr id="21" name="Group 20">
            <a:extLst>
              <a:ext uri="{FF2B5EF4-FFF2-40B4-BE49-F238E27FC236}">
                <a16:creationId xmlns:a16="http://schemas.microsoft.com/office/drawing/2014/main" id="{00000000-0008-0000-0000-000015000000}"/>
              </a:ext>
            </a:extLst>
          </xdr:cNvPr>
          <xdr:cNvGrpSpPr/>
        </xdr:nvGrpSpPr>
        <xdr:grpSpPr>
          <a:xfrm>
            <a:off x="419100" y="49996725"/>
            <a:ext cx="5602591" cy="6438899"/>
            <a:chOff x="419100" y="49996725"/>
            <a:chExt cx="5602591" cy="6438899"/>
          </a:xfrm>
        </xdr:grpSpPr>
        <xdr:pic>
          <xdr:nvPicPr>
            <xdr:cNvPr id="37" name="Picture 36" descr="https://vsjcllp.vsjadon.com/upload/insp-226070-1525.jpg">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4029075" y="53778149"/>
              <a:ext cx="1991031" cy="26574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8" name="Picture 37" descr="https://vsjcllp.vsjadon.com/upload/insp-226070-843.jpg">
              <a:extLst>
                <a:ext uri="{FF2B5EF4-FFF2-40B4-BE49-F238E27FC236}">
                  <a16:creationId xmlns:a16="http://schemas.microsoft.com/office/drawing/2014/main" id="{00000000-0008-0000-0000-000026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428625" y="49996725"/>
              <a:ext cx="2754616" cy="36766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9" name="Picture 38" descr="https://vsjcllp.vsjadon.com/upload/insp-226070-851.jpg">
              <a:extLst>
                <a:ext uri="{FF2B5EF4-FFF2-40B4-BE49-F238E27FC236}">
                  <a16:creationId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3267075" y="49996725"/>
              <a:ext cx="2754616" cy="36766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0" name="Picture 39" descr="https://vsjcllp.vsjadon.com/upload/insp-226070-849.jpg">
              <a:extLst>
                <a:ext uri="{FF2B5EF4-FFF2-40B4-BE49-F238E27FC236}">
                  <a16:creationId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419100" y="53778149"/>
              <a:ext cx="3540019" cy="26574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41" name="TextBox 11">
            <a:extLst>
              <a:ext uri="{FF2B5EF4-FFF2-40B4-BE49-F238E27FC236}">
                <a16:creationId xmlns:a16="http://schemas.microsoft.com/office/drawing/2014/main" id="{302457E9-6EE2-3751-5DB2-DCFD202B3B3F}"/>
              </a:ext>
            </a:extLst>
          </xdr:cNvPr>
          <xdr:cNvSpPr txBox="1"/>
        </xdr:nvSpPr>
        <xdr:spPr>
          <a:xfrm>
            <a:off x="762000" y="50149125"/>
            <a:ext cx="940575" cy="376158"/>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Part 1</a:t>
            </a:r>
          </a:p>
        </xdr:txBody>
      </xdr:sp>
      <xdr:sp macro="" textlink="">
        <xdr:nvSpPr>
          <xdr:cNvPr id="42" name="TextBox 11">
            <a:extLst>
              <a:ext uri="{FF2B5EF4-FFF2-40B4-BE49-F238E27FC236}">
                <a16:creationId xmlns:a16="http://schemas.microsoft.com/office/drawing/2014/main" id="{302457E9-6EE2-3751-5DB2-DCFD202B3B3F}"/>
              </a:ext>
            </a:extLst>
          </xdr:cNvPr>
          <xdr:cNvSpPr txBox="1"/>
        </xdr:nvSpPr>
        <xdr:spPr>
          <a:xfrm>
            <a:off x="3362325" y="50063400"/>
            <a:ext cx="940751" cy="37637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Part 1</a:t>
            </a:r>
          </a:p>
        </xdr:txBody>
      </xdr:sp>
      <xdr:cxnSp macro="">
        <xdr:nvCxnSpPr>
          <xdr:cNvPr id="43" name="Straight Arrow Connector 42">
            <a:extLst>
              <a:ext uri="{FF2B5EF4-FFF2-40B4-BE49-F238E27FC236}">
                <a16:creationId xmlns:a16="http://schemas.microsoft.com/office/drawing/2014/main" id="{481475D3-B540-88B6-D6BB-072665099114}"/>
              </a:ext>
            </a:extLst>
          </xdr:cNvPr>
          <xdr:cNvCxnSpPr/>
        </xdr:nvCxnSpPr>
        <xdr:spPr>
          <a:xfrm flipH="1">
            <a:off x="3590925" y="50374563"/>
            <a:ext cx="51600" cy="422262"/>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44" name="TextBox 11">
            <a:extLst>
              <a:ext uri="{FF2B5EF4-FFF2-40B4-BE49-F238E27FC236}">
                <a16:creationId xmlns:a16="http://schemas.microsoft.com/office/drawing/2014/main" id="{302457E9-6EE2-3751-5DB2-DCFD202B3B3F}"/>
              </a:ext>
            </a:extLst>
          </xdr:cNvPr>
          <xdr:cNvSpPr txBox="1"/>
        </xdr:nvSpPr>
        <xdr:spPr>
          <a:xfrm>
            <a:off x="4035618" y="50206275"/>
            <a:ext cx="940751" cy="37637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Part 2</a:t>
            </a:r>
          </a:p>
        </xdr:txBody>
      </xdr:sp>
      <xdr:cxnSp macro="">
        <xdr:nvCxnSpPr>
          <xdr:cNvPr id="45" name="Straight Arrow Connector 44">
            <a:extLst>
              <a:ext uri="{FF2B5EF4-FFF2-40B4-BE49-F238E27FC236}">
                <a16:creationId xmlns:a16="http://schemas.microsoft.com/office/drawing/2014/main" id="{481475D3-B540-88B6-D6BB-072665099114}"/>
              </a:ext>
            </a:extLst>
          </xdr:cNvPr>
          <xdr:cNvCxnSpPr/>
        </xdr:nvCxnSpPr>
        <xdr:spPr>
          <a:xfrm flipH="1">
            <a:off x="4133850" y="50558700"/>
            <a:ext cx="123825" cy="460187"/>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236220</xdr:colOff>
      <xdr:row>285</xdr:row>
      <xdr:rowOff>22860</xdr:rowOff>
    </xdr:from>
    <xdr:to>
      <xdr:col>7</xdr:col>
      <xdr:colOff>510655</xdr:colOff>
      <xdr:row>316</xdr:row>
      <xdr:rowOff>103577</xdr:rowOff>
    </xdr:to>
    <xdr:grpSp>
      <xdr:nvGrpSpPr>
        <xdr:cNvPr id="7" name="Group 6">
          <a:extLst>
            <a:ext uri="{FF2B5EF4-FFF2-40B4-BE49-F238E27FC236}">
              <a16:creationId xmlns:a16="http://schemas.microsoft.com/office/drawing/2014/main" id="{3C2137AA-86BC-DE89-84A7-9592CA9F30A5}"/>
            </a:ext>
          </a:extLst>
        </xdr:cNvPr>
        <xdr:cNvGrpSpPr/>
      </xdr:nvGrpSpPr>
      <xdr:grpSpPr>
        <a:xfrm>
          <a:off x="236220" y="49491900"/>
          <a:ext cx="6004675" cy="6222437"/>
          <a:chOff x="304325" y="175260"/>
          <a:chExt cx="6004675" cy="6222437"/>
        </a:xfrm>
      </xdr:grpSpPr>
      <xdr:grpSp>
        <xdr:nvGrpSpPr>
          <xdr:cNvPr id="13" name="Group 12">
            <a:extLst>
              <a:ext uri="{FF2B5EF4-FFF2-40B4-BE49-F238E27FC236}">
                <a16:creationId xmlns:a16="http://schemas.microsoft.com/office/drawing/2014/main" id="{8A4196EC-3A00-8111-3674-AE0758CA1F3A}"/>
              </a:ext>
            </a:extLst>
          </xdr:cNvPr>
          <xdr:cNvGrpSpPr/>
        </xdr:nvGrpSpPr>
        <xdr:grpSpPr>
          <a:xfrm>
            <a:off x="932782" y="4237697"/>
            <a:ext cx="4747760" cy="2160000"/>
            <a:chOff x="306992" y="4237697"/>
            <a:chExt cx="4747760" cy="2160000"/>
          </a:xfrm>
        </xdr:grpSpPr>
        <xdr:pic>
          <xdr:nvPicPr>
            <xdr:cNvPr id="22" name="Picture 21">
              <a:extLst>
                <a:ext uri="{FF2B5EF4-FFF2-40B4-BE49-F238E27FC236}">
                  <a16:creationId xmlns:a16="http://schemas.microsoft.com/office/drawing/2014/main" id="{F81A83B7-61A8-C862-D77D-F20BE9E0BB2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3436440" y="4237697"/>
              <a:ext cx="1618312" cy="2160000"/>
            </a:xfrm>
            <a:prstGeom prst="rect">
              <a:avLst/>
            </a:prstGeom>
            <a:ln>
              <a:solidFill>
                <a:schemeClr val="tx1"/>
              </a:solidFill>
            </a:ln>
          </xdr:spPr>
        </xdr:pic>
        <xdr:pic>
          <xdr:nvPicPr>
            <xdr:cNvPr id="23" name="Picture 22">
              <a:extLst>
                <a:ext uri="{FF2B5EF4-FFF2-40B4-BE49-F238E27FC236}">
                  <a16:creationId xmlns:a16="http://schemas.microsoft.com/office/drawing/2014/main" id="{D15B7FFD-6317-1C77-1B22-D654DB3EED5D}"/>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306992" y="4237697"/>
              <a:ext cx="2877333" cy="2160000"/>
            </a:xfrm>
            <a:prstGeom prst="rect">
              <a:avLst/>
            </a:prstGeom>
            <a:ln>
              <a:solidFill>
                <a:schemeClr val="tx1"/>
              </a:solidFill>
            </a:ln>
          </xdr:spPr>
        </xdr:pic>
      </xdr:grpSp>
      <xdr:grpSp>
        <xdr:nvGrpSpPr>
          <xdr:cNvPr id="14" name="Group 13">
            <a:extLst>
              <a:ext uri="{FF2B5EF4-FFF2-40B4-BE49-F238E27FC236}">
                <a16:creationId xmlns:a16="http://schemas.microsoft.com/office/drawing/2014/main" id="{DC1F0AA8-B021-7984-E4F0-D4BDE0EDF37C}"/>
              </a:ext>
            </a:extLst>
          </xdr:cNvPr>
          <xdr:cNvGrpSpPr/>
        </xdr:nvGrpSpPr>
        <xdr:grpSpPr>
          <a:xfrm>
            <a:off x="304325" y="175260"/>
            <a:ext cx="6004675" cy="3844005"/>
            <a:chOff x="304325" y="175260"/>
            <a:chExt cx="6004675" cy="3844005"/>
          </a:xfrm>
        </xdr:grpSpPr>
        <xdr:pic>
          <xdr:nvPicPr>
            <xdr:cNvPr id="15" name="Picture 14">
              <a:extLst>
                <a:ext uri="{FF2B5EF4-FFF2-40B4-BE49-F238E27FC236}">
                  <a16:creationId xmlns:a16="http://schemas.microsoft.com/office/drawing/2014/main" id="{3F73F676-2E77-9CD2-ADA8-DCECFF5698E3}"/>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304325" y="175260"/>
              <a:ext cx="2880000" cy="3844005"/>
            </a:xfrm>
            <a:prstGeom prst="rect">
              <a:avLst/>
            </a:prstGeom>
            <a:ln>
              <a:solidFill>
                <a:schemeClr val="tx1"/>
              </a:solidFill>
            </a:ln>
          </xdr:spPr>
        </xdr:pic>
        <xdr:pic>
          <xdr:nvPicPr>
            <xdr:cNvPr id="16" name="Picture 15">
              <a:extLst>
                <a:ext uri="{FF2B5EF4-FFF2-40B4-BE49-F238E27FC236}">
                  <a16:creationId xmlns:a16="http://schemas.microsoft.com/office/drawing/2014/main" id="{72688522-AEBC-0544-6E97-1801EA5C37CB}"/>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3429000" y="175260"/>
              <a:ext cx="2880000" cy="3844005"/>
            </a:xfrm>
            <a:prstGeom prst="rect">
              <a:avLst/>
            </a:prstGeom>
            <a:ln>
              <a:solidFill>
                <a:schemeClr val="tx1"/>
              </a:solidFill>
            </a:ln>
          </xdr:spPr>
        </xdr:pic>
        <xdr:sp macro="" textlink="">
          <xdr:nvSpPr>
            <xdr:cNvPr id="17" name="TextBox 10">
              <a:extLst>
                <a:ext uri="{FF2B5EF4-FFF2-40B4-BE49-F238E27FC236}">
                  <a16:creationId xmlns:a16="http://schemas.microsoft.com/office/drawing/2014/main" id="{30058E0E-CCDB-49F6-F158-BB65C74668C1}"/>
                </a:ext>
              </a:extLst>
            </xdr:cNvPr>
            <xdr:cNvSpPr txBox="1"/>
          </xdr:nvSpPr>
          <xdr:spPr>
            <a:xfrm>
              <a:off x="2325188" y="662298"/>
              <a:ext cx="749244"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Part 2</a:t>
              </a:r>
            </a:p>
          </xdr:txBody>
        </xdr:sp>
        <xdr:sp macro="" textlink="">
          <xdr:nvSpPr>
            <xdr:cNvPr id="18" name="TextBox 11">
              <a:extLst>
                <a:ext uri="{FF2B5EF4-FFF2-40B4-BE49-F238E27FC236}">
                  <a16:creationId xmlns:a16="http://schemas.microsoft.com/office/drawing/2014/main" id="{A5ACAC63-FE5B-6CE4-57B4-EF10DD29F1E3}"/>
                </a:ext>
              </a:extLst>
            </xdr:cNvPr>
            <xdr:cNvSpPr txBox="1"/>
          </xdr:nvSpPr>
          <xdr:spPr>
            <a:xfrm>
              <a:off x="304325" y="504761"/>
              <a:ext cx="749244"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Part 1</a:t>
              </a:r>
            </a:p>
          </xdr:txBody>
        </xdr:sp>
        <xdr:cxnSp macro="">
          <xdr:nvCxnSpPr>
            <xdr:cNvPr id="19" name="Straight Arrow Connector 18">
              <a:extLst>
                <a:ext uri="{FF2B5EF4-FFF2-40B4-BE49-F238E27FC236}">
                  <a16:creationId xmlns:a16="http://schemas.microsoft.com/office/drawing/2014/main" id="{5A65B67D-1449-E8B0-077E-739AA00D0B02}"/>
                </a:ext>
              </a:extLst>
            </xdr:cNvPr>
            <xdr:cNvCxnSpPr/>
          </xdr:nvCxnSpPr>
          <xdr:spPr>
            <a:xfrm>
              <a:off x="914400" y="874093"/>
              <a:ext cx="264160" cy="548307"/>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 name="Straight Arrow Connector 19">
              <a:extLst>
                <a:ext uri="{FF2B5EF4-FFF2-40B4-BE49-F238E27FC236}">
                  <a16:creationId xmlns:a16="http://schemas.microsoft.com/office/drawing/2014/main" id="{211B6437-AF1D-ABA4-0261-9BFE19CE493F}"/>
                </a:ext>
              </a:extLst>
            </xdr:cNvPr>
            <xdr:cNvCxnSpPr/>
          </xdr:nvCxnSpPr>
          <xdr:spPr>
            <a:xfrm flipH="1">
              <a:off x="2250440" y="949960"/>
              <a:ext cx="360680" cy="40132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0</xdr:colOff>
      <xdr:row>14</xdr:row>
      <xdr:rowOff>0</xdr:rowOff>
    </xdr:from>
    <xdr:to>
      <xdr:col>15</xdr:col>
      <xdr:colOff>101974</xdr:colOff>
      <xdr:row>52</xdr:row>
      <xdr:rowOff>76200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82706" y="2678206"/>
          <a:ext cx="13011150" cy="7315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ycwEVCzVqMkd3BA2A"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368"/>
  <sheetViews>
    <sheetView tabSelected="1" view="pageBreakPreview" topLeftCell="A7" zoomScaleNormal="100" zoomScaleSheetLayoutView="100" zoomScalePageLayoutView="85" workbookViewId="0">
      <selection activeCell="I12" sqref="I12"/>
    </sheetView>
  </sheetViews>
  <sheetFormatPr defaultColWidth="9.109375" defaultRowHeight="15.6" x14ac:dyDescent="0.3"/>
  <cols>
    <col min="1" max="1" width="11.44140625" style="37" customWidth="1"/>
    <col min="2" max="2" width="12" style="37" customWidth="1"/>
    <col min="3" max="3" width="12.6640625" style="37" customWidth="1"/>
    <col min="4" max="4" width="13.6640625" style="37" customWidth="1"/>
    <col min="5" max="5" width="11.6640625" style="37" customWidth="1"/>
    <col min="6" max="6" width="11.109375" style="37" customWidth="1"/>
    <col min="7" max="8" width="11" style="37" customWidth="1"/>
    <col min="9" max="9" width="17.44140625" style="18" customWidth="1"/>
    <col min="10" max="10" width="11.44140625" style="18" customWidth="1"/>
    <col min="11" max="11" width="10.5546875" style="18" bestFit="1" customWidth="1"/>
    <col min="12" max="12" width="13.88671875" style="18" bestFit="1" customWidth="1"/>
    <col min="13" max="13" width="11.88671875" style="18" customWidth="1"/>
    <col min="14" max="14" width="12.5546875" style="18" customWidth="1"/>
    <col min="15" max="15" width="12.109375" style="18" customWidth="1"/>
    <col min="16" max="16" width="11.6640625" style="18" customWidth="1"/>
    <col min="17" max="18" width="9.109375" style="18"/>
    <col min="19" max="19" width="10.88671875" style="18" bestFit="1" customWidth="1"/>
    <col min="20" max="20" width="10.6640625" style="18" customWidth="1"/>
    <col min="21" max="247" width="9.109375" style="18"/>
    <col min="248" max="248" width="8.6640625" style="18" customWidth="1"/>
    <col min="249" max="249" width="9.88671875" style="18" customWidth="1"/>
    <col min="250" max="250" width="14.44140625" style="18" customWidth="1"/>
    <col min="251" max="251" width="7.33203125" style="18" customWidth="1"/>
    <col min="252" max="252" width="5.5546875" style="18" customWidth="1"/>
    <col min="253" max="253" width="9" style="18" customWidth="1"/>
    <col min="254" max="255" width="9.88671875" style="18" customWidth="1"/>
    <col min="256" max="256" width="11.109375" style="18" customWidth="1"/>
    <col min="257" max="257" width="2.88671875" style="18" customWidth="1"/>
    <col min="258" max="258" width="3.5546875" style="18" customWidth="1"/>
    <col min="259" max="503" width="9.109375" style="18"/>
    <col min="504" max="504" width="8.6640625" style="18" customWidth="1"/>
    <col min="505" max="505" width="9.88671875" style="18" customWidth="1"/>
    <col min="506" max="506" width="14.44140625" style="18" customWidth="1"/>
    <col min="507" max="507" width="7.33203125" style="18" customWidth="1"/>
    <col min="508" max="508" width="5.5546875" style="18" customWidth="1"/>
    <col min="509" max="509" width="9" style="18" customWidth="1"/>
    <col min="510" max="511" width="9.88671875" style="18" customWidth="1"/>
    <col min="512" max="512" width="11.109375" style="18" customWidth="1"/>
    <col min="513" max="513" width="2.88671875" style="18" customWidth="1"/>
    <col min="514" max="514" width="3.5546875" style="18" customWidth="1"/>
    <col min="515" max="759" width="9.109375" style="18"/>
    <col min="760" max="760" width="8.6640625" style="18" customWidth="1"/>
    <col min="761" max="761" width="9.88671875" style="18" customWidth="1"/>
    <col min="762" max="762" width="14.44140625" style="18" customWidth="1"/>
    <col min="763" max="763" width="7.33203125" style="18" customWidth="1"/>
    <col min="764" max="764" width="5.5546875" style="18" customWidth="1"/>
    <col min="765" max="765" width="9" style="18" customWidth="1"/>
    <col min="766" max="767" width="9.88671875" style="18" customWidth="1"/>
    <col min="768" max="768" width="11.109375" style="18" customWidth="1"/>
    <col min="769" max="769" width="2.88671875" style="18" customWidth="1"/>
    <col min="770" max="770" width="3.5546875" style="18" customWidth="1"/>
    <col min="771" max="1015" width="9.109375" style="18"/>
    <col min="1016" max="1016" width="8.6640625" style="18" customWidth="1"/>
    <col min="1017" max="1017" width="9.88671875" style="18" customWidth="1"/>
    <col min="1018" max="1018" width="14.44140625" style="18" customWidth="1"/>
    <col min="1019" max="1019" width="7.33203125" style="18" customWidth="1"/>
    <col min="1020" max="1020" width="5.5546875" style="18" customWidth="1"/>
    <col min="1021" max="1021" width="9" style="18" customWidth="1"/>
    <col min="1022" max="1023" width="9.88671875" style="18" customWidth="1"/>
    <col min="1024" max="1024" width="11.109375" style="18" customWidth="1"/>
    <col min="1025" max="1025" width="2.88671875" style="18" customWidth="1"/>
    <col min="1026" max="1026" width="3.5546875" style="18" customWidth="1"/>
    <col min="1027" max="1271" width="9.109375" style="18"/>
    <col min="1272" max="1272" width="8.6640625" style="18" customWidth="1"/>
    <col min="1273" max="1273" width="9.88671875" style="18" customWidth="1"/>
    <col min="1274" max="1274" width="14.44140625" style="18" customWidth="1"/>
    <col min="1275" max="1275" width="7.33203125" style="18" customWidth="1"/>
    <col min="1276" max="1276" width="5.5546875" style="18" customWidth="1"/>
    <col min="1277" max="1277" width="9" style="18" customWidth="1"/>
    <col min="1278" max="1279" width="9.88671875" style="18" customWidth="1"/>
    <col min="1280" max="1280" width="11.109375" style="18" customWidth="1"/>
    <col min="1281" max="1281" width="2.88671875" style="18" customWidth="1"/>
    <col min="1282" max="1282" width="3.5546875" style="18" customWidth="1"/>
    <col min="1283" max="1527" width="9.109375" style="18"/>
    <col min="1528" max="1528" width="8.6640625" style="18" customWidth="1"/>
    <col min="1529" max="1529" width="9.88671875" style="18" customWidth="1"/>
    <col min="1530" max="1530" width="14.44140625" style="18" customWidth="1"/>
    <col min="1531" max="1531" width="7.33203125" style="18" customWidth="1"/>
    <col min="1532" max="1532" width="5.5546875" style="18" customWidth="1"/>
    <col min="1533" max="1533" width="9" style="18" customWidth="1"/>
    <col min="1534" max="1535" width="9.88671875" style="18" customWidth="1"/>
    <col min="1536" max="1536" width="11.109375" style="18" customWidth="1"/>
    <col min="1537" max="1537" width="2.88671875" style="18" customWidth="1"/>
    <col min="1538" max="1538" width="3.5546875" style="18" customWidth="1"/>
    <col min="1539" max="1783" width="9.109375" style="18"/>
    <col min="1784" max="1784" width="8.6640625" style="18" customWidth="1"/>
    <col min="1785" max="1785" width="9.88671875" style="18" customWidth="1"/>
    <col min="1786" max="1786" width="14.44140625" style="18" customWidth="1"/>
    <col min="1787" max="1787" width="7.33203125" style="18" customWidth="1"/>
    <col min="1788" max="1788" width="5.5546875" style="18" customWidth="1"/>
    <col min="1789" max="1789" width="9" style="18" customWidth="1"/>
    <col min="1790" max="1791" width="9.88671875" style="18" customWidth="1"/>
    <col min="1792" max="1792" width="11.109375" style="18" customWidth="1"/>
    <col min="1793" max="1793" width="2.88671875" style="18" customWidth="1"/>
    <col min="1794" max="1794" width="3.5546875" style="18" customWidth="1"/>
    <col min="1795" max="2039" width="9.109375" style="18"/>
    <col min="2040" max="2040" width="8.6640625" style="18" customWidth="1"/>
    <col min="2041" max="2041" width="9.88671875" style="18" customWidth="1"/>
    <col min="2042" max="2042" width="14.44140625" style="18" customWidth="1"/>
    <col min="2043" max="2043" width="7.33203125" style="18" customWidth="1"/>
    <col min="2044" max="2044" width="5.5546875" style="18" customWidth="1"/>
    <col min="2045" max="2045" width="9" style="18" customWidth="1"/>
    <col min="2046" max="2047" width="9.88671875" style="18" customWidth="1"/>
    <col min="2048" max="2048" width="11.109375" style="18" customWidth="1"/>
    <col min="2049" max="2049" width="2.88671875" style="18" customWidth="1"/>
    <col min="2050" max="2050" width="3.5546875" style="18" customWidth="1"/>
    <col min="2051" max="2295" width="9.109375" style="18"/>
    <col min="2296" max="2296" width="8.6640625" style="18" customWidth="1"/>
    <col min="2297" max="2297" width="9.88671875" style="18" customWidth="1"/>
    <col min="2298" max="2298" width="14.44140625" style="18" customWidth="1"/>
    <col min="2299" max="2299" width="7.33203125" style="18" customWidth="1"/>
    <col min="2300" max="2300" width="5.5546875" style="18" customWidth="1"/>
    <col min="2301" max="2301" width="9" style="18" customWidth="1"/>
    <col min="2302" max="2303" width="9.88671875" style="18" customWidth="1"/>
    <col min="2304" max="2304" width="11.109375" style="18" customWidth="1"/>
    <col min="2305" max="2305" width="2.88671875" style="18" customWidth="1"/>
    <col min="2306" max="2306" width="3.5546875" style="18" customWidth="1"/>
    <col min="2307" max="2551" width="9.109375" style="18"/>
    <col min="2552" max="2552" width="8.6640625" style="18" customWidth="1"/>
    <col min="2553" max="2553" width="9.88671875" style="18" customWidth="1"/>
    <col min="2554" max="2554" width="14.44140625" style="18" customWidth="1"/>
    <col min="2555" max="2555" width="7.33203125" style="18" customWidth="1"/>
    <col min="2556" max="2556" width="5.5546875" style="18" customWidth="1"/>
    <col min="2557" max="2557" width="9" style="18" customWidth="1"/>
    <col min="2558" max="2559" width="9.88671875" style="18" customWidth="1"/>
    <col min="2560" max="2560" width="11.109375" style="18" customWidth="1"/>
    <col min="2561" max="2561" width="2.88671875" style="18" customWidth="1"/>
    <col min="2562" max="2562" width="3.5546875" style="18" customWidth="1"/>
    <col min="2563" max="2807" width="9.109375" style="18"/>
    <col min="2808" max="2808" width="8.6640625" style="18" customWidth="1"/>
    <col min="2809" max="2809" width="9.88671875" style="18" customWidth="1"/>
    <col min="2810" max="2810" width="14.44140625" style="18" customWidth="1"/>
    <col min="2811" max="2811" width="7.33203125" style="18" customWidth="1"/>
    <col min="2812" max="2812" width="5.5546875" style="18" customWidth="1"/>
    <col min="2813" max="2813" width="9" style="18" customWidth="1"/>
    <col min="2814" max="2815" width="9.88671875" style="18" customWidth="1"/>
    <col min="2816" max="2816" width="11.109375" style="18" customWidth="1"/>
    <col min="2817" max="2817" width="2.88671875" style="18" customWidth="1"/>
    <col min="2818" max="2818" width="3.5546875" style="18" customWidth="1"/>
    <col min="2819" max="3063" width="9.109375" style="18"/>
    <col min="3064" max="3064" width="8.6640625" style="18" customWidth="1"/>
    <col min="3065" max="3065" width="9.88671875" style="18" customWidth="1"/>
    <col min="3066" max="3066" width="14.44140625" style="18" customWidth="1"/>
    <col min="3067" max="3067" width="7.33203125" style="18" customWidth="1"/>
    <col min="3068" max="3068" width="5.5546875" style="18" customWidth="1"/>
    <col min="3069" max="3069" width="9" style="18" customWidth="1"/>
    <col min="3070" max="3071" width="9.88671875" style="18" customWidth="1"/>
    <col min="3072" max="3072" width="11.109375" style="18" customWidth="1"/>
    <col min="3073" max="3073" width="2.88671875" style="18" customWidth="1"/>
    <col min="3074" max="3074" width="3.5546875" style="18" customWidth="1"/>
    <col min="3075" max="3319" width="9.109375" style="18"/>
    <col min="3320" max="3320" width="8.6640625" style="18" customWidth="1"/>
    <col min="3321" max="3321" width="9.88671875" style="18" customWidth="1"/>
    <col min="3322" max="3322" width="14.44140625" style="18" customWidth="1"/>
    <col min="3323" max="3323" width="7.33203125" style="18" customWidth="1"/>
    <col min="3324" max="3324" width="5.5546875" style="18" customWidth="1"/>
    <col min="3325" max="3325" width="9" style="18" customWidth="1"/>
    <col min="3326" max="3327" width="9.88671875" style="18" customWidth="1"/>
    <col min="3328" max="3328" width="11.109375" style="18" customWidth="1"/>
    <col min="3329" max="3329" width="2.88671875" style="18" customWidth="1"/>
    <col min="3330" max="3330" width="3.5546875" style="18" customWidth="1"/>
    <col min="3331" max="3575" width="9.109375" style="18"/>
    <col min="3576" max="3576" width="8.6640625" style="18" customWidth="1"/>
    <col min="3577" max="3577" width="9.88671875" style="18" customWidth="1"/>
    <col min="3578" max="3578" width="14.44140625" style="18" customWidth="1"/>
    <col min="3579" max="3579" width="7.33203125" style="18" customWidth="1"/>
    <col min="3580" max="3580" width="5.5546875" style="18" customWidth="1"/>
    <col min="3581" max="3581" width="9" style="18" customWidth="1"/>
    <col min="3582" max="3583" width="9.88671875" style="18" customWidth="1"/>
    <col min="3584" max="3584" width="11.109375" style="18" customWidth="1"/>
    <col min="3585" max="3585" width="2.88671875" style="18" customWidth="1"/>
    <col min="3586" max="3586" width="3.5546875" style="18" customWidth="1"/>
    <col min="3587" max="3831" width="9.109375" style="18"/>
    <col min="3832" max="3832" width="8.6640625" style="18" customWidth="1"/>
    <col min="3833" max="3833" width="9.88671875" style="18" customWidth="1"/>
    <col min="3834" max="3834" width="14.44140625" style="18" customWidth="1"/>
    <col min="3835" max="3835" width="7.33203125" style="18" customWidth="1"/>
    <col min="3836" max="3836" width="5.5546875" style="18" customWidth="1"/>
    <col min="3837" max="3837" width="9" style="18" customWidth="1"/>
    <col min="3838" max="3839" width="9.88671875" style="18" customWidth="1"/>
    <col min="3840" max="3840" width="11.109375" style="18" customWidth="1"/>
    <col min="3841" max="3841" width="2.88671875" style="18" customWidth="1"/>
    <col min="3842" max="3842" width="3.5546875" style="18" customWidth="1"/>
    <col min="3843" max="4087" width="9.109375" style="18"/>
    <col min="4088" max="4088" width="8.6640625" style="18" customWidth="1"/>
    <col min="4089" max="4089" width="9.88671875" style="18" customWidth="1"/>
    <col min="4090" max="4090" width="14.44140625" style="18" customWidth="1"/>
    <col min="4091" max="4091" width="7.33203125" style="18" customWidth="1"/>
    <col min="4092" max="4092" width="5.5546875" style="18" customWidth="1"/>
    <col min="4093" max="4093" width="9" style="18" customWidth="1"/>
    <col min="4094" max="4095" width="9.88671875" style="18" customWidth="1"/>
    <col min="4096" max="4096" width="11.109375" style="18" customWidth="1"/>
    <col min="4097" max="4097" width="2.88671875" style="18" customWidth="1"/>
    <col min="4098" max="4098" width="3.5546875" style="18" customWidth="1"/>
    <col min="4099" max="4343" width="9.109375" style="18"/>
    <col min="4344" max="4344" width="8.6640625" style="18" customWidth="1"/>
    <col min="4345" max="4345" width="9.88671875" style="18" customWidth="1"/>
    <col min="4346" max="4346" width="14.44140625" style="18" customWidth="1"/>
    <col min="4347" max="4347" width="7.33203125" style="18" customWidth="1"/>
    <col min="4348" max="4348" width="5.5546875" style="18" customWidth="1"/>
    <col min="4349" max="4349" width="9" style="18" customWidth="1"/>
    <col min="4350" max="4351" width="9.88671875" style="18" customWidth="1"/>
    <col min="4352" max="4352" width="11.109375" style="18" customWidth="1"/>
    <col min="4353" max="4353" width="2.88671875" style="18" customWidth="1"/>
    <col min="4354" max="4354" width="3.5546875" style="18" customWidth="1"/>
    <col min="4355" max="4599" width="9.109375" style="18"/>
    <col min="4600" max="4600" width="8.6640625" style="18" customWidth="1"/>
    <col min="4601" max="4601" width="9.88671875" style="18" customWidth="1"/>
    <col min="4602" max="4602" width="14.44140625" style="18" customWidth="1"/>
    <col min="4603" max="4603" width="7.33203125" style="18" customWidth="1"/>
    <col min="4604" max="4604" width="5.5546875" style="18" customWidth="1"/>
    <col min="4605" max="4605" width="9" style="18" customWidth="1"/>
    <col min="4606" max="4607" width="9.88671875" style="18" customWidth="1"/>
    <col min="4608" max="4608" width="11.109375" style="18" customWidth="1"/>
    <col min="4609" max="4609" width="2.88671875" style="18" customWidth="1"/>
    <col min="4610" max="4610" width="3.5546875" style="18" customWidth="1"/>
    <col min="4611" max="4855" width="9.109375" style="18"/>
    <col min="4856" max="4856" width="8.6640625" style="18" customWidth="1"/>
    <col min="4857" max="4857" width="9.88671875" style="18" customWidth="1"/>
    <col min="4858" max="4858" width="14.44140625" style="18" customWidth="1"/>
    <col min="4859" max="4859" width="7.33203125" style="18" customWidth="1"/>
    <col min="4860" max="4860" width="5.5546875" style="18" customWidth="1"/>
    <col min="4861" max="4861" width="9" style="18" customWidth="1"/>
    <col min="4862" max="4863" width="9.88671875" style="18" customWidth="1"/>
    <col min="4864" max="4864" width="11.109375" style="18" customWidth="1"/>
    <col min="4865" max="4865" width="2.88671875" style="18" customWidth="1"/>
    <col min="4866" max="4866" width="3.5546875" style="18" customWidth="1"/>
    <col min="4867" max="5111" width="9.109375" style="18"/>
    <col min="5112" max="5112" width="8.6640625" style="18" customWidth="1"/>
    <col min="5113" max="5113" width="9.88671875" style="18" customWidth="1"/>
    <col min="5114" max="5114" width="14.44140625" style="18" customWidth="1"/>
    <col min="5115" max="5115" width="7.33203125" style="18" customWidth="1"/>
    <col min="5116" max="5116" width="5.5546875" style="18" customWidth="1"/>
    <col min="5117" max="5117" width="9" style="18" customWidth="1"/>
    <col min="5118" max="5119" width="9.88671875" style="18" customWidth="1"/>
    <col min="5120" max="5120" width="11.109375" style="18" customWidth="1"/>
    <col min="5121" max="5121" width="2.88671875" style="18" customWidth="1"/>
    <col min="5122" max="5122" width="3.5546875" style="18" customWidth="1"/>
    <col min="5123" max="5367" width="9.109375" style="18"/>
    <col min="5368" max="5368" width="8.6640625" style="18" customWidth="1"/>
    <col min="5369" max="5369" width="9.88671875" style="18" customWidth="1"/>
    <col min="5370" max="5370" width="14.44140625" style="18" customWidth="1"/>
    <col min="5371" max="5371" width="7.33203125" style="18" customWidth="1"/>
    <col min="5372" max="5372" width="5.5546875" style="18" customWidth="1"/>
    <col min="5373" max="5373" width="9" style="18" customWidth="1"/>
    <col min="5374" max="5375" width="9.88671875" style="18" customWidth="1"/>
    <col min="5376" max="5376" width="11.109375" style="18" customWidth="1"/>
    <col min="5377" max="5377" width="2.88671875" style="18" customWidth="1"/>
    <col min="5378" max="5378" width="3.5546875" style="18" customWidth="1"/>
    <col min="5379" max="5623" width="9.109375" style="18"/>
    <col min="5624" max="5624" width="8.6640625" style="18" customWidth="1"/>
    <col min="5625" max="5625" width="9.88671875" style="18" customWidth="1"/>
    <col min="5626" max="5626" width="14.44140625" style="18" customWidth="1"/>
    <col min="5627" max="5627" width="7.33203125" style="18" customWidth="1"/>
    <col min="5628" max="5628" width="5.5546875" style="18" customWidth="1"/>
    <col min="5629" max="5629" width="9" style="18" customWidth="1"/>
    <col min="5630" max="5631" width="9.88671875" style="18" customWidth="1"/>
    <col min="5632" max="5632" width="11.109375" style="18" customWidth="1"/>
    <col min="5633" max="5633" width="2.88671875" style="18" customWidth="1"/>
    <col min="5634" max="5634" width="3.5546875" style="18" customWidth="1"/>
    <col min="5635" max="5879" width="9.109375" style="18"/>
    <col min="5880" max="5880" width="8.6640625" style="18" customWidth="1"/>
    <col min="5881" max="5881" width="9.88671875" style="18" customWidth="1"/>
    <col min="5882" max="5882" width="14.44140625" style="18" customWidth="1"/>
    <col min="5883" max="5883" width="7.33203125" style="18" customWidth="1"/>
    <col min="5884" max="5884" width="5.5546875" style="18" customWidth="1"/>
    <col min="5885" max="5885" width="9" style="18" customWidth="1"/>
    <col min="5886" max="5887" width="9.88671875" style="18" customWidth="1"/>
    <col min="5888" max="5888" width="11.109375" style="18" customWidth="1"/>
    <col min="5889" max="5889" width="2.88671875" style="18" customWidth="1"/>
    <col min="5890" max="5890" width="3.5546875" style="18" customWidth="1"/>
    <col min="5891" max="6135" width="9.109375" style="18"/>
    <col min="6136" max="6136" width="8.6640625" style="18" customWidth="1"/>
    <col min="6137" max="6137" width="9.88671875" style="18" customWidth="1"/>
    <col min="6138" max="6138" width="14.44140625" style="18" customWidth="1"/>
    <col min="6139" max="6139" width="7.33203125" style="18" customWidth="1"/>
    <col min="6140" max="6140" width="5.5546875" style="18" customWidth="1"/>
    <col min="6141" max="6141" width="9" style="18" customWidth="1"/>
    <col min="6142" max="6143" width="9.88671875" style="18" customWidth="1"/>
    <col min="6144" max="6144" width="11.109375" style="18" customWidth="1"/>
    <col min="6145" max="6145" width="2.88671875" style="18" customWidth="1"/>
    <col min="6146" max="6146" width="3.5546875" style="18" customWidth="1"/>
    <col min="6147" max="6391" width="9.109375" style="18"/>
    <col min="6392" max="6392" width="8.6640625" style="18" customWidth="1"/>
    <col min="6393" max="6393" width="9.88671875" style="18" customWidth="1"/>
    <col min="6394" max="6394" width="14.44140625" style="18" customWidth="1"/>
    <col min="6395" max="6395" width="7.33203125" style="18" customWidth="1"/>
    <col min="6396" max="6396" width="5.5546875" style="18" customWidth="1"/>
    <col min="6397" max="6397" width="9" style="18" customWidth="1"/>
    <col min="6398" max="6399" width="9.88671875" style="18" customWidth="1"/>
    <col min="6400" max="6400" width="11.109375" style="18" customWidth="1"/>
    <col min="6401" max="6401" width="2.88671875" style="18" customWidth="1"/>
    <col min="6402" max="6402" width="3.5546875" style="18" customWidth="1"/>
    <col min="6403" max="6647" width="9.109375" style="18"/>
    <col min="6648" max="6648" width="8.6640625" style="18" customWidth="1"/>
    <col min="6649" max="6649" width="9.88671875" style="18" customWidth="1"/>
    <col min="6650" max="6650" width="14.44140625" style="18" customWidth="1"/>
    <col min="6651" max="6651" width="7.33203125" style="18" customWidth="1"/>
    <col min="6652" max="6652" width="5.5546875" style="18" customWidth="1"/>
    <col min="6653" max="6653" width="9" style="18" customWidth="1"/>
    <col min="6654" max="6655" width="9.88671875" style="18" customWidth="1"/>
    <col min="6656" max="6656" width="11.109375" style="18" customWidth="1"/>
    <col min="6657" max="6657" width="2.88671875" style="18" customWidth="1"/>
    <col min="6658" max="6658" width="3.5546875" style="18" customWidth="1"/>
    <col min="6659" max="6903" width="9.109375" style="18"/>
    <col min="6904" max="6904" width="8.6640625" style="18" customWidth="1"/>
    <col min="6905" max="6905" width="9.88671875" style="18" customWidth="1"/>
    <col min="6906" max="6906" width="14.44140625" style="18" customWidth="1"/>
    <col min="6907" max="6907" width="7.33203125" style="18" customWidth="1"/>
    <col min="6908" max="6908" width="5.5546875" style="18" customWidth="1"/>
    <col min="6909" max="6909" width="9" style="18" customWidth="1"/>
    <col min="6910" max="6911" width="9.88671875" style="18" customWidth="1"/>
    <col min="6912" max="6912" width="11.109375" style="18" customWidth="1"/>
    <col min="6913" max="6913" width="2.88671875" style="18" customWidth="1"/>
    <col min="6914" max="6914" width="3.5546875" style="18" customWidth="1"/>
    <col min="6915" max="7159" width="9.109375" style="18"/>
    <col min="7160" max="7160" width="8.6640625" style="18" customWidth="1"/>
    <col min="7161" max="7161" width="9.88671875" style="18" customWidth="1"/>
    <col min="7162" max="7162" width="14.44140625" style="18" customWidth="1"/>
    <col min="7163" max="7163" width="7.33203125" style="18" customWidth="1"/>
    <col min="7164" max="7164" width="5.5546875" style="18" customWidth="1"/>
    <col min="7165" max="7165" width="9" style="18" customWidth="1"/>
    <col min="7166" max="7167" width="9.88671875" style="18" customWidth="1"/>
    <col min="7168" max="7168" width="11.109375" style="18" customWidth="1"/>
    <col min="7169" max="7169" width="2.88671875" style="18" customWidth="1"/>
    <col min="7170" max="7170" width="3.5546875" style="18" customWidth="1"/>
    <col min="7171" max="7415" width="9.109375" style="18"/>
    <col min="7416" max="7416" width="8.6640625" style="18" customWidth="1"/>
    <col min="7417" max="7417" width="9.88671875" style="18" customWidth="1"/>
    <col min="7418" max="7418" width="14.44140625" style="18" customWidth="1"/>
    <col min="7419" max="7419" width="7.33203125" style="18" customWidth="1"/>
    <col min="7420" max="7420" width="5.5546875" style="18" customWidth="1"/>
    <col min="7421" max="7421" width="9" style="18" customWidth="1"/>
    <col min="7422" max="7423" width="9.88671875" style="18" customWidth="1"/>
    <col min="7424" max="7424" width="11.109375" style="18" customWidth="1"/>
    <col min="7425" max="7425" width="2.88671875" style="18" customWidth="1"/>
    <col min="7426" max="7426" width="3.5546875" style="18" customWidth="1"/>
    <col min="7427" max="7671" width="9.109375" style="18"/>
    <col min="7672" max="7672" width="8.6640625" style="18" customWidth="1"/>
    <col min="7673" max="7673" width="9.88671875" style="18" customWidth="1"/>
    <col min="7674" max="7674" width="14.44140625" style="18" customWidth="1"/>
    <col min="7675" max="7675" width="7.33203125" style="18" customWidth="1"/>
    <col min="7676" max="7676" width="5.5546875" style="18" customWidth="1"/>
    <col min="7677" max="7677" width="9" style="18" customWidth="1"/>
    <col min="7678" max="7679" width="9.88671875" style="18" customWidth="1"/>
    <col min="7680" max="7680" width="11.109375" style="18" customWidth="1"/>
    <col min="7681" max="7681" width="2.88671875" style="18" customWidth="1"/>
    <col min="7682" max="7682" width="3.5546875" style="18" customWidth="1"/>
    <col min="7683" max="7927" width="9.109375" style="18"/>
    <col min="7928" max="7928" width="8.6640625" style="18" customWidth="1"/>
    <col min="7929" max="7929" width="9.88671875" style="18" customWidth="1"/>
    <col min="7930" max="7930" width="14.44140625" style="18" customWidth="1"/>
    <col min="7931" max="7931" width="7.33203125" style="18" customWidth="1"/>
    <col min="7932" max="7932" width="5.5546875" style="18" customWidth="1"/>
    <col min="7933" max="7933" width="9" style="18" customWidth="1"/>
    <col min="7934" max="7935" width="9.88671875" style="18" customWidth="1"/>
    <col min="7936" max="7936" width="11.109375" style="18" customWidth="1"/>
    <col min="7937" max="7937" width="2.88671875" style="18" customWidth="1"/>
    <col min="7938" max="7938" width="3.5546875" style="18" customWidth="1"/>
    <col min="7939" max="8183" width="9.109375" style="18"/>
    <col min="8184" max="8184" width="8.6640625" style="18" customWidth="1"/>
    <col min="8185" max="8185" width="9.88671875" style="18" customWidth="1"/>
    <col min="8186" max="8186" width="14.44140625" style="18" customWidth="1"/>
    <col min="8187" max="8187" width="7.33203125" style="18" customWidth="1"/>
    <col min="8188" max="8188" width="5.5546875" style="18" customWidth="1"/>
    <col min="8189" max="8189" width="9" style="18" customWidth="1"/>
    <col min="8190" max="8191" width="9.88671875" style="18" customWidth="1"/>
    <col min="8192" max="8192" width="11.109375" style="18" customWidth="1"/>
    <col min="8193" max="8193" width="2.88671875" style="18" customWidth="1"/>
    <col min="8194" max="8194" width="3.5546875" style="18" customWidth="1"/>
    <col min="8195" max="8439" width="9.109375" style="18"/>
    <col min="8440" max="8440" width="8.6640625" style="18" customWidth="1"/>
    <col min="8441" max="8441" width="9.88671875" style="18" customWidth="1"/>
    <col min="8442" max="8442" width="14.44140625" style="18" customWidth="1"/>
    <col min="8443" max="8443" width="7.33203125" style="18" customWidth="1"/>
    <col min="8444" max="8444" width="5.5546875" style="18" customWidth="1"/>
    <col min="8445" max="8445" width="9" style="18" customWidth="1"/>
    <col min="8446" max="8447" width="9.88671875" style="18" customWidth="1"/>
    <col min="8448" max="8448" width="11.109375" style="18" customWidth="1"/>
    <col min="8449" max="8449" width="2.88671875" style="18" customWidth="1"/>
    <col min="8450" max="8450" width="3.5546875" style="18" customWidth="1"/>
    <col min="8451" max="8695" width="9.109375" style="18"/>
    <col min="8696" max="8696" width="8.6640625" style="18" customWidth="1"/>
    <col min="8697" max="8697" width="9.88671875" style="18" customWidth="1"/>
    <col min="8698" max="8698" width="14.44140625" style="18" customWidth="1"/>
    <col min="8699" max="8699" width="7.33203125" style="18" customWidth="1"/>
    <col min="8700" max="8700" width="5.5546875" style="18" customWidth="1"/>
    <col min="8701" max="8701" width="9" style="18" customWidth="1"/>
    <col min="8702" max="8703" width="9.88671875" style="18" customWidth="1"/>
    <col min="8704" max="8704" width="11.109375" style="18" customWidth="1"/>
    <col min="8705" max="8705" width="2.88671875" style="18" customWidth="1"/>
    <col min="8706" max="8706" width="3.5546875" style="18" customWidth="1"/>
    <col min="8707" max="8951" width="9.109375" style="18"/>
    <col min="8952" max="8952" width="8.6640625" style="18" customWidth="1"/>
    <col min="8953" max="8953" width="9.88671875" style="18" customWidth="1"/>
    <col min="8954" max="8954" width="14.44140625" style="18" customWidth="1"/>
    <col min="8955" max="8955" width="7.33203125" style="18" customWidth="1"/>
    <col min="8956" max="8956" width="5.5546875" style="18" customWidth="1"/>
    <col min="8957" max="8957" width="9" style="18" customWidth="1"/>
    <col min="8958" max="8959" width="9.88671875" style="18" customWidth="1"/>
    <col min="8960" max="8960" width="11.109375" style="18" customWidth="1"/>
    <col min="8961" max="8961" width="2.88671875" style="18" customWidth="1"/>
    <col min="8962" max="8962" width="3.5546875" style="18" customWidth="1"/>
    <col min="8963" max="9207" width="9.109375" style="18"/>
    <col min="9208" max="9208" width="8.6640625" style="18" customWidth="1"/>
    <col min="9209" max="9209" width="9.88671875" style="18" customWidth="1"/>
    <col min="9210" max="9210" width="14.44140625" style="18" customWidth="1"/>
    <col min="9211" max="9211" width="7.33203125" style="18" customWidth="1"/>
    <col min="9212" max="9212" width="5.5546875" style="18" customWidth="1"/>
    <col min="9213" max="9213" width="9" style="18" customWidth="1"/>
    <col min="9214" max="9215" width="9.88671875" style="18" customWidth="1"/>
    <col min="9216" max="9216" width="11.109375" style="18" customWidth="1"/>
    <col min="9217" max="9217" width="2.88671875" style="18" customWidth="1"/>
    <col min="9218" max="9218" width="3.5546875" style="18" customWidth="1"/>
    <col min="9219" max="9463" width="9.109375" style="18"/>
    <col min="9464" max="9464" width="8.6640625" style="18" customWidth="1"/>
    <col min="9465" max="9465" width="9.88671875" style="18" customWidth="1"/>
    <col min="9466" max="9466" width="14.44140625" style="18" customWidth="1"/>
    <col min="9467" max="9467" width="7.33203125" style="18" customWidth="1"/>
    <col min="9468" max="9468" width="5.5546875" style="18" customWidth="1"/>
    <col min="9469" max="9469" width="9" style="18" customWidth="1"/>
    <col min="9470" max="9471" width="9.88671875" style="18" customWidth="1"/>
    <col min="9472" max="9472" width="11.109375" style="18" customWidth="1"/>
    <col min="9473" max="9473" width="2.88671875" style="18" customWidth="1"/>
    <col min="9474" max="9474" width="3.5546875" style="18" customWidth="1"/>
    <col min="9475" max="9719" width="9.109375" style="18"/>
    <col min="9720" max="9720" width="8.6640625" style="18" customWidth="1"/>
    <col min="9721" max="9721" width="9.88671875" style="18" customWidth="1"/>
    <col min="9722" max="9722" width="14.44140625" style="18" customWidth="1"/>
    <col min="9723" max="9723" width="7.33203125" style="18" customWidth="1"/>
    <col min="9724" max="9724" width="5.5546875" style="18" customWidth="1"/>
    <col min="9725" max="9725" width="9" style="18" customWidth="1"/>
    <col min="9726" max="9727" width="9.88671875" style="18" customWidth="1"/>
    <col min="9728" max="9728" width="11.109375" style="18" customWidth="1"/>
    <col min="9729" max="9729" width="2.88671875" style="18" customWidth="1"/>
    <col min="9730" max="9730" width="3.5546875" style="18" customWidth="1"/>
    <col min="9731" max="9975" width="9.109375" style="18"/>
    <col min="9976" max="9976" width="8.6640625" style="18" customWidth="1"/>
    <col min="9977" max="9977" width="9.88671875" style="18" customWidth="1"/>
    <col min="9978" max="9978" width="14.44140625" style="18" customWidth="1"/>
    <col min="9979" max="9979" width="7.33203125" style="18" customWidth="1"/>
    <col min="9980" max="9980" width="5.5546875" style="18" customWidth="1"/>
    <col min="9981" max="9981" width="9" style="18" customWidth="1"/>
    <col min="9982" max="9983" width="9.88671875" style="18" customWidth="1"/>
    <col min="9984" max="9984" width="11.109375" style="18" customWidth="1"/>
    <col min="9985" max="9985" width="2.88671875" style="18" customWidth="1"/>
    <col min="9986" max="9986" width="3.5546875" style="18" customWidth="1"/>
    <col min="9987" max="10231" width="9.109375" style="18"/>
    <col min="10232" max="10232" width="8.6640625" style="18" customWidth="1"/>
    <col min="10233" max="10233" width="9.88671875" style="18" customWidth="1"/>
    <col min="10234" max="10234" width="14.44140625" style="18" customWidth="1"/>
    <col min="10235" max="10235" width="7.33203125" style="18" customWidth="1"/>
    <col min="10236" max="10236" width="5.5546875" style="18" customWidth="1"/>
    <col min="10237" max="10237" width="9" style="18" customWidth="1"/>
    <col min="10238" max="10239" width="9.88671875" style="18" customWidth="1"/>
    <col min="10240" max="10240" width="11.109375" style="18" customWidth="1"/>
    <col min="10241" max="10241" width="2.88671875" style="18" customWidth="1"/>
    <col min="10242" max="10242" width="3.5546875" style="18" customWidth="1"/>
    <col min="10243" max="10487" width="9.109375" style="18"/>
    <col min="10488" max="10488" width="8.6640625" style="18" customWidth="1"/>
    <col min="10489" max="10489" width="9.88671875" style="18" customWidth="1"/>
    <col min="10490" max="10490" width="14.44140625" style="18" customWidth="1"/>
    <col min="10491" max="10491" width="7.33203125" style="18" customWidth="1"/>
    <col min="10492" max="10492" width="5.5546875" style="18" customWidth="1"/>
    <col min="10493" max="10493" width="9" style="18" customWidth="1"/>
    <col min="10494" max="10495" width="9.88671875" style="18" customWidth="1"/>
    <col min="10496" max="10496" width="11.109375" style="18" customWidth="1"/>
    <col min="10497" max="10497" width="2.88671875" style="18" customWidth="1"/>
    <col min="10498" max="10498" width="3.5546875" style="18" customWidth="1"/>
    <col min="10499" max="10743" width="9.109375" style="18"/>
    <col min="10744" max="10744" width="8.6640625" style="18" customWidth="1"/>
    <col min="10745" max="10745" width="9.88671875" style="18" customWidth="1"/>
    <col min="10746" max="10746" width="14.44140625" style="18" customWidth="1"/>
    <col min="10747" max="10747" width="7.33203125" style="18" customWidth="1"/>
    <col min="10748" max="10748" width="5.5546875" style="18" customWidth="1"/>
    <col min="10749" max="10749" width="9" style="18" customWidth="1"/>
    <col min="10750" max="10751" width="9.88671875" style="18" customWidth="1"/>
    <col min="10752" max="10752" width="11.109375" style="18" customWidth="1"/>
    <col min="10753" max="10753" width="2.88671875" style="18" customWidth="1"/>
    <col min="10754" max="10754" width="3.5546875" style="18" customWidth="1"/>
    <col min="10755" max="10999" width="9.109375" style="18"/>
    <col min="11000" max="11000" width="8.6640625" style="18" customWidth="1"/>
    <col min="11001" max="11001" width="9.88671875" style="18" customWidth="1"/>
    <col min="11002" max="11002" width="14.44140625" style="18" customWidth="1"/>
    <col min="11003" max="11003" width="7.33203125" style="18" customWidth="1"/>
    <col min="11004" max="11004" width="5.5546875" style="18" customWidth="1"/>
    <col min="11005" max="11005" width="9" style="18" customWidth="1"/>
    <col min="11006" max="11007" width="9.88671875" style="18" customWidth="1"/>
    <col min="11008" max="11008" width="11.109375" style="18" customWidth="1"/>
    <col min="11009" max="11009" width="2.88671875" style="18" customWidth="1"/>
    <col min="11010" max="11010" width="3.5546875" style="18" customWidth="1"/>
    <col min="11011" max="11255" width="9.109375" style="18"/>
    <col min="11256" max="11256" width="8.6640625" style="18" customWidth="1"/>
    <col min="11257" max="11257" width="9.88671875" style="18" customWidth="1"/>
    <col min="11258" max="11258" width="14.44140625" style="18" customWidth="1"/>
    <col min="11259" max="11259" width="7.33203125" style="18" customWidth="1"/>
    <col min="11260" max="11260" width="5.5546875" style="18" customWidth="1"/>
    <col min="11261" max="11261" width="9" style="18" customWidth="1"/>
    <col min="11262" max="11263" width="9.88671875" style="18" customWidth="1"/>
    <col min="11264" max="11264" width="11.109375" style="18" customWidth="1"/>
    <col min="11265" max="11265" width="2.88671875" style="18" customWidth="1"/>
    <col min="11266" max="11266" width="3.5546875" style="18" customWidth="1"/>
    <col min="11267" max="11511" width="9.109375" style="18"/>
    <col min="11512" max="11512" width="8.6640625" style="18" customWidth="1"/>
    <col min="11513" max="11513" width="9.88671875" style="18" customWidth="1"/>
    <col min="11514" max="11514" width="14.44140625" style="18" customWidth="1"/>
    <col min="11515" max="11515" width="7.33203125" style="18" customWidth="1"/>
    <col min="11516" max="11516" width="5.5546875" style="18" customWidth="1"/>
    <col min="11517" max="11517" width="9" style="18" customWidth="1"/>
    <col min="11518" max="11519" width="9.88671875" style="18" customWidth="1"/>
    <col min="11520" max="11520" width="11.109375" style="18" customWidth="1"/>
    <col min="11521" max="11521" width="2.88671875" style="18" customWidth="1"/>
    <col min="11522" max="11522" width="3.5546875" style="18" customWidth="1"/>
    <col min="11523" max="11767" width="9.109375" style="18"/>
    <col min="11768" max="11768" width="8.6640625" style="18" customWidth="1"/>
    <col min="11769" max="11769" width="9.88671875" style="18" customWidth="1"/>
    <col min="11770" max="11770" width="14.44140625" style="18" customWidth="1"/>
    <col min="11771" max="11771" width="7.33203125" style="18" customWidth="1"/>
    <col min="11772" max="11772" width="5.5546875" style="18" customWidth="1"/>
    <col min="11773" max="11773" width="9" style="18" customWidth="1"/>
    <col min="11774" max="11775" width="9.88671875" style="18" customWidth="1"/>
    <col min="11776" max="11776" width="11.109375" style="18" customWidth="1"/>
    <col min="11777" max="11777" width="2.88671875" style="18" customWidth="1"/>
    <col min="11778" max="11778" width="3.5546875" style="18" customWidth="1"/>
    <col min="11779" max="12023" width="9.109375" style="18"/>
    <col min="12024" max="12024" width="8.6640625" style="18" customWidth="1"/>
    <col min="12025" max="12025" width="9.88671875" style="18" customWidth="1"/>
    <col min="12026" max="12026" width="14.44140625" style="18" customWidth="1"/>
    <col min="12027" max="12027" width="7.33203125" style="18" customWidth="1"/>
    <col min="12028" max="12028" width="5.5546875" style="18" customWidth="1"/>
    <col min="12029" max="12029" width="9" style="18" customWidth="1"/>
    <col min="12030" max="12031" width="9.88671875" style="18" customWidth="1"/>
    <col min="12032" max="12032" width="11.109375" style="18" customWidth="1"/>
    <col min="12033" max="12033" width="2.88671875" style="18" customWidth="1"/>
    <col min="12034" max="12034" width="3.5546875" style="18" customWidth="1"/>
    <col min="12035" max="12279" width="9.109375" style="18"/>
    <col min="12280" max="12280" width="8.6640625" style="18" customWidth="1"/>
    <col min="12281" max="12281" width="9.88671875" style="18" customWidth="1"/>
    <col min="12282" max="12282" width="14.44140625" style="18" customWidth="1"/>
    <col min="12283" max="12283" width="7.33203125" style="18" customWidth="1"/>
    <col min="12284" max="12284" width="5.5546875" style="18" customWidth="1"/>
    <col min="12285" max="12285" width="9" style="18" customWidth="1"/>
    <col min="12286" max="12287" width="9.88671875" style="18" customWidth="1"/>
    <col min="12288" max="12288" width="11.109375" style="18" customWidth="1"/>
    <col min="12289" max="12289" width="2.88671875" style="18" customWidth="1"/>
    <col min="12290" max="12290" width="3.5546875" style="18" customWidth="1"/>
    <col min="12291" max="12535" width="9.109375" style="18"/>
    <col min="12536" max="12536" width="8.6640625" style="18" customWidth="1"/>
    <col min="12537" max="12537" width="9.88671875" style="18" customWidth="1"/>
    <col min="12538" max="12538" width="14.44140625" style="18" customWidth="1"/>
    <col min="12539" max="12539" width="7.33203125" style="18" customWidth="1"/>
    <col min="12540" max="12540" width="5.5546875" style="18" customWidth="1"/>
    <col min="12541" max="12541" width="9" style="18" customWidth="1"/>
    <col min="12542" max="12543" width="9.88671875" style="18" customWidth="1"/>
    <col min="12544" max="12544" width="11.109375" style="18" customWidth="1"/>
    <col min="12545" max="12545" width="2.88671875" style="18" customWidth="1"/>
    <col min="12546" max="12546" width="3.5546875" style="18" customWidth="1"/>
    <col min="12547" max="12791" width="9.109375" style="18"/>
    <col min="12792" max="12792" width="8.6640625" style="18" customWidth="1"/>
    <col min="12793" max="12793" width="9.88671875" style="18" customWidth="1"/>
    <col min="12794" max="12794" width="14.44140625" style="18" customWidth="1"/>
    <col min="12795" max="12795" width="7.33203125" style="18" customWidth="1"/>
    <col min="12796" max="12796" width="5.5546875" style="18" customWidth="1"/>
    <col min="12797" max="12797" width="9" style="18" customWidth="1"/>
    <col min="12798" max="12799" width="9.88671875" style="18" customWidth="1"/>
    <col min="12800" max="12800" width="11.109375" style="18" customWidth="1"/>
    <col min="12801" max="12801" width="2.88671875" style="18" customWidth="1"/>
    <col min="12802" max="12802" width="3.5546875" style="18" customWidth="1"/>
    <col min="12803" max="13047" width="9.109375" style="18"/>
    <col min="13048" max="13048" width="8.6640625" style="18" customWidth="1"/>
    <col min="13049" max="13049" width="9.88671875" style="18" customWidth="1"/>
    <col min="13050" max="13050" width="14.44140625" style="18" customWidth="1"/>
    <col min="13051" max="13051" width="7.33203125" style="18" customWidth="1"/>
    <col min="13052" max="13052" width="5.5546875" style="18" customWidth="1"/>
    <col min="13053" max="13053" width="9" style="18" customWidth="1"/>
    <col min="13054" max="13055" width="9.88671875" style="18" customWidth="1"/>
    <col min="13056" max="13056" width="11.109375" style="18" customWidth="1"/>
    <col min="13057" max="13057" width="2.88671875" style="18" customWidth="1"/>
    <col min="13058" max="13058" width="3.5546875" style="18" customWidth="1"/>
    <col min="13059" max="13303" width="9.109375" style="18"/>
    <col min="13304" max="13304" width="8.6640625" style="18" customWidth="1"/>
    <col min="13305" max="13305" width="9.88671875" style="18" customWidth="1"/>
    <col min="13306" max="13306" width="14.44140625" style="18" customWidth="1"/>
    <col min="13307" max="13307" width="7.33203125" style="18" customWidth="1"/>
    <col min="13308" max="13308" width="5.5546875" style="18" customWidth="1"/>
    <col min="13309" max="13309" width="9" style="18" customWidth="1"/>
    <col min="13310" max="13311" width="9.88671875" style="18" customWidth="1"/>
    <col min="13312" max="13312" width="11.109375" style="18" customWidth="1"/>
    <col min="13313" max="13313" width="2.88671875" style="18" customWidth="1"/>
    <col min="13314" max="13314" width="3.5546875" style="18" customWidth="1"/>
    <col min="13315" max="13559" width="9.109375" style="18"/>
    <col min="13560" max="13560" width="8.6640625" style="18" customWidth="1"/>
    <col min="13561" max="13561" width="9.88671875" style="18" customWidth="1"/>
    <col min="13562" max="13562" width="14.44140625" style="18" customWidth="1"/>
    <col min="13563" max="13563" width="7.33203125" style="18" customWidth="1"/>
    <col min="13564" max="13564" width="5.5546875" style="18" customWidth="1"/>
    <col min="13565" max="13565" width="9" style="18" customWidth="1"/>
    <col min="13566" max="13567" width="9.88671875" style="18" customWidth="1"/>
    <col min="13568" max="13568" width="11.109375" style="18" customWidth="1"/>
    <col min="13569" max="13569" width="2.88671875" style="18" customWidth="1"/>
    <col min="13570" max="13570" width="3.5546875" style="18" customWidth="1"/>
    <col min="13571" max="13815" width="9.109375" style="18"/>
    <col min="13816" max="13816" width="8.6640625" style="18" customWidth="1"/>
    <col min="13817" max="13817" width="9.88671875" style="18" customWidth="1"/>
    <col min="13818" max="13818" width="14.44140625" style="18" customWidth="1"/>
    <col min="13819" max="13819" width="7.33203125" style="18" customWidth="1"/>
    <col min="13820" max="13820" width="5.5546875" style="18" customWidth="1"/>
    <col min="13821" max="13821" width="9" style="18" customWidth="1"/>
    <col min="13822" max="13823" width="9.88671875" style="18" customWidth="1"/>
    <col min="13824" max="13824" width="11.109375" style="18" customWidth="1"/>
    <col min="13825" max="13825" width="2.88671875" style="18" customWidth="1"/>
    <col min="13826" max="13826" width="3.5546875" style="18" customWidth="1"/>
    <col min="13827" max="14071" width="9.109375" style="18"/>
    <col min="14072" max="14072" width="8.6640625" style="18" customWidth="1"/>
    <col min="14073" max="14073" width="9.88671875" style="18" customWidth="1"/>
    <col min="14074" max="14074" width="14.44140625" style="18" customWidth="1"/>
    <col min="14075" max="14075" width="7.33203125" style="18" customWidth="1"/>
    <col min="14076" max="14076" width="5.5546875" style="18" customWidth="1"/>
    <col min="14077" max="14077" width="9" style="18" customWidth="1"/>
    <col min="14078" max="14079" width="9.88671875" style="18" customWidth="1"/>
    <col min="14080" max="14080" width="11.109375" style="18" customWidth="1"/>
    <col min="14081" max="14081" width="2.88671875" style="18" customWidth="1"/>
    <col min="14082" max="14082" width="3.5546875" style="18" customWidth="1"/>
    <col min="14083" max="14327" width="9.109375" style="18"/>
    <col min="14328" max="14328" width="8.6640625" style="18" customWidth="1"/>
    <col min="14329" max="14329" width="9.88671875" style="18" customWidth="1"/>
    <col min="14330" max="14330" width="14.44140625" style="18" customWidth="1"/>
    <col min="14331" max="14331" width="7.33203125" style="18" customWidth="1"/>
    <col min="14332" max="14332" width="5.5546875" style="18" customWidth="1"/>
    <col min="14333" max="14333" width="9" style="18" customWidth="1"/>
    <col min="14334" max="14335" width="9.88671875" style="18" customWidth="1"/>
    <col min="14336" max="14336" width="11.109375" style="18" customWidth="1"/>
    <col min="14337" max="14337" width="2.88671875" style="18" customWidth="1"/>
    <col min="14338" max="14338" width="3.5546875" style="18" customWidth="1"/>
    <col min="14339" max="14583" width="9.109375" style="18"/>
    <col min="14584" max="14584" width="8.6640625" style="18" customWidth="1"/>
    <col min="14585" max="14585" width="9.88671875" style="18" customWidth="1"/>
    <col min="14586" max="14586" width="14.44140625" style="18" customWidth="1"/>
    <col min="14587" max="14587" width="7.33203125" style="18" customWidth="1"/>
    <col min="14588" max="14588" width="5.5546875" style="18" customWidth="1"/>
    <col min="14589" max="14589" width="9" style="18" customWidth="1"/>
    <col min="14590" max="14591" width="9.88671875" style="18" customWidth="1"/>
    <col min="14592" max="14592" width="11.109375" style="18" customWidth="1"/>
    <col min="14593" max="14593" width="2.88671875" style="18" customWidth="1"/>
    <col min="14594" max="14594" width="3.5546875" style="18" customWidth="1"/>
    <col min="14595" max="14839" width="9.109375" style="18"/>
    <col min="14840" max="14840" width="8.6640625" style="18" customWidth="1"/>
    <col min="14841" max="14841" width="9.88671875" style="18" customWidth="1"/>
    <col min="14842" max="14842" width="14.44140625" style="18" customWidth="1"/>
    <col min="14843" max="14843" width="7.33203125" style="18" customWidth="1"/>
    <col min="14844" max="14844" width="5.5546875" style="18" customWidth="1"/>
    <col min="14845" max="14845" width="9" style="18" customWidth="1"/>
    <col min="14846" max="14847" width="9.88671875" style="18" customWidth="1"/>
    <col min="14848" max="14848" width="11.109375" style="18" customWidth="1"/>
    <col min="14849" max="14849" width="2.88671875" style="18" customWidth="1"/>
    <col min="14850" max="14850" width="3.5546875" style="18" customWidth="1"/>
    <col min="14851" max="15095" width="9.109375" style="18"/>
    <col min="15096" max="15096" width="8.6640625" style="18" customWidth="1"/>
    <col min="15097" max="15097" width="9.88671875" style="18" customWidth="1"/>
    <col min="15098" max="15098" width="14.44140625" style="18" customWidth="1"/>
    <col min="15099" max="15099" width="7.33203125" style="18" customWidth="1"/>
    <col min="15100" max="15100" width="5.5546875" style="18" customWidth="1"/>
    <col min="15101" max="15101" width="9" style="18" customWidth="1"/>
    <col min="15102" max="15103" width="9.88671875" style="18" customWidth="1"/>
    <col min="15104" max="15104" width="11.109375" style="18" customWidth="1"/>
    <col min="15105" max="15105" width="2.88671875" style="18" customWidth="1"/>
    <col min="15106" max="15106" width="3.5546875" style="18" customWidth="1"/>
    <col min="15107" max="15351" width="9.109375" style="18"/>
    <col min="15352" max="15352" width="8.6640625" style="18" customWidth="1"/>
    <col min="15353" max="15353" width="9.88671875" style="18" customWidth="1"/>
    <col min="15354" max="15354" width="14.44140625" style="18" customWidth="1"/>
    <col min="15355" max="15355" width="7.33203125" style="18" customWidth="1"/>
    <col min="15356" max="15356" width="5.5546875" style="18" customWidth="1"/>
    <col min="15357" max="15357" width="9" style="18" customWidth="1"/>
    <col min="15358" max="15359" width="9.88671875" style="18" customWidth="1"/>
    <col min="15360" max="15360" width="11.109375" style="18" customWidth="1"/>
    <col min="15361" max="15361" width="2.88671875" style="18" customWidth="1"/>
    <col min="15362" max="15362" width="3.5546875" style="18" customWidth="1"/>
    <col min="15363" max="15607" width="9.109375" style="18"/>
    <col min="15608" max="15608" width="8.6640625" style="18" customWidth="1"/>
    <col min="15609" max="15609" width="9.88671875" style="18" customWidth="1"/>
    <col min="15610" max="15610" width="14.44140625" style="18" customWidth="1"/>
    <col min="15611" max="15611" width="7.33203125" style="18" customWidth="1"/>
    <col min="15612" max="15612" width="5.5546875" style="18" customWidth="1"/>
    <col min="15613" max="15613" width="9" style="18" customWidth="1"/>
    <col min="15614" max="15615" width="9.88671875" style="18" customWidth="1"/>
    <col min="15616" max="15616" width="11.109375" style="18" customWidth="1"/>
    <col min="15617" max="15617" width="2.88671875" style="18" customWidth="1"/>
    <col min="15618" max="15618" width="3.5546875" style="18" customWidth="1"/>
    <col min="15619" max="15863" width="9.109375" style="18"/>
    <col min="15864" max="15864" width="8.6640625" style="18" customWidth="1"/>
    <col min="15865" max="15865" width="9.88671875" style="18" customWidth="1"/>
    <col min="15866" max="15866" width="14.44140625" style="18" customWidth="1"/>
    <col min="15867" max="15867" width="7.33203125" style="18" customWidth="1"/>
    <col min="15868" max="15868" width="5.5546875" style="18" customWidth="1"/>
    <col min="15869" max="15869" width="9" style="18" customWidth="1"/>
    <col min="15870" max="15871" width="9.88671875" style="18" customWidth="1"/>
    <col min="15872" max="15872" width="11.109375" style="18" customWidth="1"/>
    <col min="15873" max="15873" width="2.88671875" style="18" customWidth="1"/>
    <col min="15874" max="15874" width="3.5546875" style="18" customWidth="1"/>
    <col min="15875" max="16119" width="9.109375" style="18"/>
    <col min="16120" max="16120" width="8.6640625" style="18" customWidth="1"/>
    <col min="16121" max="16121" width="9.88671875" style="18" customWidth="1"/>
    <col min="16122" max="16122" width="14.44140625" style="18" customWidth="1"/>
    <col min="16123" max="16123" width="7.33203125" style="18" customWidth="1"/>
    <col min="16124" max="16124" width="5.5546875" style="18" customWidth="1"/>
    <col min="16125" max="16125" width="9" style="18" customWidth="1"/>
    <col min="16126" max="16127" width="9.88671875" style="18" customWidth="1"/>
    <col min="16128" max="16128" width="11.109375" style="18" customWidth="1"/>
    <col min="16129" max="16129" width="2.88671875" style="18" customWidth="1"/>
    <col min="16130" max="16130" width="3.5546875" style="18" customWidth="1"/>
    <col min="16131" max="16384" width="9.109375" style="18"/>
  </cols>
  <sheetData>
    <row r="1" spans="1:26" ht="46.5" customHeight="1" x14ac:dyDescent="0.3">
      <c r="A1" s="148" t="s">
        <v>164</v>
      </c>
      <c r="B1" s="148"/>
      <c r="C1" s="148"/>
      <c r="D1" s="148"/>
      <c r="E1" s="148"/>
      <c r="F1" s="148"/>
      <c r="G1" s="148"/>
      <c r="H1" s="148"/>
    </row>
    <row r="2" spans="1:26" ht="16.5" customHeight="1" x14ac:dyDescent="0.3">
      <c r="A2" s="149" t="s">
        <v>0</v>
      </c>
      <c r="B2" s="149"/>
      <c r="C2" s="149"/>
      <c r="D2" s="149"/>
      <c r="E2" s="149"/>
      <c r="F2" s="149"/>
      <c r="G2" s="149"/>
      <c r="H2" s="149"/>
    </row>
    <row r="3" spans="1:26" x14ac:dyDescent="0.3">
      <c r="A3" s="136" t="s">
        <v>1</v>
      </c>
      <c r="B3" s="136"/>
      <c r="C3" s="136"/>
      <c r="D3" s="136"/>
      <c r="E3" s="136" t="str">
        <f ca="1">TEXT(TODAY(),"DD/MM/YYYY")</f>
        <v>09/07/2025</v>
      </c>
      <c r="F3" s="136"/>
      <c r="G3" s="136"/>
      <c r="H3" s="136"/>
      <c r="K3" s="51" t="s">
        <v>235</v>
      </c>
      <c r="L3" s="48" t="s">
        <v>233</v>
      </c>
      <c r="M3" s="48" t="s">
        <v>238</v>
      </c>
      <c r="N3" s="48" t="s">
        <v>236</v>
      </c>
      <c r="O3" s="48" t="s">
        <v>237</v>
      </c>
      <c r="P3" s="48" t="s">
        <v>239</v>
      </c>
    </row>
    <row r="4" spans="1:26" ht="15" customHeight="1" x14ac:dyDescent="0.3">
      <c r="A4" s="136" t="s">
        <v>232</v>
      </c>
      <c r="B4" s="136"/>
      <c r="C4" s="136"/>
      <c r="D4" s="136"/>
      <c r="E4" s="136" t="s">
        <v>233</v>
      </c>
      <c r="F4" s="136"/>
      <c r="G4" s="136"/>
      <c r="H4" s="136"/>
      <c r="K4" s="47" t="s">
        <v>234</v>
      </c>
      <c r="L4" s="48" t="s">
        <v>170</v>
      </c>
      <c r="M4" s="48" t="s">
        <v>243</v>
      </c>
      <c r="N4" s="48" t="s">
        <v>245</v>
      </c>
      <c r="O4" s="48" t="s">
        <v>247</v>
      </c>
      <c r="P4" s="48"/>
    </row>
    <row r="5" spans="1:26" ht="15" customHeight="1" x14ac:dyDescent="0.3">
      <c r="A5" s="136" t="s">
        <v>2</v>
      </c>
      <c r="B5" s="136"/>
      <c r="C5" s="136"/>
      <c r="D5" s="136"/>
      <c r="E5" s="136" t="s">
        <v>170</v>
      </c>
      <c r="F5" s="136"/>
      <c r="G5" s="136"/>
      <c r="H5" s="136"/>
      <c r="K5" s="47"/>
      <c r="L5" s="48" t="s">
        <v>240</v>
      </c>
      <c r="M5" s="48" t="s">
        <v>244</v>
      </c>
      <c r="N5" s="48" t="s">
        <v>246</v>
      </c>
      <c r="O5" s="48" t="s">
        <v>248</v>
      </c>
      <c r="P5" s="48"/>
    </row>
    <row r="6" spans="1:26" x14ac:dyDescent="0.3">
      <c r="A6" s="136" t="s">
        <v>3</v>
      </c>
      <c r="B6" s="136"/>
      <c r="C6" s="136"/>
      <c r="D6" s="136"/>
      <c r="E6" s="150">
        <v>45847</v>
      </c>
      <c r="F6" s="136"/>
      <c r="G6" s="136"/>
      <c r="H6" s="136"/>
      <c r="K6" s="47"/>
      <c r="L6" s="48" t="s">
        <v>241</v>
      </c>
      <c r="M6" s="48"/>
      <c r="N6" s="48"/>
      <c r="O6" s="48" t="s">
        <v>249</v>
      </c>
      <c r="P6" s="48"/>
    </row>
    <row r="7" spans="1:26" ht="16.5" customHeight="1" x14ac:dyDescent="0.3">
      <c r="A7" s="136" t="s">
        <v>4</v>
      </c>
      <c r="B7" s="136"/>
      <c r="C7" s="136"/>
      <c r="D7" s="136"/>
      <c r="E7" s="136" t="s">
        <v>297</v>
      </c>
      <c r="F7" s="136"/>
      <c r="G7" s="136"/>
      <c r="H7" s="136"/>
      <c r="K7" s="47"/>
      <c r="L7" s="48" t="s">
        <v>242</v>
      </c>
      <c r="M7" s="48"/>
      <c r="N7" s="48"/>
      <c r="O7" s="48" t="s">
        <v>249</v>
      </c>
      <c r="P7" s="48"/>
    </row>
    <row r="8" spans="1:26" ht="15" customHeight="1" x14ac:dyDescent="0.3">
      <c r="A8" s="136" t="s">
        <v>5</v>
      </c>
      <c r="B8" s="136"/>
      <c r="C8" s="136"/>
      <c r="D8" s="136"/>
      <c r="E8" s="136" t="str">
        <f>E7</f>
        <v>Heer Realty Ventures Pvt Ltd</v>
      </c>
      <c r="F8" s="136"/>
      <c r="G8" s="136"/>
      <c r="H8" s="136"/>
      <c r="K8" s="47"/>
      <c r="L8" s="48"/>
      <c r="M8" s="48"/>
      <c r="N8" s="48"/>
      <c r="O8" s="48" t="s">
        <v>250</v>
      </c>
      <c r="P8" s="48"/>
    </row>
    <row r="9" spans="1:26" x14ac:dyDescent="0.3">
      <c r="A9" s="136" t="s">
        <v>355</v>
      </c>
      <c r="B9" s="136"/>
      <c r="C9" s="136"/>
      <c r="D9" s="136"/>
      <c r="E9" s="101" t="s">
        <v>298</v>
      </c>
      <c r="F9" s="101"/>
      <c r="G9" s="101"/>
      <c r="H9" s="101"/>
      <c r="K9" s="47"/>
      <c r="L9" s="48"/>
      <c r="M9" s="48"/>
      <c r="N9" s="48"/>
      <c r="O9" s="48" t="s">
        <v>251</v>
      </c>
      <c r="P9" s="48"/>
    </row>
    <row r="10" spans="1:26" x14ac:dyDescent="0.3">
      <c r="A10" s="136" t="s">
        <v>167</v>
      </c>
      <c r="B10" s="136"/>
      <c r="C10" s="136"/>
      <c r="D10" s="136"/>
      <c r="E10" s="136" t="s">
        <v>299</v>
      </c>
      <c r="F10" s="136"/>
      <c r="G10" s="136"/>
      <c r="H10" s="136"/>
      <c r="K10" s="47"/>
      <c r="L10" s="48"/>
      <c r="M10" s="48"/>
      <c r="N10" s="48"/>
      <c r="O10" s="48"/>
      <c r="P10" s="48"/>
    </row>
    <row r="11" spans="1:26" x14ac:dyDescent="0.3">
      <c r="A11" s="136" t="s">
        <v>168</v>
      </c>
      <c r="B11" s="136"/>
      <c r="C11" s="136"/>
      <c r="D11" s="136"/>
      <c r="E11" s="136" t="s">
        <v>27</v>
      </c>
      <c r="F11" s="136"/>
      <c r="G11" s="136"/>
      <c r="H11" s="136"/>
    </row>
    <row r="12" spans="1:26" x14ac:dyDescent="0.3">
      <c r="A12" s="136" t="s">
        <v>6</v>
      </c>
      <c r="B12" s="136"/>
      <c r="C12" s="136"/>
      <c r="D12" s="136"/>
      <c r="E12" s="136" t="s">
        <v>300</v>
      </c>
      <c r="F12" s="136"/>
      <c r="G12" s="136"/>
      <c r="H12" s="136"/>
    </row>
    <row r="13" spans="1:26" x14ac:dyDescent="0.3">
      <c r="A13" s="136" t="s">
        <v>171</v>
      </c>
      <c r="B13" s="136"/>
      <c r="C13" s="136"/>
      <c r="D13" s="136"/>
      <c r="E13" s="136" t="s">
        <v>27</v>
      </c>
      <c r="F13" s="136"/>
      <c r="G13" s="136"/>
      <c r="H13" s="136"/>
      <c r="S13" s="48" t="s">
        <v>177</v>
      </c>
      <c r="T13" s="48" t="s">
        <v>187</v>
      </c>
      <c r="U13" s="48" t="s">
        <v>172</v>
      </c>
      <c r="V13" s="48" t="s">
        <v>192</v>
      </c>
      <c r="W13" s="48" t="s">
        <v>210</v>
      </c>
      <c r="X13"/>
      <c r="Y13" t="s">
        <v>192</v>
      </c>
      <c r="Z13" t="e">
        <f ca="1">OFFSET($S$13,1,MATCH($G20,$S$13:$W$13,0)-1,15,1)</f>
        <v>#VALUE!</v>
      </c>
    </row>
    <row r="14" spans="1:26" ht="32.25" customHeight="1" x14ac:dyDescent="0.3">
      <c r="A14" s="68" t="s">
        <v>278</v>
      </c>
      <c r="B14" s="68"/>
      <c r="C14" s="68"/>
      <c r="D14" s="68"/>
      <c r="E14" s="113" t="s">
        <v>227</v>
      </c>
      <c r="F14" s="113"/>
      <c r="G14" s="113"/>
      <c r="H14" s="113"/>
      <c r="S14" s="48" t="s">
        <v>178</v>
      </c>
      <c r="T14" s="48" t="s">
        <v>185</v>
      </c>
      <c r="U14" s="48" t="s">
        <v>207</v>
      </c>
      <c r="V14" s="48" t="s">
        <v>193</v>
      </c>
      <c r="W14" s="48" t="s">
        <v>211</v>
      </c>
      <c r="X14"/>
      <c r="Y14"/>
      <c r="Z14"/>
    </row>
    <row r="15" spans="1:26" x14ac:dyDescent="0.3">
      <c r="A15" s="68" t="s">
        <v>7</v>
      </c>
      <c r="B15" s="68"/>
      <c r="C15" s="68"/>
      <c r="D15" s="68"/>
      <c r="E15" s="113" t="s">
        <v>301</v>
      </c>
      <c r="F15" s="136"/>
      <c r="G15" s="136"/>
      <c r="H15" s="136"/>
      <c r="I15" s="202" t="e">
        <f ca="1">OFFSET($D$5,1,MATCH($J13,$D$5:$H$5,0)-1,15,1)</f>
        <v>#N/A</v>
      </c>
      <c r="J15" s="203"/>
      <c r="K15" s="203"/>
      <c r="L15" s="203"/>
      <c r="M15" s="203"/>
      <c r="N15" s="203"/>
      <c r="O15" s="203"/>
      <c r="P15" s="203"/>
      <c r="S15" s="48" t="s">
        <v>179</v>
      </c>
      <c r="T15" s="48" t="s">
        <v>186</v>
      </c>
      <c r="U15" s="48" t="s">
        <v>208</v>
      </c>
      <c r="V15" s="48" t="s">
        <v>194</v>
      </c>
      <c r="W15" s="48" t="s">
        <v>224</v>
      </c>
      <c r="X15"/>
      <c r="Y15"/>
      <c r="Z15"/>
    </row>
    <row r="16" spans="1:26" ht="46.5" customHeight="1" x14ac:dyDescent="0.3">
      <c r="A16" s="107" t="s">
        <v>8</v>
      </c>
      <c r="B16" s="107"/>
      <c r="C16" s="107" t="str">
        <f>CONCATENATE((IF(OR(E9="",E9="NA"),"",E9)),", ",(IF(OR(A17="",A17="NA"),"",A17)),".",(IF(OR(C17="",C17="NA"),"",C17)),", near ",(IF(OR(C22="",C22="NA"),"",C22)),", ",(IF(OR(C19="",C19="NA"),"",C19)),", ",(IF(OR(C18="",C18="NA"),"",C18)),", ",(IF(OR(G19="",G19="NA"),"",G19)),", ",(IF(OR(C20="",C20="NA"),"",C20)),", ",(IF(OR(C21="",C21="NA"),"",C21)),", ",(IF(OR(G20="",G20="NA"),"",G20))," - ",(IF(OR(G21="",G21="NA"),"",G21)),".")</f>
        <v>Jai Bhavani Chs Ltd SRA Project, Survey No.507 (Pt), near Ashar Tiara Commercial Complex , Pokharan Road No.2, Gandhi Nagar, Panchpakhadi, Thane West, Thane, Thane  - 400606.</v>
      </c>
      <c r="D16" s="107"/>
      <c r="E16" s="107"/>
      <c r="F16" s="107"/>
      <c r="G16" s="107"/>
      <c r="H16" s="107"/>
      <c r="S16" s="48" t="s">
        <v>180</v>
      </c>
      <c r="T16" s="48" t="s">
        <v>188</v>
      </c>
      <c r="U16" s="48" t="s">
        <v>209</v>
      </c>
      <c r="V16" s="48" t="s">
        <v>195</v>
      </c>
      <c r="W16" s="48" t="s">
        <v>212</v>
      </c>
      <c r="X16"/>
      <c r="Y16"/>
      <c r="Z16"/>
    </row>
    <row r="17" spans="1:26" x14ac:dyDescent="0.3">
      <c r="A17" s="113" t="s">
        <v>302</v>
      </c>
      <c r="B17" s="113"/>
      <c r="C17" s="113" t="s">
        <v>356</v>
      </c>
      <c r="D17" s="113"/>
      <c r="E17" s="113"/>
      <c r="F17" s="113"/>
      <c r="G17" s="113"/>
      <c r="H17" s="113"/>
      <c r="S17" s="48" t="s">
        <v>181</v>
      </c>
      <c r="T17" s="48" t="s">
        <v>189</v>
      </c>
      <c r="U17" s="48" t="s">
        <v>172</v>
      </c>
      <c r="V17" s="48" t="s">
        <v>196</v>
      </c>
      <c r="W17" s="48" t="s">
        <v>213</v>
      </c>
      <c r="X17"/>
      <c r="Y17"/>
      <c r="Z17"/>
    </row>
    <row r="18" spans="1:26" ht="15.75" customHeight="1" x14ac:dyDescent="0.3">
      <c r="A18" s="113" t="s">
        <v>162</v>
      </c>
      <c r="B18" s="113"/>
      <c r="C18" s="113" t="s">
        <v>309</v>
      </c>
      <c r="D18" s="113"/>
      <c r="E18" s="113"/>
      <c r="F18" s="113"/>
      <c r="G18" s="113"/>
      <c r="H18" s="113"/>
      <c r="S18" s="48" t="s">
        <v>182</v>
      </c>
      <c r="T18" s="48" t="s">
        <v>187</v>
      </c>
      <c r="U18" s="48"/>
      <c r="V18" s="48" t="s">
        <v>197</v>
      </c>
      <c r="W18" s="48" t="s">
        <v>214</v>
      </c>
      <c r="X18"/>
      <c r="Y18"/>
      <c r="Z18"/>
    </row>
    <row r="19" spans="1:26" ht="15.75" customHeight="1" x14ac:dyDescent="0.3">
      <c r="A19" s="107" t="s">
        <v>9</v>
      </c>
      <c r="B19" s="107"/>
      <c r="C19" s="136" t="s">
        <v>310</v>
      </c>
      <c r="D19" s="136"/>
      <c r="E19" s="107" t="s">
        <v>69</v>
      </c>
      <c r="F19" s="107"/>
      <c r="G19" s="113" t="s">
        <v>303</v>
      </c>
      <c r="H19" s="113"/>
      <c r="S19" s="48" t="s">
        <v>183</v>
      </c>
      <c r="T19" s="48" t="s">
        <v>190</v>
      </c>
      <c r="U19" s="48"/>
      <c r="V19" s="48" t="s">
        <v>198</v>
      </c>
      <c r="W19" s="48" t="s">
        <v>215</v>
      </c>
      <c r="X19"/>
      <c r="Y19"/>
      <c r="Z19"/>
    </row>
    <row r="20" spans="1:26" x14ac:dyDescent="0.3">
      <c r="A20" s="68" t="s">
        <v>11</v>
      </c>
      <c r="B20" s="68"/>
      <c r="C20" s="113" t="s">
        <v>307</v>
      </c>
      <c r="D20" s="113"/>
      <c r="E20" s="113" t="s">
        <v>10</v>
      </c>
      <c r="F20" s="113"/>
      <c r="G20" s="147" t="s">
        <v>177</v>
      </c>
      <c r="H20" s="147"/>
      <c r="S20" s="48" t="s">
        <v>184</v>
      </c>
      <c r="T20" s="48" t="s">
        <v>191</v>
      </c>
      <c r="U20" s="48"/>
      <c r="V20" s="48" t="s">
        <v>199</v>
      </c>
      <c r="W20" s="48" t="s">
        <v>216</v>
      </c>
      <c r="X20"/>
      <c r="Y20"/>
      <c r="Z20"/>
    </row>
    <row r="21" spans="1:26" x14ac:dyDescent="0.3">
      <c r="A21" s="68" t="s">
        <v>70</v>
      </c>
      <c r="B21" s="68"/>
      <c r="C21" s="113" t="s">
        <v>178</v>
      </c>
      <c r="D21" s="113"/>
      <c r="E21" s="113" t="s">
        <v>12</v>
      </c>
      <c r="F21" s="113"/>
      <c r="G21" s="113">
        <v>400606</v>
      </c>
      <c r="H21" s="113"/>
      <c r="S21" s="48"/>
      <c r="T21" s="48"/>
      <c r="U21" s="48"/>
      <c r="V21" s="48" t="s">
        <v>200</v>
      </c>
      <c r="W21" s="48" t="s">
        <v>217</v>
      </c>
      <c r="X21"/>
      <c r="Y21"/>
      <c r="Z21"/>
    </row>
    <row r="22" spans="1:26" ht="32.25" customHeight="1" x14ac:dyDescent="0.3">
      <c r="A22" s="68" t="s">
        <v>118</v>
      </c>
      <c r="B22" s="68"/>
      <c r="C22" s="113" t="s">
        <v>308</v>
      </c>
      <c r="D22" s="113"/>
      <c r="E22" s="107" t="s">
        <v>13</v>
      </c>
      <c r="F22" s="107"/>
      <c r="G22" s="113" t="s">
        <v>306</v>
      </c>
      <c r="H22" s="113"/>
      <c r="S22" s="48"/>
      <c r="T22" s="48"/>
      <c r="U22" s="48"/>
      <c r="V22" s="48" t="s">
        <v>201</v>
      </c>
      <c r="W22" s="48" t="s">
        <v>218</v>
      </c>
      <c r="X22"/>
      <c r="Y22"/>
      <c r="Z22"/>
    </row>
    <row r="23" spans="1:26" ht="15" customHeight="1" x14ac:dyDescent="0.3">
      <c r="A23" s="107" t="s">
        <v>71</v>
      </c>
      <c r="B23" s="107"/>
      <c r="C23" s="107"/>
      <c r="D23" s="107"/>
      <c r="E23" s="136" t="s">
        <v>14</v>
      </c>
      <c r="F23" s="136"/>
      <c r="G23" s="136"/>
      <c r="H23" s="136"/>
      <c r="S23" s="48"/>
      <c r="T23" s="48"/>
      <c r="U23" s="48"/>
      <c r="V23" s="48" t="s">
        <v>202</v>
      </c>
      <c r="W23" s="48" t="s">
        <v>219</v>
      </c>
      <c r="X23"/>
      <c r="Y23"/>
      <c r="Z23"/>
    </row>
    <row r="24" spans="1:26" ht="18.75" customHeight="1" x14ac:dyDescent="0.3">
      <c r="A24" s="107"/>
      <c r="B24" s="107"/>
      <c r="C24" s="107"/>
      <c r="D24" s="107"/>
      <c r="E24" s="136"/>
      <c r="F24" s="136"/>
      <c r="G24" s="136"/>
      <c r="H24" s="136"/>
      <c r="S24" s="48"/>
      <c r="T24" s="48"/>
      <c r="U24" s="48"/>
      <c r="V24" s="48" t="s">
        <v>203</v>
      </c>
      <c r="W24" s="48" t="s">
        <v>220</v>
      </c>
      <c r="X24"/>
      <c r="Y24"/>
      <c r="Z24"/>
    </row>
    <row r="25" spans="1:26" ht="15" customHeight="1" x14ac:dyDescent="0.3">
      <c r="A25" s="107" t="s">
        <v>15</v>
      </c>
      <c r="B25" s="107"/>
      <c r="C25" s="107"/>
      <c r="D25" s="107"/>
      <c r="E25" s="113" t="s">
        <v>16</v>
      </c>
      <c r="F25" s="113"/>
      <c r="G25" s="113"/>
      <c r="H25" s="113"/>
      <c r="S25" s="48"/>
      <c r="T25" s="48"/>
      <c r="U25" s="48"/>
      <c r="V25" s="48" t="s">
        <v>204</v>
      </c>
      <c r="W25" s="48" t="s">
        <v>221</v>
      </c>
      <c r="X25"/>
      <c r="Y25"/>
      <c r="Z25"/>
    </row>
    <row r="26" spans="1:26" ht="15" customHeight="1" x14ac:dyDescent="0.3">
      <c r="A26" s="68" t="s">
        <v>17</v>
      </c>
      <c r="B26" s="68"/>
      <c r="C26" s="68"/>
      <c r="D26" s="68"/>
      <c r="E26" s="113" t="str">
        <f>IF(AND(G20="Mumbai"),"Upper Class","Middle Class")</f>
        <v>Middle Class</v>
      </c>
      <c r="F26" s="113"/>
      <c r="G26" s="113"/>
      <c r="H26" s="113"/>
      <c r="S26" s="48"/>
      <c r="T26" s="48"/>
      <c r="U26" s="48"/>
      <c r="V26" s="48" t="s">
        <v>205</v>
      </c>
      <c r="W26" s="48" t="s">
        <v>222</v>
      </c>
      <c r="X26"/>
      <c r="Y26"/>
      <c r="Z26"/>
    </row>
    <row r="27" spans="1:26" x14ac:dyDescent="0.3">
      <c r="A27" s="68" t="s">
        <v>18</v>
      </c>
      <c r="B27" s="68"/>
      <c r="C27" s="68"/>
      <c r="D27" s="68"/>
      <c r="E27" s="113" t="s">
        <v>19</v>
      </c>
      <c r="F27" s="113"/>
      <c r="G27" s="113"/>
      <c r="H27" s="113"/>
      <c r="S27" s="48"/>
      <c r="T27" s="48"/>
      <c r="U27" s="48"/>
      <c r="V27" s="48" t="s">
        <v>206</v>
      </c>
      <c r="W27" s="48" t="s">
        <v>223</v>
      </c>
      <c r="X27"/>
      <c r="Y27"/>
      <c r="Z27"/>
    </row>
    <row r="28" spans="1:26" ht="15.75" customHeight="1" x14ac:dyDescent="0.3">
      <c r="A28" s="68" t="s">
        <v>20</v>
      </c>
      <c r="B28" s="68"/>
      <c r="C28" s="68"/>
      <c r="D28" s="68"/>
      <c r="E28" s="113" t="str">
        <f>IF(AND(G20="Mumbai"),"Developed","Developing")</f>
        <v>Developing</v>
      </c>
      <c r="F28" s="113"/>
      <c r="G28" s="113"/>
      <c r="H28" s="113"/>
    </row>
    <row r="29" spans="1:26" x14ac:dyDescent="0.3">
      <c r="A29" s="68" t="s">
        <v>21</v>
      </c>
      <c r="B29" s="68"/>
      <c r="C29" s="68"/>
      <c r="D29" s="68"/>
      <c r="E29" s="113" t="s">
        <v>22</v>
      </c>
      <c r="F29" s="113"/>
      <c r="G29" s="113"/>
      <c r="H29" s="113"/>
    </row>
    <row r="30" spans="1:26" ht="15.75" customHeight="1" x14ac:dyDescent="0.3">
      <c r="A30" s="68" t="s">
        <v>76</v>
      </c>
      <c r="B30" s="68"/>
      <c r="C30" s="68"/>
      <c r="D30" s="68"/>
      <c r="E30" s="113" t="s">
        <v>77</v>
      </c>
      <c r="F30" s="113"/>
      <c r="G30" s="113"/>
      <c r="H30" s="113"/>
    </row>
    <row r="31" spans="1:26" ht="15" customHeight="1" x14ac:dyDescent="0.3">
      <c r="A31" s="68" t="s">
        <v>29</v>
      </c>
      <c r="B31" s="68"/>
      <c r="C31" s="68"/>
      <c r="D31" s="68"/>
      <c r="E31" s="113"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Commercial</v>
      </c>
      <c r="F31" s="113"/>
      <c r="G31" s="113"/>
      <c r="H31" s="113"/>
    </row>
    <row r="32" spans="1:26" ht="15.75" customHeight="1" x14ac:dyDescent="0.3">
      <c r="A32" s="68" t="s">
        <v>87</v>
      </c>
      <c r="B32" s="68"/>
      <c r="C32" s="68"/>
      <c r="D32" s="68"/>
      <c r="E32" s="113" t="s">
        <v>30</v>
      </c>
      <c r="F32" s="113"/>
      <c r="G32" s="113"/>
      <c r="H32" s="113"/>
    </row>
    <row r="33" spans="1:19" s="19" customFormat="1" x14ac:dyDescent="0.3">
      <c r="A33" s="146" t="s">
        <v>88</v>
      </c>
      <c r="B33" s="146"/>
      <c r="C33" s="143" t="s">
        <v>173</v>
      </c>
      <c r="D33" s="144"/>
      <c r="E33" s="145"/>
      <c r="F33" s="143" t="s">
        <v>28</v>
      </c>
      <c r="G33" s="144"/>
      <c r="H33" s="145"/>
      <c r="S33" s="19" t="e">
        <f ca="1">OFFSET($S$13,1,MATCH($G20,$S$13:$W$13,0)-1,15,1)</f>
        <v>#VALUE!</v>
      </c>
    </row>
    <row r="34" spans="1:19" s="19" customFormat="1" x14ac:dyDescent="0.3">
      <c r="A34" s="128" t="s">
        <v>23</v>
      </c>
      <c r="B34" s="128" t="s">
        <v>27</v>
      </c>
      <c r="C34" s="129" t="s">
        <v>316</v>
      </c>
      <c r="D34" s="130"/>
      <c r="E34" s="131"/>
      <c r="F34" s="129" t="s">
        <v>312</v>
      </c>
      <c r="G34" s="130"/>
      <c r="H34" s="131"/>
    </row>
    <row r="35" spans="1:19" x14ac:dyDescent="0.3">
      <c r="A35" s="128" t="s">
        <v>24</v>
      </c>
      <c r="B35" s="128" t="s">
        <v>27</v>
      </c>
      <c r="C35" s="129" t="s">
        <v>314</v>
      </c>
      <c r="D35" s="130"/>
      <c r="E35" s="131"/>
      <c r="F35" s="129" t="s">
        <v>311</v>
      </c>
      <c r="G35" s="130"/>
      <c r="H35" s="131"/>
    </row>
    <row r="36" spans="1:19" s="19" customFormat="1" x14ac:dyDescent="0.3">
      <c r="A36" s="128" t="s">
        <v>26</v>
      </c>
      <c r="B36" s="128" t="s">
        <v>27</v>
      </c>
      <c r="C36" s="129" t="s">
        <v>317</v>
      </c>
      <c r="D36" s="130"/>
      <c r="E36" s="131"/>
      <c r="F36" s="129" t="s">
        <v>313</v>
      </c>
      <c r="G36" s="130"/>
      <c r="H36" s="131"/>
    </row>
    <row r="37" spans="1:19" x14ac:dyDescent="0.3">
      <c r="A37" s="128" t="s">
        <v>25</v>
      </c>
      <c r="B37" s="128" t="s">
        <v>27</v>
      </c>
      <c r="C37" s="129" t="s">
        <v>315</v>
      </c>
      <c r="D37" s="130"/>
      <c r="E37" s="131"/>
      <c r="F37" s="129" t="s">
        <v>310</v>
      </c>
      <c r="G37" s="130"/>
      <c r="H37" s="131"/>
    </row>
    <row r="38" spans="1:19" x14ac:dyDescent="0.3">
      <c r="A38" s="68" t="s">
        <v>279</v>
      </c>
      <c r="B38" s="68"/>
      <c r="C38" s="68"/>
      <c r="D38" s="68"/>
      <c r="E38" s="68"/>
      <c r="F38" s="68"/>
      <c r="G38" s="68"/>
      <c r="H38" s="68"/>
    </row>
    <row r="39" spans="1:19" ht="15.75" customHeight="1" x14ac:dyDescent="0.3">
      <c r="A39" s="68" t="s">
        <v>165</v>
      </c>
      <c r="B39" s="68"/>
      <c r="C39" s="82" t="s">
        <v>304</v>
      </c>
      <c r="D39" s="82"/>
      <c r="E39" s="82"/>
      <c r="F39" s="82"/>
      <c r="G39" s="82"/>
      <c r="H39" s="82"/>
    </row>
    <row r="40" spans="1:19" x14ac:dyDescent="0.3">
      <c r="A40" s="68" t="s">
        <v>161</v>
      </c>
      <c r="B40" s="68"/>
      <c r="C40" s="112" t="s">
        <v>305</v>
      </c>
      <c r="D40" s="113"/>
      <c r="E40" s="113"/>
      <c r="F40" s="113"/>
      <c r="G40" s="113"/>
      <c r="H40" s="113"/>
    </row>
    <row r="41" spans="1:19" x14ac:dyDescent="0.3">
      <c r="A41" s="82" t="s">
        <v>31</v>
      </c>
      <c r="B41" s="82"/>
      <c r="C41" s="82"/>
      <c r="D41" s="82"/>
      <c r="E41" s="82"/>
      <c r="F41" s="82"/>
      <c r="G41" s="82"/>
      <c r="H41" s="82"/>
    </row>
    <row r="42" spans="1:19" x14ac:dyDescent="0.3">
      <c r="A42" s="68" t="s">
        <v>32</v>
      </c>
      <c r="B42" s="68"/>
      <c r="C42" s="68"/>
      <c r="D42" s="68"/>
      <c r="E42" s="132">
        <v>6315.02</v>
      </c>
      <c r="F42" s="132"/>
      <c r="G42" s="132"/>
      <c r="H42" s="132"/>
    </row>
    <row r="43" spans="1:19" x14ac:dyDescent="0.3">
      <c r="A43" s="68" t="s">
        <v>33</v>
      </c>
      <c r="B43" s="68"/>
      <c r="C43" s="68"/>
      <c r="D43" s="68"/>
      <c r="E43" s="134">
        <v>4</v>
      </c>
      <c r="F43" s="134"/>
      <c r="G43" s="134"/>
      <c r="H43" s="134"/>
    </row>
    <row r="44" spans="1:19" x14ac:dyDescent="0.3">
      <c r="A44" s="68" t="s">
        <v>34</v>
      </c>
      <c r="B44" s="68"/>
      <c r="C44" s="68"/>
      <c r="D44" s="68"/>
      <c r="E44" s="134">
        <f>E46/E42-E43</f>
        <v>2.4544007778280976</v>
      </c>
      <c r="F44" s="134"/>
      <c r="G44" s="134"/>
      <c r="H44" s="134"/>
    </row>
    <row r="45" spans="1:19" x14ac:dyDescent="0.3">
      <c r="A45" s="68" t="s">
        <v>35</v>
      </c>
      <c r="B45" s="68"/>
      <c r="C45" s="68"/>
      <c r="D45" s="68"/>
      <c r="E45" s="134">
        <f>E43+E44</f>
        <v>6.4544007778280976</v>
      </c>
      <c r="F45" s="134"/>
      <c r="G45" s="134"/>
      <c r="H45" s="134"/>
    </row>
    <row r="46" spans="1:19" x14ac:dyDescent="0.3">
      <c r="A46" s="68" t="s">
        <v>86</v>
      </c>
      <c r="B46" s="68"/>
      <c r="C46" s="68"/>
      <c r="D46" s="68"/>
      <c r="E46" s="135">
        <v>40759.67</v>
      </c>
      <c r="F46" s="135"/>
      <c r="G46" s="135"/>
      <c r="H46" s="135"/>
    </row>
    <row r="47" spans="1:19" x14ac:dyDescent="0.3">
      <c r="A47" s="136" t="s">
        <v>36</v>
      </c>
      <c r="B47" s="136"/>
      <c r="C47" s="136"/>
      <c r="D47" s="136"/>
      <c r="E47" s="136" t="s">
        <v>117</v>
      </c>
      <c r="F47" s="136"/>
      <c r="G47" s="136"/>
      <c r="H47" s="136"/>
    </row>
    <row r="48" spans="1:19" x14ac:dyDescent="0.3">
      <c r="A48" s="82" t="s">
        <v>37</v>
      </c>
      <c r="B48" s="82"/>
      <c r="C48" s="82"/>
      <c r="D48" s="82"/>
      <c r="E48" s="82"/>
      <c r="F48" s="82"/>
      <c r="G48" s="82"/>
      <c r="H48" s="82"/>
    </row>
    <row r="49" spans="1:24" ht="33.75" customHeight="1" x14ac:dyDescent="0.3">
      <c r="A49" s="83" t="s">
        <v>150</v>
      </c>
      <c r="B49" s="84"/>
      <c r="C49" s="85" t="s">
        <v>319</v>
      </c>
      <c r="D49" s="86"/>
      <c r="E49" s="86"/>
      <c r="F49" s="86"/>
      <c r="G49" s="86"/>
      <c r="H49" s="87"/>
      <c r="R49" t="s">
        <v>252</v>
      </c>
      <c r="S49" t="s">
        <v>172</v>
      </c>
      <c r="T49" t="s">
        <v>177</v>
      </c>
      <c r="U49" t="s">
        <v>192</v>
      </c>
      <c r="V49" t="s">
        <v>187</v>
      </c>
    </row>
    <row r="50" spans="1:24" ht="15.75" customHeight="1" x14ac:dyDescent="0.3">
      <c r="A50" s="83" t="s">
        <v>38</v>
      </c>
      <c r="B50" s="84"/>
      <c r="C50" s="83" t="s">
        <v>320</v>
      </c>
      <c r="D50" s="137"/>
      <c r="E50" s="84"/>
      <c r="F50" s="17" t="s">
        <v>39</v>
      </c>
      <c r="G50" s="182">
        <v>45226</v>
      </c>
      <c r="H50" s="84"/>
      <c r="R50"/>
      <c r="S50" t="s">
        <v>253</v>
      </c>
      <c r="T50" t="s">
        <v>258</v>
      </c>
      <c r="U50" t="s">
        <v>269</v>
      </c>
      <c r="V50" t="s">
        <v>274</v>
      </c>
    </row>
    <row r="51" spans="1:24" x14ac:dyDescent="0.3">
      <c r="A51" s="83" t="s">
        <v>40</v>
      </c>
      <c r="B51" s="84"/>
      <c r="C51" s="83" t="str">
        <f>C50</f>
        <v>MMR/SRA/ENG V.P.No.2006/66</v>
      </c>
      <c r="D51" s="137"/>
      <c r="E51" s="84"/>
      <c r="F51" s="17" t="s">
        <v>39</v>
      </c>
      <c r="G51" s="182">
        <f>G50</f>
        <v>45226</v>
      </c>
      <c r="H51" s="84"/>
      <c r="R51"/>
      <c r="S51" t="s">
        <v>254</v>
      </c>
      <c r="T51" t="s">
        <v>259</v>
      </c>
      <c r="U51" t="s">
        <v>267</v>
      </c>
      <c r="V51" t="s">
        <v>275</v>
      </c>
    </row>
    <row r="52" spans="1:24" s="20" customFormat="1" ht="15.75" customHeight="1" x14ac:dyDescent="0.3">
      <c r="A52" s="183" t="s">
        <v>154</v>
      </c>
      <c r="B52" s="184"/>
      <c r="C52" s="83" t="s">
        <v>321</v>
      </c>
      <c r="D52" s="137"/>
      <c r="E52" s="84"/>
      <c r="F52" s="17" t="s">
        <v>39</v>
      </c>
      <c r="G52" s="182">
        <v>45316</v>
      </c>
      <c r="H52" s="84"/>
      <c r="R52"/>
      <c r="S52" t="s">
        <v>255</v>
      </c>
      <c r="T52" t="s">
        <v>260</v>
      </c>
      <c r="U52" t="s">
        <v>257</v>
      </c>
      <c r="V52" t="s">
        <v>276</v>
      </c>
    </row>
    <row r="53" spans="1:24" s="20" customFormat="1" ht="48.9" customHeight="1" x14ac:dyDescent="0.3">
      <c r="A53" s="185"/>
      <c r="B53" s="186"/>
      <c r="C53" s="83" t="s">
        <v>357</v>
      </c>
      <c r="D53" s="137"/>
      <c r="E53" s="137"/>
      <c r="F53" s="137"/>
      <c r="G53" s="137"/>
      <c r="H53" s="84"/>
      <c r="R53"/>
      <c r="S53" t="s">
        <v>256</v>
      </c>
      <c r="T53" t="s">
        <v>263</v>
      </c>
      <c r="U53" t="s">
        <v>270</v>
      </c>
    </row>
    <row r="54" spans="1:24" s="20" customFormat="1" hidden="1" x14ac:dyDescent="0.3">
      <c r="A54" s="191" t="s">
        <v>280</v>
      </c>
      <c r="B54" s="192"/>
      <c r="C54" s="83" t="str">
        <f>C53</f>
        <v>This Further C.C is Re-endorsed for RCC frame work upto 21st floors of Sale Bldg &amp; Mechanical parking Tower 2 as per approved amended plans dtd.25/01/2024.</v>
      </c>
      <c r="D54" s="137"/>
      <c r="E54" s="84"/>
      <c r="F54" s="17" t="s">
        <v>39</v>
      </c>
      <c r="G54" s="83"/>
      <c r="H54" s="84"/>
      <c r="R54"/>
      <c r="S54" t="s">
        <v>255</v>
      </c>
      <c r="T54" t="s">
        <v>260</v>
      </c>
      <c r="U54" t="s">
        <v>257</v>
      </c>
      <c r="V54" t="s">
        <v>276</v>
      </c>
    </row>
    <row r="55" spans="1:24" s="20" customFormat="1" ht="32.25" hidden="1" customHeight="1" x14ac:dyDescent="0.3">
      <c r="A55" s="193"/>
      <c r="B55" s="194"/>
      <c r="C55" s="119"/>
      <c r="D55" s="120"/>
      <c r="E55" s="120"/>
      <c r="F55" s="120"/>
      <c r="G55" s="120"/>
      <c r="H55" s="121"/>
      <c r="R55"/>
      <c r="S55" t="s">
        <v>257</v>
      </c>
      <c r="T55" t="s">
        <v>261</v>
      </c>
      <c r="U55" t="s">
        <v>271</v>
      </c>
      <c r="V55" s="18"/>
      <c r="W55" s="18"/>
      <c r="X55" s="18"/>
    </row>
    <row r="56" spans="1:24" s="20" customFormat="1" ht="34.5" hidden="1" customHeight="1" x14ac:dyDescent="0.3">
      <c r="A56" s="191" t="s">
        <v>281</v>
      </c>
      <c r="B56" s="192"/>
      <c r="C56" s="83">
        <f>C55</f>
        <v>0</v>
      </c>
      <c r="D56" s="137"/>
      <c r="E56" s="84"/>
      <c r="F56" s="17" t="s">
        <v>39</v>
      </c>
      <c r="G56" s="83">
        <f>G55</f>
        <v>0</v>
      </c>
      <c r="H56" s="84"/>
      <c r="R56"/>
      <c r="S56" s="18"/>
      <c r="T56" t="s">
        <v>262</v>
      </c>
      <c r="U56" t="s">
        <v>272</v>
      </c>
      <c r="V56" s="18"/>
      <c r="W56" s="18"/>
      <c r="X56" s="18"/>
    </row>
    <row r="57" spans="1:24" s="20" customFormat="1" ht="41.25" hidden="1" customHeight="1" x14ac:dyDescent="0.3">
      <c r="A57" s="193"/>
      <c r="B57" s="194"/>
      <c r="C57" s="83"/>
      <c r="D57" s="137"/>
      <c r="E57" s="137"/>
      <c r="F57" s="137"/>
      <c r="G57" s="137"/>
      <c r="H57" s="84"/>
      <c r="R57"/>
      <c r="S57" s="18"/>
      <c r="T57" t="s">
        <v>264</v>
      </c>
      <c r="U57" t="s">
        <v>273</v>
      </c>
      <c r="V57" s="18"/>
      <c r="W57" s="18"/>
      <c r="X57" s="18"/>
    </row>
    <row r="58" spans="1:24" s="20" customFormat="1" ht="15.75" hidden="1" customHeight="1" x14ac:dyDescent="0.3">
      <c r="A58" s="191" t="s">
        <v>282</v>
      </c>
      <c r="B58" s="192"/>
      <c r="C58" s="83">
        <f>C57</f>
        <v>0</v>
      </c>
      <c r="D58" s="137"/>
      <c r="E58" s="84"/>
      <c r="F58" s="17" t="s">
        <v>39</v>
      </c>
      <c r="G58" s="83">
        <f>G57</f>
        <v>0</v>
      </c>
      <c r="H58" s="84"/>
      <c r="R58"/>
      <c r="S58" s="18"/>
      <c r="T58" t="s">
        <v>265</v>
      </c>
      <c r="U58" s="18" t="s">
        <v>296</v>
      </c>
      <c r="V58" s="18"/>
      <c r="W58" s="18"/>
      <c r="X58" s="18"/>
    </row>
    <row r="59" spans="1:24" s="20" customFormat="1" ht="33.75" hidden="1" customHeight="1" x14ac:dyDescent="0.3">
      <c r="A59" s="193"/>
      <c r="B59" s="194"/>
      <c r="C59" s="83"/>
      <c r="D59" s="137"/>
      <c r="E59" s="137"/>
      <c r="F59" s="137"/>
      <c r="G59" s="137"/>
      <c r="H59" s="84"/>
      <c r="R59"/>
      <c r="S59" s="18"/>
      <c r="T59" t="s">
        <v>266</v>
      </c>
      <c r="U59" s="18"/>
      <c r="V59" s="18"/>
      <c r="W59" s="18"/>
      <c r="X59" s="18"/>
    </row>
    <row r="60" spans="1:24" x14ac:dyDescent="0.3">
      <c r="A60" s="205" t="s">
        <v>41</v>
      </c>
      <c r="B60" s="206"/>
      <c r="C60" s="205" t="s">
        <v>100</v>
      </c>
      <c r="D60" s="207"/>
      <c r="E60" s="206"/>
      <c r="F60" s="40" t="s">
        <v>39</v>
      </c>
      <c r="G60" s="189" t="s">
        <v>27</v>
      </c>
      <c r="H60" s="190"/>
      <c r="R60"/>
      <c r="T60" t="s">
        <v>268</v>
      </c>
    </row>
    <row r="61" spans="1:24" x14ac:dyDescent="0.3">
      <c r="A61" s="173" t="s">
        <v>43</v>
      </c>
      <c r="B61" s="173"/>
      <c r="C61" s="173"/>
      <c r="D61" s="173"/>
      <c r="E61" s="173"/>
      <c r="F61" s="173"/>
      <c r="G61" s="173"/>
      <c r="H61" s="173"/>
      <c r="T61" t="s">
        <v>277</v>
      </c>
    </row>
    <row r="62" spans="1:24" ht="31.5" customHeight="1" x14ac:dyDescent="0.3">
      <c r="A62" s="107" t="s">
        <v>318</v>
      </c>
      <c r="B62" s="107"/>
      <c r="C62" s="107"/>
      <c r="D62" s="136">
        <v>38270.44</v>
      </c>
      <c r="E62" s="136"/>
      <c r="F62" s="136"/>
      <c r="G62" s="136"/>
      <c r="H62" s="136"/>
      <c r="R62"/>
      <c r="T62" s="56" t="s">
        <v>319</v>
      </c>
    </row>
    <row r="63" spans="1:24" x14ac:dyDescent="0.3">
      <c r="A63" s="113" t="s">
        <v>44</v>
      </c>
      <c r="B63" s="136"/>
      <c r="C63" s="136"/>
      <c r="D63" s="188" t="s">
        <v>351</v>
      </c>
      <c r="E63" s="188"/>
      <c r="F63" s="188"/>
      <c r="G63" s="188"/>
      <c r="H63" s="188"/>
      <c r="I63" s="21"/>
      <c r="R63"/>
    </row>
    <row r="64" spans="1:24" x14ac:dyDescent="0.3">
      <c r="A64" s="140" t="s">
        <v>45</v>
      </c>
      <c r="B64" s="141"/>
      <c r="C64" s="142"/>
      <c r="D64" s="138" t="s">
        <v>326</v>
      </c>
      <c r="E64" s="139"/>
      <c r="F64" s="139"/>
      <c r="G64" s="139"/>
      <c r="H64" s="139"/>
      <c r="R64"/>
    </row>
    <row r="65" spans="1:19" ht="15.75" customHeight="1" x14ac:dyDescent="0.3">
      <c r="A65" s="140" t="s">
        <v>84</v>
      </c>
      <c r="B65" s="141"/>
      <c r="C65" s="141"/>
      <c r="D65" s="138" t="s">
        <v>326</v>
      </c>
      <c r="E65" s="139"/>
      <c r="F65" s="139"/>
      <c r="G65" s="139"/>
      <c r="H65" s="139"/>
      <c r="R65"/>
    </row>
    <row r="66" spans="1:19" ht="15.75" customHeight="1" x14ac:dyDescent="0.3">
      <c r="A66" s="68" t="s">
        <v>42</v>
      </c>
      <c r="B66" s="68"/>
      <c r="C66" s="68"/>
      <c r="D66" s="107" t="s">
        <v>322</v>
      </c>
      <c r="E66" s="107"/>
      <c r="F66" s="107"/>
      <c r="G66" s="107"/>
      <c r="H66" s="107"/>
      <c r="J66" s="22"/>
      <c r="K66" s="21"/>
      <c r="N66" s="21"/>
      <c r="S66"/>
    </row>
    <row r="67" spans="1:19" ht="15.75" customHeight="1" x14ac:dyDescent="0.3">
      <c r="A67" s="68" t="s">
        <v>82</v>
      </c>
      <c r="B67" s="68"/>
      <c r="C67" s="68"/>
      <c r="D67" s="133" t="str">
        <f>(IF(G60="NA","60 Years After Completion",IF(G60&lt;&gt;"NA",""&amp;60-ROUNDDOWN((E3-G60)/360,0)&amp;" Years"," ")))</f>
        <v>60 Years After Completion</v>
      </c>
      <c r="E67" s="133"/>
      <c r="F67" s="133"/>
      <c r="G67" s="133"/>
      <c r="H67" s="133"/>
      <c r="N67" s="21"/>
      <c r="S67"/>
    </row>
    <row r="68" spans="1:19" ht="15.75" customHeight="1" x14ac:dyDescent="0.3">
      <c r="A68" s="68" t="s">
        <v>83</v>
      </c>
      <c r="B68" s="68"/>
      <c r="C68" s="68"/>
      <c r="D68" s="107" t="s">
        <v>22</v>
      </c>
      <c r="E68" s="107"/>
      <c r="F68" s="107"/>
      <c r="G68" s="107"/>
      <c r="H68" s="107"/>
      <c r="J68" s="23"/>
      <c r="K68" s="23"/>
      <c r="S68"/>
    </row>
    <row r="69" spans="1:19" ht="81" customHeight="1" x14ac:dyDescent="0.3">
      <c r="A69" s="136" t="s">
        <v>323</v>
      </c>
      <c r="B69" s="136"/>
      <c r="C69" s="136"/>
      <c r="D69" s="113" t="s">
        <v>344</v>
      </c>
      <c r="E69" s="113"/>
      <c r="F69" s="113"/>
      <c r="G69" s="113"/>
      <c r="H69" s="113"/>
      <c r="S69"/>
    </row>
    <row r="70" spans="1:19" x14ac:dyDescent="0.3">
      <c r="A70" s="107" t="s">
        <v>146</v>
      </c>
      <c r="B70" s="107"/>
      <c r="C70" s="107"/>
      <c r="D70" s="107" t="s">
        <v>27</v>
      </c>
      <c r="E70" s="107"/>
      <c r="F70" s="107"/>
      <c r="G70" s="107"/>
      <c r="H70" s="107"/>
      <c r="I70" s="24"/>
      <c r="J70" s="24"/>
      <c r="K70" s="24"/>
      <c r="L70" s="24"/>
      <c r="M70" s="24"/>
      <c r="N70" s="24"/>
    </row>
    <row r="71" spans="1:19" ht="15.75" customHeight="1" x14ac:dyDescent="0.3">
      <c r="A71" s="187" t="s">
        <v>81</v>
      </c>
      <c r="B71" s="187"/>
      <c r="C71" s="187"/>
      <c r="D71" s="138" t="str">
        <f ca="1">(IF(G77&gt;95%,"Nothing",IF(G77&gt;0%,"Cement, Aggregate, Steel, etc",IF(G77=0%,"Work not yet Started"))))</f>
        <v>Cement, Aggregate, Steel, etc</v>
      </c>
      <c r="E71" s="138"/>
      <c r="F71" s="138"/>
      <c r="G71" s="138"/>
      <c r="H71" s="138"/>
      <c r="J71" s="23"/>
      <c r="S71"/>
    </row>
    <row r="72" spans="1:19" ht="33.75" customHeight="1" thickBot="1" x14ac:dyDescent="0.35">
      <c r="A72" s="152" t="s">
        <v>113</v>
      </c>
      <c r="B72" s="152"/>
      <c r="C72" s="152"/>
      <c r="D72" s="138" t="str">
        <f ca="1">(IF(D71="Nothing","Yes",IF(D71="Cement, Aggregate, Steel, etc","Under Construction",IF(D71="Work not yet Started","Work not yet Started"))))</f>
        <v>Under Construction</v>
      </c>
      <c r="E72" s="138"/>
      <c r="F72" s="138" t="str">
        <f ca="1">(IF(D71="Nothing","Yes",IF(D71="Cement, Aggregate, Steel, etc","Under Construction",IF(D71="Work not yet Started","Work not yet Started"))))</f>
        <v>Under Construction</v>
      </c>
      <c r="G72" s="138"/>
      <c r="H72" s="138"/>
      <c r="S72"/>
    </row>
    <row r="73" spans="1:19" ht="15.75" customHeight="1" x14ac:dyDescent="0.3">
      <c r="A73" s="102" t="s">
        <v>136</v>
      </c>
      <c r="B73" s="103"/>
      <c r="C73" s="104" t="s">
        <v>326</v>
      </c>
      <c r="D73" s="105"/>
      <c r="E73" s="105"/>
      <c r="F73" s="105"/>
      <c r="G73" s="105"/>
      <c r="H73" s="106"/>
      <c r="I73" s="42" t="str">
        <f ca="1">IF(D86=100%,"All work Completed. Possession granted to the Building.",IF(D85=100%,"All work Completed, Waiting for OC",I74&amp;""&amp;I75&amp;""&amp;J74&amp;""&amp;J73&amp;" "&amp;J75))</f>
        <v>Excavation, Plinth, RCC Slab Completed, Brickwork upto 32 Floor, Internal Plaster upto 16 Floor, External Plaster upto 24 Floor, Flooring upto 3 Floor Completed</v>
      </c>
      <c r="J73" s="43"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Brickwork upto 32 Floor, Internal Plaster upto 16 Floor, External Plaster upto 24 Floor, Flooring upto 3 Floor</v>
      </c>
      <c r="S73"/>
    </row>
    <row r="74" spans="1:19" x14ac:dyDescent="0.3">
      <c r="A74" s="15" t="s">
        <v>138</v>
      </c>
      <c r="B74" s="46">
        <f>IF(AND(ISNUMBER(SEARCH("1B",C73))),1,IF(AND(ISNUMBER(SEARCH("2B",C73))),2,IF(AND(ISNUMBER(SEARCH("3B",C73))),3,IF(AND(ISNUMBER(SEARCH("4B",C73))),4,IF(ISNUMBER(SEARCH("5B",C73)),5,0)))))</f>
        <v>0</v>
      </c>
      <c r="C74" s="46" t="s">
        <v>68</v>
      </c>
      <c r="D74" s="46">
        <v>1</v>
      </c>
      <c r="E74" s="46" t="s">
        <v>67</v>
      </c>
      <c r="F74" s="46">
        <v>0</v>
      </c>
      <c r="G74" s="46" t="s">
        <v>75</v>
      </c>
      <c r="H74" s="16">
        <f ca="1">--TRIM(RIGHT(SUBSTITUTE(LEFT(C73,_xlfn.AGGREGATE(16,6,FIND({0,1,2,3,4,5,6,7,8,9},C73,ROW(INDIRECT("1:"&amp;LEN(C73)))),1))," ",REPT(" ",LEN(C73))),LEN(C73)))</f>
        <v>34</v>
      </c>
      <c r="I74" s="44" t="str">
        <f ca="1">IF(D77=100%,"Excavation","")&amp;IF(D78=100%,", Plinth","")&amp;IF(D79=100%,", RCC Slab","")&amp;IF(D80=100%,", Brickwork","")&amp;IF(D81=100%,", Internal Plaster","")&amp;IF(D82=100%,", External Plaster","")&amp;IF(D83=100%,", Flooring","")&amp;IF(D84=100%,", Painting","")&amp;IF(D85=100%,", Building common Amenities","")</f>
        <v>Excavation, Plinth, RCC Slab</v>
      </c>
      <c r="J74" s="45"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ht="49.5" customHeight="1" x14ac:dyDescent="0.3">
      <c r="A75" s="100" t="s">
        <v>85</v>
      </c>
      <c r="B75" s="101"/>
      <c r="C75" s="108" t="str">
        <f ca="1">I73</f>
        <v>Excavation, Plinth, RCC Slab Completed, Brickwork upto 32 Floor, Internal Plaster upto 16 Floor, External Plaster upto 24 Floor, Flooring upto 3 Floor Completed</v>
      </c>
      <c r="D75" s="108"/>
      <c r="E75" s="108"/>
      <c r="F75" s="108"/>
      <c r="G75" s="108"/>
      <c r="H75" s="109"/>
      <c r="I75" s="44" t="str">
        <f ca="1">IF(I74&lt;&gt;""," Completed","")</f>
        <v xml:space="preserve"> Completed</v>
      </c>
      <c r="J75" s="45" t="str">
        <f ca="1">IF(J73&lt;&gt;"","Completed","")</f>
        <v>Completed</v>
      </c>
      <c r="S75"/>
    </row>
    <row r="76" spans="1:19" ht="15.75" customHeight="1" x14ac:dyDescent="0.3">
      <c r="A76" s="98" t="s">
        <v>46</v>
      </c>
      <c r="B76" s="99"/>
      <c r="C76" s="57" t="s">
        <v>135</v>
      </c>
      <c r="D76" s="57" t="s">
        <v>78</v>
      </c>
      <c r="E76" s="151" t="s">
        <v>80</v>
      </c>
      <c r="F76" s="151"/>
      <c r="G76" s="151" t="s">
        <v>79</v>
      </c>
      <c r="H76" s="153"/>
      <c r="I76" s="13" t="s">
        <v>137</v>
      </c>
      <c r="J76" s="25">
        <f ca="1">H74*25%</f>
        <v>8.5</v>
      </c>
      <c r="S76"/>
    </row>
    <row r="77" spans="1:19" x14ac:dyDescent="0.3">
      <c r="A77" s="98" t="s">
        <v>124</v>
      </c>
      <c r="B77" s="99"/>
      <c r="C77" s="57">
        <f ca="1">J78</f>
        <v>34</v>
      </c>
      <c r="D77" s="58">
        <f ca="1">((100/H74)*C77)/100</f>
        <v>1</v>
      </c>
      <c r="E77" s="154">
        <f ca="1">(((C78/H74*10)+(40/(D74+F74+H74)*C79)+(7.5/(H74)*C80)+(7.5/(H74)*C81)+(10/H74*C82)+(10/H74*C83)+(5/H74*C84)+(5/H74*C85)+(5/H74*C86))/100)</f>
        <v>0.68529411764705883</v>
      </c>
      <c r="F77" s="155"/>
      <c r="G77" s="154">
        <f ca="1">((((C77/H74)*20)+((C78/H74)*25)+(30/(H74+F74+D74)*C79)+(5/H74*C80)+(5/H74*C81)+(5/H74*C82)+(5/H74*C83)+(0/H74*C84)+(0/H74*C85)+(5/H74*C86))/100)</f>
        <v>0.86029411764705888</v>
      </c>
      <c r="H77" s="160"/>
      <c r="I77" s="13" t="s">
        <v>95</v>
      </c>
      <c r="J77" s="26">
        <f ca="1">H74*50%</f>
        <v>17</v>
      </c>
    </row>
    <row r="78" spans="1:19" x14ac:dyDescent="0.3">
      <c r="A78" s="98" t="s">
        <v>47</v>
      </c>
      <c r="B78" s="99"/>
      <c r="C78" s="57">
        <f ca="1">J86</f>
        <v>34</v>
      </c>
      <c r="D78" s="58">
        <f ca="1">((100/H74)*C78)/100</f>
        <v>1</v>
      </c>
      <c r="E78" s="156"/>
      <c r="F78" s="157"/>
      <c r="G78" s="156"/>
      <c r="H78" s="161"/>
      <c r="I78" s="13" t="s">
        <v>96</v>
      </c>
      <c r="J78" s="26">
        <f ca="1">H74</f>
        <v>34</v>
      </c>
      <c r="S78"/>
    </row>
    <row r="79" spans="1:19" ht="15.75" customHeight="1" x14ac:dyDescent="0.3">
      <c r="A79" s="98" t="s">
        <v>125</v>
      </c>
      <c r="B79" s="99"/>
      <c r="C79" s="57">
        <v>35</v>
      </c>
      <c r="D79" s="58">
        <f ca="1">((100/(D74+F74+H74))*C79)/100</f>
        <v>1</v>
      </c>
      <c r="E79" s="156"/>
      <c r="F79" s="157"/>
      <c r="G79" s="156"/>
      <c r="H79" s="161"/>
      <c r="I79" s="13" t="s">
        <v>97</v>
      </c>
      <c r="J79" s="27">
        <f ca="1">(IF(B74&gt;1,(H74/(B74+2)),H74/4))</f>
        <v>8.5</v>
      </c>
      <c r="S79"/>
    </row>
    <row r="80" spans="1:19" ht="15.75" customHeight="1" x14ac:dyDescent="0.3">
      <c r="A80" s="98" t="s">
        <v>132</v>
      </c>
      <c r="B80" s="99" t="s">
        <v>126</v>
      </c>
      <c r="C80" s="57">
        <v>32</v>
      </c>
      <c r="D80" s="58">
        <f ca="1">((100/H74)*C80)/100</f>
        <v>0.94117647058823539</v>
      </c>
      <c r="E80" s="156"/>
      <c r="F80" s="157"/>
      <c r="G80" s="156"/>
      <c r="H80" s="161"/>
      <c r="I80" s="13" t="s">
        <v>98</v>
      </c>
      <c r="J80" s="27">
        <f ca="1">(IF(B74&gt;1,(H74/(B74+2)+J79),H74/4+J79))</f>
        <v>17</v>
      </c>
    </row>
    <row r="81" spans="1:19" ht="15.75" customHeight="1" x14ac:dyDescent="0.3">
      <c r="A81" s="98" t="s">
        <v>133</v>
      </c>
      <c r="B81" s="99" t="s">
        <v>126</v>
      </c>
      <c r="C81" s="57">
        <v>16</v>
      </c>
      <c r="D81" s="58">
        <f ca="1">((100/H74)*C81)/100</f>
        <v>0.4705882352941177</v>
      </c>
      <c r="E81" s="156"/>
      <c r="F81" s="157"/>
      <c r="G81" s="156"/>
      <c r="H81" s="161"/>
      <c r="I81" s="13" t="s">
        <v>144</v>
      </c>
      <c r="J81" s="27">
        <f>(IF(B74&gt;1,(H74/(B74+2)+J80),0))</f>
        <v>0</v>
      </c>
    </row>
    <row r="82" spans="1:19" ht="15" customHeight="1" x14ac:dyDescent="0.3">
      <c r="A82" s="98" t="s">
        <v>131</v>
      </c>
      <c r="B82" s="99" t="s">
        <v>128</v>
      </c>
      <c r="C82" s="57">
        <v>24</v>
      </c>
      <c r="D82" s="58">
        <f ca="1">((100/(H74))*C82)/100</f>
        <v>0.70588235294117652</v>
      </c>
      <c r="E82" s="156"/>
      <c r="F82" s="157"/>
      <c r="G82" s="156"/>
      <c r="H82" s="161"/>
      <c r="I82" s="13" t="s">
        <v>139</v>
      </c>
      <c r="J82" s="27">
        <f>(IF(B74&gt;2,(H74/(B74+2)+J81),0))</f>
        <v>0</v>
      </c>
    </row>
    <row r="83" spans="1:19" ht="15.75" customHeight="1" x14ac:dyDescent="0.3">
      <c r="A83" s="98" t="s">
        <v>127</v>
      </c>
      <c r="B83" s="99" t="s">
        <v>127</v>
      </c>
      <c r="C83" s="57">
        <v>3</v>
      </c>
      <c r="D83" s="58">
        <f ca="1">((100/H74)*C83)/100</f>
        <v>8.8235294117647065E-2</v>
      </c>
      <c r="E83" s="156"/>
      <c r="F83" s="157"/>
      <c r="G83" s="156"/>
      <c r="H83" s="161"/>
      <c r="I83" s="13" t="s">
        <v>140</v>
      </c>
      <c r="J83" s="28">
        <f>(IF(B74&gt;3,(H74/(B74+2)+J82),0))</f>
        <v>0</v>
      </c>
    </row>
    <row r="84" spans="1:19" ht="15.75" customHeight="1" x14ac:dyDescent="0.3">
      <c r="A84" s="98" t="s">
        <v>134</v>
      </c>
      <c r="B84" s="99"/>
      <c r="C84" s="57">
        <v>0</v>
      </c>
      <c r="D84" s="58">
        <f ca="1">((100/H74)*C84)/100</f>
        <v>0</v>
      </c>
      <c r="E84" s="156"/>
      <c r="F84" s="157"/>
      <c r="G84" s="156"/>
      <c r="H84" s="161"/>
      <c r="I84" s="13" t="s">
        <v>141</v>
      </c>
      <c r="J84" s="27">
        <f>(IF(B74&gt;4,(H74/(B74+2)+J83),0))</f>
        <v>0</v>
      </c>
    </row>
    <row r="85" spans="1:19" ht="15.75" customHeight="1" x14ac:dyDescent="0.3">
      <c r="A85" s="98" t="s">
        <v>129</v>
      </c>
      <c r="B85" s="99" t="s">
        <v>129</v>
      </c>
      <c r="C85" s="57">
        <v>0</v>
      </c>
      <c r="D85" s="58">
        <f ca="1">((100/(H74))*C85)/100</f>
        <v>0</v>
      </c>
      <c r="E85" s="156"/>
      <c r="F85" s="157"/>
      <c r="G85" s="156"/>
      <c r="H85" s="161"/>
      <c r="I85" s="13" t="s">
        <v>145</v>
      </c>
      <c r="J85" s="27">
        <f ca="1">(IF(B74=1,(H74/(B74+3)+J80),IF(B74=0,(H74/4+J80),IF(B74&gt;1,0))))</f>
        <v>25.5</v>
      </c>
    </row>
    <row r="86" spans="1:19" ht="16.2" thickBot="1" x14ac:dyDescent="0.35">
      <c r="A86" s="163" t="s">
        <v>130</v>
      </c>
      <c r="B86" s="164"/>
      <c r="C86" s="59">
        <v>0</v>
      </c>
      <c r="D86" s="60">
        <f ca="1">((100/(H74))*C86)/100</f>
        <v>0</v>
      </c>
      <c r="E86" s="158"/>
      <c r="F86" s="159"/>
      <c r="G86" s="158"/>
      <c r="H86" s="162"/>
      <c r="I86" s="14" t="s">
        <v>99</v>
      </c>
      <c r="J86" s="29">
        <f ca="1">(IF(B74&gt;1.5,(H74/(B74+2)+J80+MAX(0,J81-J80)+MAX(0,J82-J81)+MAX(0,J83-J82)+MAX(0,J84-J83)+MAX(0,J85-J84)),IF(B74=1,(H74/(B74+3)+J85),IF(B74=0,H74/4+J85))))</f>
        <v>34</v>
      </c>
    </row>
    <row r="87" spans="1:19" ht="15.75" customHeight="1" x14ac:dyDescent="0.3">
      <c r="A87" s="102" t="s">
        <v>136</v>
      </c>
      <c r="B87" s="103"/>
      <c r="C87" s="104" t="s">
        <v>359</v>
      </c>
      <c r="D87" s="105"/>
      <c r="E87" s="105"/>
      <c r="F87" s="105"/>
      <c r="G87" s="105"/>
      <c r="H87" s="106"/>
      <c r="I87" s="42" t="str">
        <f ca="1">IF(D100=100%,"All work Completed. Possession granted to the Building.",IF(D99=100%,"All work Completed, Waiting for OC",I88&amp;""&amp;I89&amp;""&amp;J88&amp;""&amp;J87&amp;" "&amp;J89))</f>
        <v>Excavation, Plinth, RCC Slab Completed, Brickwork upto 30 Floor, Internal Plaster upto 10 Floor, External Plaster upto 15 Floor Completed</v>
      </c>
      <c r="J87" s="43" t="str">
        <f ca="1">(IF(C93=(D88+F88+H88),"",IF(C93&gt;0,", RCC upto "&amp;C93&amp;" Slab","")))&amp;(IF(C94=H88,"",IF(C94&gt;0,", Brickwork upto "&amp;C94&amp;" Floor","")))&amp;(IF(C95=H88,"",IF(C95&gt;0,", Internal Plaster upto "&amp;C95&amp;" Floor","")))&amp;(IF(C96=H88,"",IF(C96&gt;0,", External Plaster upto "&amp;C96&amp;" Floor","")))&amp;(IF(C97=H88,"",IF(C97&gt;0,", Flooring upto "&amp;C97&amp;" Floor","")))&amp;(IF(C98=H88,"",IF(C98&gt;0,", Painting upto "&amp;C98&amp;" Floor","")))&amp;(IF(C99=H88,"",IF(C99&gt;0,", Finishing upto "&amp;C99&amp;" Floor","")))&amp;(IF(C100=H88,"",IF(C100&gt;0,", Possession upto "&amp;C100&amp;" Floor","")))</f>
        <v>, Brickwork upto 30 Floor, Internal Plaster upto 10 Floor, External Plaster upto 15 Floor</v>
      </c>
      <c r="S87"/>
    </row>
    <row r="88" spans="1:19" x14ac:dyDescent="0.3">
      <c r="A88" s="15" t="s">
        <v>138</v>
      </c>
      <c r="B88" s="46">
        <f>IF(AND(ISNUMBER(SEARCH("1B",C87))),1,IF(AND(ISNUMBER(SEARCH("2B",C87))),2,IF(AND(ISNUMBER(SEARCH("3B",C87))),3,IF(AND(ISNUMBER(SEARCH("4B",C87))),4,IF(ISNUMBER(SEARCH("5B",C87)),5,0)))))</f>
        <v>0</v>
      </c>
      <c r="C88" s="46" t="s">
        <v>68</v>
      </c>
      <c r="D88" s="46">
        <v>1</v>
      </c>
      <c r="E88" s="46" t="s">
        <v>67</v>
      </c>
      <c r="F88" s="46">
        <v>0</v>
      </c>
      <c r="G88" s="46" t="s">
        <v>75</v>
      </c>
      <c r="H88" s="16">
        <f ca="1">--TRIM(RIGHT(SUBSTITUTE(LEFT(C87,_xlfn.AGGREGATE(16,6,FIND({0,1,2,3,4,5,6,7,8,9},C87,ROW(INDIRECT("1:"&amp;LEN(C87)))),1))," ",REPT(" ",LEN(C87))),LEN(C87)))</f>
        <v>34</v>
      </c>
      <c r="I88" s="44" t="str">
        <f ca="1">IF(D91=100%,"Excavation","")&amp;IF(D92=100%,", Plinth","")&amp;IF(D93=100%,", RCC Slab","")&amp;IF(D94=100%,", Brickwork","")&amp;IF(D95=100%,", Internal Plaster","")&amp;IF(D96=100%,", External Plaster","")&amp;IF(D97=100%,", Flooring","")&amp;IF(D98=100%,", Painting","")&amp;IF(D99=100%,", Building common Amenities","")</f>
        <v>Excavation, Plinth, RCC Slab</v>
      </c>
      <c r="J88" s="45" t="str">
        <f ca="1">(IF(C91=0,"Work not yet Started.",IF(D91=25%,"Piling work in process",IF(D91=50%,"Excavation work in process",IF(D91=100%,"","0")))))&amp;(IF(C92=0%,"",IF(C92=J93,", Footing work is process",IF(C92=J94,", Footing work Completed",IF(C92=J95,", 1st Basement Completed",IF(C92=J96,", 1st &amp; 2nd Basement Completed",IF(C92=J97,", 1st to 3rd Basement Completed",IF(C92=J98,", 1st to 4th Basement Completed",IF(C92=J99,", Plinth work is process",IF(C92=J100,"","0"))))))))))</f>
        <v/>
      </c>
      <c r="S88"/>
    </row>
    <row r="89" spans="1:19" ht="38.4" customHeight="1" x14ac:dyDescent="0.3">
      <c r="A89" s="100" t="s">
        <v>85</v>
      </c>
      <c r="B89" s="101"/>
      <c r="C89" s="108" t="str">
        <f ca="1">I87</f>
        <v>Excavation, Plinth, RCC Slab Completed, Brickwork upto 30 Floor, Internal Plaster upto 10 Floor, External Plaster upto 15 Floor Completed</v>
      </c>
      <c r="D89" s="108"/>
      <c r="E89" s="108"/>
      <c r="F89" s="108"/>
      <c r="G89" s="108"/>
      <c r="H89" s="109"/>
      <c r="I89" s="44" t="str">
        <f ca="1">IF(I88&lt;&gt;""," Completed","")</f>
        <v xml:space="preserve"> Completed</v>
      </c>
      <c r="J89" s="45" t="str">
        <f ca="1">IF(J87&lt;&gt;"","Completed","")</f>
        <v>Completed</v>
      </c>
      <c r="S89"/>
    </row>
    <row r="90" spans="1:19" ht="15.75" customHeight="1" x14ac:dyDescent="0.3">
      <c r="A90" s="98" t="s">
        <v>46</v>
      </c>
      <c r="B90" s="99"/>
      <c r="C90" s="57" t="s">
        <v>135</v>
      </c>
      <c r="D90" s="57" t="s">
        <v>78</v>
      </c>
      <c r="E90" s="151" t="s">
        <v>80</v>
      </c>
      <c r="F90" s="151"/>
      <c r="G90" s="151" t="s">
        <v>79</v>
      </c>
      <c r="H90" s="153"/>
      <c r="I90" s="13" t="s">
        <v>137</v>
      </c>
      <c r="J90" s="25">
        <f ca="1">H88*25%</f>
        <v>8.5</v>
      </c>
      <c r="S90"/>
    </row>
    <row r="91" spans="1:19" x14ac:dyDescent="0.3">
      <c r="A91" s="98" t="s">
        <v>124</v>
      </c>
      <c r="B91" s="99"/>
      <c r="C91" s="57">
        <f ca="1">J92</f>
        <v>34</v>
      </c>
      <c r="D91" s="58">
        <f ca="1">((100/H88)*C91)/100</f>
        <v>1</v>
      </c>
      <c r="E91" s="154">
        <f ca="1">(((C92/H88*10)+(40/(D88+F88+H88)*C93)+(7.5/(H88)*C94)+(7.5/(H88)*C95)+(10/H88*C96)+(10/H88*C97)+(5/H88*C98)+(5/H88*C99)+(5/H88*C100))/100)</f>
        <v>0.63235294117647056</v>
      </c>
      <c r="F91" s="155"/>
      <c r="G91" s="154">
        <f ca="1">((((C91/H88)*20)+((C92/H88)*25)+(30/(H88+F88+D88)*C93)+(5/H88*C94)+(5/H88*C95)+(5/H88*C96)+(5/H88*C97)+(0/H88*C98)+(0/H88*C99)+(5/H88*C100))/100)</f>
        <v>0.83088235294117641</v>
      </c>
      <c r="H91" s="160"/>
      <c r="I91" s="13" t="s">
        <v>95</v>
      </c>
      <c r="J91" s="26">
        <f ca="1">H88*50%</f>
        <v>17</v>
      </c>
    </row>
    <row r="92" spans="1:19" x14ac:dyDescent="0.3">
      <c r="A92" s="98" t="s">
        <v>47</v>
      </c>
      <c r="B92" s="99"/>
      <c r="C92" s="57">
        <f ca="1">J100</f>
        <v>34</v>
      </c>
      <c r="D92" s="58">
        <f ca="1">((100/H88)*C92)/100</f>
        <v>1</v>
      </c>
      <c r="E92" s="156"/>
      <c r="F92" s="157"/>
      <c r="G92" s="156"/>
      <c r="H92" s="161"/>
      <c r="I92" s="13" t="s">
        <v>96</v>
      </c>
      <c r="J92" s="26">
        <f ca="1">H88</f>
        <v>34</v>
      </c>
      <c r="S92"/>
    </row>
    <row r="93" spans="1:19" ht="15.75" customHeight="1" x14ac:dyDescent="0.3">
      <c r="A93" s="98" t="s">
        <v>125</v>
      </c>
      <c r="B93" s="99"/>
      <c r="C93" s="57">
        <v>35</v>
      </c>
      <c r="D93" s="58">
        <f ca="1">((100/(D88+F88+H88))*C93)/100</f>
        <v>1</v>
      </c>
      <c r="E93" s="156"/>
      <c r="F93" s="157"/>
      <c r="G93" s="156"/>
      <c r="H93" s="161"/>
      <c r="I93" s="13" t="s">
        <v>97</v>
      </c>
      <c r="J93" s="27">
        <f ca="1">(IF(B88&gt;1,(H88/(B88+2)),H88/4))</f>
        <v>8.5</v>
      </c>
      <c r="S93"/>
    </row>
    <row r="94" spans="1:19" ht="15.75" customHeight="1" x14ac:dyDescent="0.3">
      <c r="A94" s="98" t="s">
        <v>132</v>
      </c>
      <c r="B94" s="99" t="s">
        <v>126</v>
      </c>
      <c r="C94" s="57">
        <v>30</v>
      </c>
      <c r="D94" s="58">
        <f ca="1">((100/H88)*C94)/100</f>
        <v>0.88235294117647067</v>
      </c>
      <c r="E94" s="156"/>
      <c r="F94" s="157"/>
      <c r="G94" s="156"/>
      <c r="H94" s="161"/>
      <c r="I94" s="13" t="s">
        <v>98</v>
      </c>
      <c r="J94" s="27">
        <f ca="1">(IF(B88&gt;1,(H88/(B88+2)+J93),H88/4+J93))</f>
        <v>17</v>
      </c>
    </row>
    <row r="95" spans="1:19" ht="15.75" customHeight="1" x14ac:dyDescent="0.3">
      <c r="A95" s="98" t="s">
        <v>133</v>
      </c>
      <c r="B95" s="99" t="s">
        <v>126</v>
      </c>
      <c r="C95" s="57">
        <v>10</v>
      </c>
      <c r="D95" s="58">
        <f ca="1">((100/H88)*C95)/100</f>
        <v>0.29411764705882354</v>
      </c>
      <c r="E95" s="156"/>
      <c r="F95" s="157"/>
      <c r="G95" s="156"/>
      <c r="H95" s="161"/>
      <c r="I95" s="13" t="s">
        <v>144</v>
      </c>
      <c r="J95" s="27">
        <f>(IF(B88&gt;1,(H88/(B88+2)+J94),0))</f>
        <v>0</v>
      </c>
    </row>
    <row r="96" spans="1:19" ht="15" customHeight="1" x14ac:dyDescent="0.3">
      <c r="A96" s="98" t="s">
        <v>131</v>
      </c>
      <c r="B96" s="99" t="s">
        <v>128</v>
      </c>
      <c r="C96" s="57">
        <v>15</v>
      </c>
      <c r="D96" s="58">
        <f ca="1">((100/(H88))*C96)/100</f>
        <v>0.44117647058823534</v>
      </c>
      <c r="E96" s="156"/>
      <c r="F96" s="157"/>
      <c r="G96" s="156"/>
      <c r="H96" s="161"/>
      <c r="I96" s="13" t="s">
        <v>139</v>
      </c>
      <c r="J96" s="27">
        <f>(IF(B88&gt;2,(H88/(B88+2)+J95),0))</f>
        <v>0</v>
      </c>
    </row>
    <row r="97" spans="1:22" ht="15.75" customHeight="1" x14ac:dyDescent="0.3">
      <c r="A97" s="98" t="s">
        <v>127</v>
      </c>
      <c r="B97" s="99" t="s">
        <v>127</v>
      </c>
      <c r="C97" s="57">
        <v>0</v>
      </c>
      <c r="D97" s="58">
        <f ca="1">((100/H88)*C97)/100</f>
        <v>0</v>
      </c>
      <c r="E97" s="156"/>
      <c r="F97" s="157"/>
      <c r="G97" s="156"/>
      <c r="H97" s="161"/>
      <c r="I97" s="13" t="s">
        <v>140</v>
      </c>
      <c r="J97" s="28">
        <f>(IF(B88&gt;3,(H88/(B88+2)+J96),0))</f>
        <v>0</v>
      </c>
    </row>
    <row r="98" spans="1:22" ht="15.75" customHeight="1" x14ac:dyDescent="0.3">
      <c r="A98" s="98" t="s">
        <v>134</v>
      </c>
      <c r="B98" s="99"/>
      <c r="C98" s="57">
        <v>0</v>
      </c>
      <c r="D98" s="58">
        <f ca="1">((100/H88)*C98)/100</f>
        <v>0</v>
      </c>
      <c r="E98" s="156"/>
      <c r="F98" s="157"/>
      <c r="G98" s="156"/>
      <c r="H98" s="161"/>
      <c r="I98" s="13" t="s">
        <v>141</v>
      </c>
      <c r="J98" s="27">
        <f>(IF(B88&gt;4,(H88/(B88+2)+J97),0))</f>
        <v>0</v>
      </c>
    </row>
    <row r="99" spans="1:22" ht="15.75" customHeight="1" x14ac:dyDescent="0.3">
      <c r="A99" s="98" t="s">
        <v>129</v>
      </c>
      <c r="B99" s="99" t="s">
        <v>129</v>
      </c>
      <c r="C99" s="57">
        <v>0</v>
      </c>
      <c r="D99" s="58">
        <f ca="1">((100/(H88))*C99)/100</f>
        <v>0</v>
      </c>
      <c r="E99" s="156"/>
      <c r="F99" s="157"/>
      <c r="G99" s="156"/>
      <c r="H99" s="161"/>
      <c r="I99" s="13" t="s">
        <v>145</v>
      </c>
      <c r="J99" s="27">
        <f ca="1">(IF(B88=1,(H88/(B88+3)+J94),IF(B88=0,(H88/4+J94),IF(B88&gt;1,0))))</f>
        <v>25.5</v>
      </c>
    </row>
    <row r="100" spans="1:22" ht="16.2" thickBot="1" x14ac:dyDescent="0.35">
      <c r="A100" s="163" t="s">
        <v>130</v>
      </c>
      <c r="B100" s="164"/>
      <c r="C100" s="59">
        <v>0</v>
      </c>
      <c r="D100" s="60">
        <f ca="1">((100/(H88))*C100)/100</f>
        <v>0</v>
      </c>
      <c r="E100" s="158"/>
      <c r="F100" s="159"/>
      <c r="G100" s="158"/>
      <c r="H100" s="162"/>
      <c r="I100" s="14" t="s">
        <v>99</v>
      </c>
      <c r="J100" s="29">
        <f ca="1">(IF(B88&gt;1.5,(H88/(B88+2)+J94+MAX(0,J95-J94)+MAX(0,J96-J95)+MAX(0,J97-J96)+MAX(0,J98-J97)+MAX(0,J99-J98)),IF(B88=1,(H88/(B88+3)+J99),IF(B88=0,H88/4+J99))))</f>
        <v>34</v>
      </c>
    </row>
    <row r="101" spans="1:22" x14ac:dyDescent="0.3">
      <c r="A101" s="209" t="s">
        <v>360</v>
      </c>
      <c r="B101" s="210"/>
      <c r="C101" s="213">
        <f ca="1">AVERAGE(E77,E91)</f>
        <v>0.6588235294117647</v>
      </c>
      <c r="D101" s="210"/>
      <c r="E101" s="209" t="s">
        <v>361</v>
      </c>
      <c r="F101" s="210"/>
      <c r="G101" s="213">
        <f ca="1">AVERAGE(G77,G91)</f>
        <v>0.84558823529411764</v>
      </c>
      <c r="H101" s="210"/>
      <c r="R101" t="s">
        <v>252</v>
      </c>
      <c r="S101" t="s">
        <v>172</v>
      </c>
      <c r="T101" t="s">
        <v>177</v>
      </c>
      <c r="U101" t="s">
        <v>192</v>
      </c>
      <c r="V101" t="s">
        <v>187</v>
      </c>
    </row>
    <row r="102" spans="1:22" x14ac:dyDescent="0.3">
      <c r="A102" s="211"/>
      <c r="B102" s="212"/>
      <c r="C102" s="211"/>
      <c r="D102" s="212"/>
      <c r="E102" s="211"/>
      <c r="F102" s="212"/>
      <c r="G102" s="211"/>
      <c r="H102" s="212"/>
      <c r="R102" t="s">
        <v>252</v>
      </c>
      <c r="S102" t="s">
        <v>172</v>
      </c>
      <c r="T102" t="s">
        <v>177</v>
      </c>
      <c r="U102" t="s">
        <v>192</v>
      </c>
      <c r="V102" t="s">
        <v>187</v>
      </c>
    </row>
    <row r="103" spans="1:22" x14ac:dyDescent="0.3">
      <c r="A103" s="93" t="s">
        <v>156</v>
      </c>
      <c r="B103" s="93"/>
      <c r="C103" s="93"/>
      <c r="D103" s="93"/>
      <c r="E103" s="93"/>
      <c r="F103" s="127" t="s">
        <v>160</v>
      </c>
      <c r="G103" s="127"/>
      <c r="H103" s="127"/>
      <c r="R103" t="s">
        <v>252</v>
      </c>
      <c r="S103" t="s">
        <v>172</v>
      </c>
      <c r="T103" t="s">
        <v>177</v>
      </c>
      <c r="U103" t="s">
        <v>192</v>
      </c>
      <c r="V103" t="s">
        <v>187</v>
      </c>
    </row>
    <row r="104" spans="1:22" hidden="1" x14ac:dyDescent="0.3">
      <c r="A104" s="68" t="s">
        <v>158</v>
      </c>
      <c r="B104" s="68"/>
      <c r="C104" s="68"/>
      <c r="D104" s="68"/>
      <c r="E104" s="68"/>
      <c r="F104" s="81"/>
      <c r="G104" s="81"/>
      <c r="H104" s="81"/>
      <c r="R104"/>
      <c r="S104">
        <v>800000</v>
      </c>
      <c r="T104">
        <v>150000</v>
      </c>
      <c r="U104">
        <v>100000</v>
      </c>
      <c r="V104">
        <v>100000</v>
      </c>
    </row>
    <row r="105" spans="1:22" x14ac:dyDescent="0.3">
      <c r="A105" s="68" t="s">
        <v>157</v>
      </c>
      <c r="B105" s="68"/>
      <c r="C105" s="68"/>
      <c r="D105" s="68"/>
      <c r="E105" s="68"/>
      <c r="F105" s="81">
        <v>23000</v>
      </c>
      <c r="G105" s="81"/>
      <c r="H105" s="81"/>
      <c r="R105"/>
      <c r="S105">
        <v>900000</v>
      </c>
      <c r="T105">
        <v>200000</v>
      </c>
      <c r="U105">
        <v>150000</v>
      </c>
      <c r="V105">
        <v>150000</v>
      </c>
    </row>
    <row r="106" spans="1:22" x14ac:dyDescent="0.3">
      <c r="A106" s="68" t="s">
        <v>159</v>
      </c>
      <c r="B106" s="68"/>
      <c r="C106" s="68"/>
      <c r="D106" s="68"/>
      <c r="E106" s="68"/>
      <c r="F106" s="81">
        <v>20000</v>
      </c>
      <c r="G106" s="81"/>
      <c r="H106" s="81"/>
      <c r="R106"/>
      <c r="S106">
        <v>1000000</v>
      </c>
      <c r="T106">
        <v>250000</v>
      </c>
      <c r="U106">
        <v>200000</v>
      </c>
      <c r="V106">
        <v>200000</v>
      </c>
    </row>
    <row r="107" spans="1:22" s="30" customFormat="1" hidden="1" x14ac:dyDescent="0.3">
      <c r="A107" s="68" t="s">
        <v>174</v>
      </c>
      <c r="B107" s="68"/>
      <c r="C107" s="68"/>
      <c r="D107" s="68"/>
      <c r="E107" s="68"/>
      <c r="F107" s="81"/>
      <c r="G107" s="81"/>
      <c r="H107" s="81"/>
      <c r="R107"/>
      <c r="S107">
        <v>1100000</v>
      </c>
      <c r="T107">
        <v>300000</v>
      </c>
      <c r="U107">
        <v>250000</v>
      </c>
      <c r="V107" s="20">
        <v>250000</v>
      </c>
    </row>
    <row r="108" spans="1:22" s="30" customFormat="1" hidden="1" x14ac:dyDescent="0.3">
      <c r="A108" s="68" t="s">
        <v>89</v>
      </c>
      <c r="B108" s="68"/>
      <c r="C108" s="68"/>
      <c r="D108" s="68"/>
      <c r="E108" s="68"/>
      <c r="F108" s="81"/>
      <c r="G108" s="81"/>
      <c r="H108" s="81"/>
      <c r="R108"/>
      <c r="S108">
        <v>1200000</v>
      </c>
      <c r="T108">
        <v>350000</v>
      </c>
      <c r="U108">
        <v>300000</v>
      </c>
      <c r="V108">
        <v>300000</v>
      </c>
    </row>
    <row r="109" spans="1:22" s="30" customFormat="1" hidden="1" x14ac:dyDescent="0.3">
      <c r="A109" s="68" t="s">
        <v>90</v>
      </c>
      <c r="B109" s="68"/>
      <c r="C109" s="68"/>
      <c r="D109" s="68"/>
      <c r="E109" s="68"/>
      <c r="F109" s="81"/>
      <c r="G109" s="81"/>
      <c r="H109" s="81"/>
      <c r="R109"/>
      <c r="S109">
        <v>1300000</v>
      </c>
      <c r="T109">
        <v>400000</v>
      </c>
      <c r="U109">
        <v>350000</v>
      </c>
      <c r="V109" s="20">
        <v>400000</v>
      </c>
    </row>
    <row r="110" spans="1:22" s="30" customFormat="1" hidden="1" x14ac:dyDescent="0.3">
      <c r="A110" s="68" t="s">
        <v>91</v>
      </c>
      <c r="B110" s="68"/>
      <c r="C110" s="68"/>
      <c r="D110" s="68"/>
      <c r="E110" s="68"/>
      <c r="F110" s="81"/>
      <c r="G110" s="81"/>
      <c r="H110" s="81"/>
      <c r="R110"/>
      <c r="S110">
        <v>1400000</v>
      </c>
      <c r="T110">
        <v>500000</v>
      </c>
      <c r="U110">
        <v>400000</v>
      </c>
      <c r="V110"/>
    </row>
    <row r="111" spans="1:22" s="30" customFormat="1" hidden="1" x14ac:dyDescent="0.3">
      <c r="A111" s="68" t="s">
        <v>92</v>
      </c>
      <c r="B111" s="68"/>
      <c r="C111" s="68"/>
      <c r="D111" s="68"/>
      <c r="E111" s="68"/>
      <c r="F111" s="81"/>
      <c r="G111" s="81"/>
      <c r="H111" s="81"/>
      <c r="R111"/>
      <c r="S111">
        <v>1500000</v>
      </c>
      <c r="T111">
        <v>600000</v>
      </c>
      <c r="U111">
        <v>500000</v>
      </c>
      <c r="V111" s="20"/>
    </row>
    <row r="112" spans="1:22" s="30" customFormat="1" hidden="1" x14ac:dyDescent="0.3">
      <c r="A112" s="68" t="s">
        <v>93</v>
      </c>
      <c r="B112" s="68"/>
      <c r="C112" s="68"/>
      <c r="D112" s="68"/>
      <c r="E112" s="68"/>
      <c r="F112" s="81"/>
      <c r="G112" s="81"/>
      <c r="H112" s="81"/>
      <c r="R112"/>
      <c r="S112">
        <v>1600000</v>
      </c>
      <c r="T112">
        <v>700000</v>
      </c>
      <c r="U112">
        <v>600000</v>
      </c>
      <c r="V112"/>
    </row>
    <row r="113" spans="1:22" s="30" customFormat="1" hidden="1" x14ac:dyDescent="0.3">
      <c r="A113" s="68" t="s">
        <v>94</v>
      </c>
      <c r="B113" s="68"/>
      <c r="C113" s="68"/>
      <c r="D113" s="68"/>
      <c r="E113" s="68"/>
      <c r="F113" s="81"/>
      <c r="G113" s="81"/>
      <c r="H113" s="81"/>
      <c r="R113"/>
      <c r="S113">
        <v>1700000</v>
      </c>
      <c r="T113">
        <v>800000</v>
      </c>
      <c r="U113"/>
      <c r="V113" s="20"/>
    </row>
    <row r="114" spans="1:22" x14ac:dyDescent="0.3">
      <c r="A114" s="68" t="s">
        <v>48</v>
      </c>
      <c r="B114" s="68"/>
      <c r="C114" s="68"/>
      <c r="D114" s="68"/>
      <c r="E114" s="68"/>
      <c r="F114" s="81">
        <v>600000</v>
      </c>
      <c r="G114" s="81"/>
      <c r="H114" s="81"/>
      <c r="R114"/>
      <c r="S114">
        <v>1800000</v>
      </c>
      <c r="T114">
        <v>900000</v>
      </c>
      <c r="U114"/>
    </row>
    <row r="115" spans="1:22" s="31" customFormat="1" x14ac:dyDescent="0.3">
      <c r="A115" s="82" t="s">
        <v>49</v>
      </c>
      <c r="B115" s="82"/>
      <c r="C115" s="82"/>
      <c r="D115" s="82"/>
      <c r="E115" s="82"/>
      <c r="F115" s="81">
        <f>F105*0.8</f>
        <v>18400</v>
      </c>
      <c r="G115" s="81"/>
      <c r="H115" s="81"/>
      <c r="R115" s="18"/>
      <c r="S115" s="18"/>
      <c r="T115">
        <v>1000000</v>
      </c>
      <c r="U115"/>
      <c r="V115" s="18"/>
    </row>
    <row r="116" spans="1:22" s="32" customFormat="1" ht="15.75" customHeight="1" x14ac:dyDescent="0.3">
      <c r="A116" s="72" t="s">
        <v>349</v>
      </c>
      <c r="B116" s="72"/>
      <c r="C116" s="72"/>
      <c r="D116" s="72"/>
      <c r="E116" s="72"/>
      <c r="F116" s="72"/>
      <c r="G116" s="72"/>
      <c r="H116" s="72"/>
      <c r="R116"/>
      <c r="S116" s="18"/>
      <c r="T116"/>
      <c r="U116"/>
      <c r="V116" s="18"/>
    </row>
    <row r="117" spans="1:22" s="32" customFormat="1" ht="15.75" customHeight="1" x14ac:dyDescent="0.3">
      <c r="A117" s="77" t="s">
        <v>50</v>
      </c>
      <c r="B117" s="77"/>
      <c r="C117" s="74" t="s">
        <v>73</v>
      </c>
      <c r="D117" s="74"/>
      <c r="E117" s="76" t="s">
        <v>51</v>
      </c>
      <c r="F117" s="76"/>
      <c r="G117" s="77" t="s">
        <v>52</v>
      </c>
      <c r="H117" s="77"/>
      <c r="R117"/>
      <c r="S117" s="18"/>
      <c r="T117"/>
      <c r="U117" s="18"/>
      <c r="V117" s="18"/>
    </row>
    <row r="118" spans="1:22" s="32" customFormat="1" x14ac:dyDescent="0.3">
      <c r="A118" s="78" t="s">
        <v>330</v>
      </c>
      <c r="B118" s="78"/>
      <c r="C118" s="114">
        <f>COUNT(F140:F145,F147,F149,F151:F153)</f>
        <v>11</v>
      </c>
      <c r="D118" s="70"/>
      <c r="E118" s="71">
        <f>SUM(F140:F145,F147,F149,F151:F153)</f>
        <v>2962.5972479999991</v>
      </c>
      <c r="F118" s="79"/>
      <c r="G118" s="71">
        <f>SUM(H140:H145,H147,H149,H151:H153)</f>
        <v>4740.1555967999984</v>
      </c>
      <c r="H118" s="79"/>
      <c r="R118"/>
      <c r="S118" s="18"/>
      <c r="T118"/>
      <c r="U118" s="18"/>
      <c r="V118" s="18"/>
    </row>
    <row r="119" spans="1:22" s="32" customFormat="1" x14ac:dyDescent="0.3">
      <c r="A119" s="78" t="s">
        <v>334</v>
      </c>
      <c r="B119" s="78"/>
      <c r="C119" s="70">
        <f>COUNT(F158:F163,F165:F169)+COUNT(F171:F182)*3+COUNT(F184:F195)*15+COUNT(F198:F203,F204:F209)*7+COUNT(F211:F216)+COUNT(F219:F221)*3</f>
        <v>326</v>
      </c>
      <c r="D119" s="70"/>
      <c r="E119" s="71">
        <f>SUM(F158:F163,F165:F169)+SUM(F171:F182)*3+SUM(F184:F195)*15+SUM(F198:F203,F204:F209)*7+SUM(F211:F216)+SUM(F219:F221)*3</f>
        <v>227039.13179999997</v>
      </c>
      <c r="F119" s="71"/>
      <c r="G119" s="71">
        <f>SUM(H158:H163,H165:H169)+SUM(H171:H182)*3+SUM(H184:H195)*15+SUM(H198:H203,H204:H209)*7+SUM(H211:H216)+SUM(H219:H221)*3</f>
        <v>363262.61087999988</v>
      </c>
      <c r="H119" s="71"/>
      <c r="R119"/>
      <c r="S119" s="18"/>
      <c r="T119"/>
      <c r="U119" s="18"/>
      <c r="V119" s="18"/>
    </row>
    <row r="120" spans="1:22" s="32" customFormat="1" x14ac:dyDescent="0.3">
      <c r="A120" s="72" t="s">
        <v>149</v>
      </c>
      <c r="B120" s="72"/>
      <c r="C120" s="73">
        <f t="shared" ref="C120:G120" si="0">SUM(C118:D119)</f>
        <v>337</v>
      </c>
      <c r="D120" s="74"/>
      <c r="E120" s="75">
        <f t="shared" si="0"/>
        <v>230001.72904799998</v>
      </c>
      <c r="F120" s="76"/>
      <c r="G120" s="77">
        <f t="shared" si="0"/>
        <v>368002.76647679985</v>
      </c>
      <c r="H120" s="77"/>
      <c r="R120"/>
      <c r="S120" s="18"/>
      <c r="T120"/>
      <c r="U120" s="18"/>
      <c r="V120" s="18"/>
    </row>
    <row r="121" spans="1:22" s="32" customFormat="1" x14ac:dyDescent="0.3">
      <c r="A121" s="72" t="s">
        <v>350</v>
      </c>
      <c r="B121" s="72"/>
      <c r="C121" s="72"/>
      <c r="D121" s="72"/>
      <c r="E121" s="72"/>
      <c r="F121" s="72"/>
      <c r="G121" s="72"/>
      <c r="H121" s="72"/>
      <c r="T121"/>
    </row>
    <row r="122" spans="1:22" s="32" customFormat="1" ht="15.75" customHeight="1" x14ac:dyDescent="0.3">
      <c r="A122" s="77" t="s">
        <v>50</v>
      </c>
      <c r="B122" s="77"/>
      <c r="C122" s="74" t="s">
        <v>73</v>
      </c>
      <c r="D122" s="74"/>
      <c r="E122" s="76" t="s">
        <v>51</v>
      </c>
      <c r="F122" s="76"/>
      <c r="G122" s="77" t="s">
        <v>52</v>
      </c>
      <c r="H122" s="77"/>
      <c r="T122"/>
    </row>
    <row r="123" spans="1:22" s="32" customFormat="1" x14ac:dyDescent="0.3">
      <c r="A123" s="78" t="s">
        <v>330</v>
      </c>
      <c r="B123" s="78"/>
      <c r="C123" s="114">
        <f>COUNT(F146,F148,F150)</f>
        <v>3</v>
      </c>
      <c r="D123" s="70"/>
      <c r="E123" s="71">
        <f>SUM(F146,F148,F150)</f>
        <v>749.62110599999994</v>
      </c>
      <c r="F123" s="79"/>
      <c r="G123" s="71">
        <f>SUM(H146,H148,H150)</f>
        <v>1199.3937696</v>
      </c>
      <c r="H123" s="79"/>
      <c r="T123"/>
    </row>
    <row r="124" spans="1:22" s="32" customFormat="1" hidden="1" x14ac:dyDescent="0.3">
      <c r="A124" s="72" t="s">
        <v>149</v>
      </c>
      <c r="B124" s="72"/>
      <c r="C124" s="114">
        <f t="shared" ref="C124:G124" si="1">SUM(C123)</f>
        <v>3</v>
      </c>
      <c r="D124" s="70"/>
      <c r="E124" s="71">
        <f>SUM(E123)</f>
        <v>749.62110599999994</v>
      </c>
      <c r="F124" s="79"/>
      <c r="G124" s="71">
        <f t="shared" si="1"/>
        <v>1199.3937696</v>
      </c>
      <c r="H124" s="79"/>
      <c r="T124"/>
    </row>
    <row r="125" spans="1:22" s="32" customFormat="1" x14ac:dyDescent="0.3">
      <c r="A125" s="72" t="s">
        <v>166</v>
      </c>
      <c r="B125" s="72"/>
      <c r="C125" s="125">
        <f>C120+C124</f>
        <v>340</v>
      </c>
      <c r="D125" s="126"/>
      <c r="E125" s="125">
        <f t="shared" ref="E125" si="2">E120+E124</f>
        <v>230751.35015399999</v>
      </c>
      <c r="F125" s="126"/>
      <c r="G125" s="125">
        <f t="shared" ref="G125" si="3">G120+G124</f>
        <v>369202.16024639987</v>
      </c>
      <c r="H125" s="126"/>
      <c r="T125"/>
    </row>
    <row r="126" spans="1:22" s="32" customFormat="1" hidden="1" x14ac:dyDescent="0.3">
      <c r="A126" s="72" t="s">
        <v>66</v>
      </c>
      <c r="B126" s="72"/>
      <c r="C126" s="72"/>
      <c r="D126" s="72"/>
      <c r="E126" s="72"/>
      <c r="F126" s="72"/>
      <c r="G126" s="72"/>
      <c r="H126" s="72"/>
      <c r="T126"/>
    </row>
    <row r="127" spans="1:22" s="32" customFormat="1" hidden="1" x14ac:dyDescent="0.3">
      <c r="A127" s="77" t="s">
        <v>50</v>
      </c>
      <c r="B127" s="77"/>
      <c r="C127" s="74" t="s">
        <v>73</v>
      </c>
      <c r="D127" s="74"/>
      <c r="E127" s="76" t="s">
        <v>51</v>
      </c>
      <c r="F127" s="76"/>
      <c r="G127" s="77" t="s">
        <v>52</v>
      </c>
      <c r="H127" s="77"/>
      <c r="T127"/>
    </row>
    <row r="128" spans="1:22" s="31" customFormat="1" hidden="1" x14ac:dyDescent="0.3">
      <c r="A128" s="78"/>
      <c r="B128" s="78"/>
      <c r="C128" s="70"/>
      <c r="D128" s="70"/>
      <c r="E128" s="79"/>
      <c r="F128" s="79"/>
      <c r="G128" s="80"/>
      <c r="H128" s="80"/>
      <c r="T128" s="32"/>
    </row>
    <row r="129" spans="1:20" hidden="1" x14ac:dyDescent="0.3">
      <c r="A129" s="78"/>
      <c r="B129" s="78"/>
      <c r="C129" s="70"/>
      <c r="D129" s="70"/>
      <c r="E129" s="79"/>
      <c r="F129" s="79"/>
      <c r="G129" s="80"/>
      <c r="H129" s="80"/>
      <c r="T129" s="32"/>
    </row>
    <row r="130" spans="1:20" ht="52.5" hidden="1" customHeight="1" thickBot="1" x14ac:dyDescent="0.35">
      <c r="A130" s="169" t="s">
        <v>149</v>
      </c>
      <c r="B130" s="169"/>
      <c r="C130" s="208"/>
      <c r="D130" s="208"/>
      <c r="E130" s="170"/>
      <c r="F130" s="170"/>
      <c r="G130" s="69"/>
      <c r="H130" s="69"/>
      <c r="T130" s="32"/>
    </row>
    <row r="131" spans="1:20" s="34" customFormat="1" ht="21.75" hidden="1" customHeight="1" thickBot="1" x14ac:dyDescent="0.35">
      <c r="A131" s="198" t="s">
        <v>166</v>
      </c>
      <c r="B131" s="199"/>
      <c r="C131" s="165">
        <f>C120+C130</f>
        <v>337</v>
      </c>
      <c r="D131" s="165"/>
      <c r="E131" s="166">
        <f>E120+E130</f>
        <v>230001.72904799998</v>
      </c>
      <c r="F131" s="166"/>
      <c r="G131" s="117">
        <f>G120+G130</f>
        <v>368002.76647679985</v>
      </c>
      <c r="H131" s="118"/>
      <c r="I131" s="63">
        <v>10.763999999999999</v>
      </c>
      <c r="T131" s="32"/>
    </row>
    <row r="132" spans="1:20" s="34" customFormat="1" ht="15.75" customHeight="1" x14ac:dyDescent="0.3">
      <c r="A132" s="127" t="s">
        <v>53</v>
      </c>
      <c r="B132" s="127"/>
      <c r="C132" s="127"/>
      <c r="D132" s="127"/>
      <c r="E132" s="127"/>
      <c r="F132" s="127"/>
      <c r="G132" s="127"/>
      <c r="H132" s="127"/>
      <c r="J132" s="33"/>
      <c r="T132" s="32"/>
    </row>
    <row r="133" spans="1:20" s="34" customFormat="1" ht="15.75" customHeight="1" x14ac:dyDescent="0.3">
      <c r="A133" s="204" t="s">
        <v>342</v>
      </c>
      <c r="B133" s="204"/>
      <c r="C133" s="204"/>
      <c r="D133" s="204"/>
      <c r="E133" s="204"/>
      <c r="F133" s="204"/>
      <c r="G133" s="204"/>
      <c r="H133" s="204"/>
      <c r="I133" s="33"/>
      <c r="L133" s="110"/>
      <c r="M133" s="110"/>
      <c r="N133" s="33"/>
      <c r="T133" s="32"/>
    </row>
    <row r="134" spans="1:20" s="34" customFormat="1" ht="48.75" customHeight="1" x14ac:dyDescent="0.3">
      <c r="A134" s="115" t="s">
        <v>353</v>
      </c>
      <c r="B134" s="91" t="s">
        <v>327</v>
      </c>
      <c r="C134" s="91" t="s">
        <v>54</v>
      </c>
      <c r="D134" s="91" t="s">
        <v>231</v>
      </c>
      <c r="E134" s="94" t="s">
        <v>155</v>
      </c>
      <c r="F134" s="91" t="s">
        <v>55</v>
      </c>
      <c r="G134" s="94" t="s">
        <v>56</v>
      </c>
      <c r="H134" s="49" t="s">
        <v>147</v>
      </c>
      <c r="L134" s="110"/>
      <c r="M134" s="110"/>
      <c r="N134" s="33"/>
      <c r="T134" s="31"/>
    </row>
    <row r="135" spans="1:20" s="34" customFormat="1" ht="16.5" customHeight="1" x14ac:dyDescent="0.3">
      <c r="A135" s="116"/>
      <c r="B135" s="92"/>
      <c r="C135" s="92"/>
      <c r="D135" s="92"/>
      <c r="E135" s="95"/>
      <c r="F135" s="92"/>
      <c r="G135" s="95"/>
      <c r="H135" s="64">
        <v>0.6</v>
      </c>
      <c r="L135" s="110"/>
      <c r="M135" s="110"/>
      <c r="N135" s="33"/>
      <c r="T135" s="18"/>
    </row>
    <row r="136" spans="1:20" s="34" customFormat="1" ht="15.75" customHeight="1" x14ac:dyDescent="0.3">
      <c r="A136" s="122" t="s">
        <v>300</v>
      </c>
      <c r="B136" s="123"/>
      <c r="C136" s="123"/>
      <c r="D136" s="123"/>
      <c r="E136" s="123"/>
      <c r="F136" s="123"/>
      <c r="G136" s="123"/>
      <c r="H136" s="124"/>
      <c r="L136" s="110"/>
      <c r="M136" s="110"/>
      <c r="N136" s="33"/>
      <c r="T136" s="18"/>
    </row>
    <row r="137" spans="1:20" s="34" customFormat="1" x14ac:dyDescent="0.3">
      <c r="A137" s="122" t="s">
        <v>354</v>
      </c>
      <c r="B137" s="123"/>
      <c r="C137" s="123"/>
      <c r="D137" s="123"/>
      <c r="E137" s="123"/>
      <c r="F137" s="123"/>
      <c r="G137" s="123"/>
      <c r="H137" s="124"/>
      <c r="I137" s="33"/>
      <c r="N137" s="33"/>
    </row>
    <row r="138" spans="1:20" x14ac:dyDescent="0.3">
      <c r="A138" s="39">
        <v>1</v>
      </c>
      <c r="B138" s="39" t="s">
        <v>328</v>
      </c>
      <c r="C138" s="66" t="s">
        <v>329</v>
      </c>
      <c r="D138" s="63">
        <f>(87.59)*10.764</f>
        <v>942.81876</v>
      </c>
      <c r="E138" s="63">
        <f>(10.5*4.32)*10.764</f>
        <v>488.25503999999995</v>
      </c>
      <c r="F138" s="39">
        <f>D138+(IF(E138&lt;201,E138,IF(E138&lt;301,E138/2,E138/3)))</f>
        <v>1105.57044</v>
      </c>
      <c r="G138" s="39">
        <v>0</v>
      </c>
      <c r="H138" s="39">
        <f t="shared" ref="H138:H153" si="4">(F138+(IF(G138&lt;101,G138,IF(G138&lt;201,G138/2,IF(G138&lt;=301,G138/3,G138/4)))))*(($H$135)+1)</f>
        <v>1768.9127040000001</v>
      </c>
      <c r="I138" s="61">
        <f>12.17*4.32+6.5*4.32+2.4*2.8</f>
        <v>87.374400000000009</v>
      </c>
      <c r="T138" s="34"/>
    </row>
    <row r="139" spans="1:20" s="34" customFormat="1" x14ac:dyDescent="0.3">
      <c r="A139" s="39">
        <f>A138+1</f>
        <v>2</v>
      </c>
      <c r="B139" s="39" t="s">
        <v>328</v>
      </c>
      <c r="C139" s="66" t="s">
        <v>329</v>
      </c>
      <c r="D139" s="63">
        <f>(89.31)*10.764</f>
        <v>961.33283999999992</v>
      </c>
      <c r="E139" s="63">
        <f>(10.5*4.32)*10.764</f>
        <v>488.25503999999995</v>
      </c>
      <c r="F139" s="39">
        <f t="shared" ref="F139:F141" si="5">D139+(IF(E139&lt;201,E139,IF(E139&lt;301,E139/2,E139/3)))</f>
        <v>1124.0845199999999</v>
      </c>
      <c r="G139" s="39">
        <v>0</v>
      </c>
      <c r="H139" s="39">
        <f t="shared" si="4"/>
        <v>1798.535232</v>
      </c>
      <c r="I139" s="33"/>
    </row>
    <row r="140" spans="1:20" s="34" customFormat="1" x14ac:dyDescent="0.3">
      <c r="A140" s="39">
        <f>A139+1</f>
        <v>3</v>
      </c>
      <c r="B140" s="39" t="s">
        <v>328</v>
      </c>
      <c r="C140" s="39" t="s">
        <v>330</v>
      </c>
      <c r="D140" s="63">
        <f>(34.91)*10.764</f>
        <v>375.77123999999992</v>
      </c>
      <c r="E140" s="63">
        <f>(5.6*3.05)*10.764</f>
        <v>183.84911999999997</v>
      </c>
      <c r="F140" s="39">
        <f t="shared" si="5"/>
        <v>559.62035999999989</v>
      </c>
      <c r="G140" s="39">
        <v>0</v>
      </c>
      <c r="H140" s="39">
        <f t="shared" si="4"/>
        <v>895.39257599999985</v>
      </c>
      <c r="I140" s="61">
        <f>11.5*3.05</f>
        <v>35.074999999999996</v>
      </c>
      <c r="J140" s="33"/>
    </row>
    <row r="141" spans="1:20" s="34" customFormat="1" ht="15.75" customHeight="1" x14ac:dyDescent="0.3">
      <c r="A141" s="39">
        <v>4</v>
      </c>
      <c r="B141" s="39" t="s">
        <v>328</v>
      </c>
      <c r="C141" s="39" t="s">
        <v>330</v>
      </c>
      <c r="D141" s="63">
        <f>(28.16)*10.764</f>
        <v>303.11424</v>
      </c>
      <c r="E141" s="63">
        <f>(3.7*2.5)*10.764</f>
        <v>99.566999999999993</v>
      </c>
      <c r="F141" s="39">
        <f t="shared" si="5"/>
        <v>402.68124</v>
      </c>
      <c r="G141" s="39">
        <v>0</v>
      </c>
      <c r="H141" s="39">
        <f t="shared" si="4"/>
        <v>644.289984</v>
      </c>
      <c r="I141" s="61"/>
      <c r="L141" s="110"/>
      <c r="M141" s="110"/>
      <c r="N141" s="33"/>
    </row>
    <row r="142" spans="1:20" s="34" customFormat="1" ht="15.75" customHeight="1" x14ac:dyDescent="0.3">
      <c r="A142" s="39">
        <f>A141+1</f>
        <v>5</v>
      </c>
      <c r="B142" s="39" t="s">
        <v>328</v>
      </c>
      <c r="C142" s="39" t="s">
        <v>330</v>
      </c>
      <c r="D142" s="63">
        <f>(49.51)*10.764</f>
        <v>532.92563999999993</v>
      </c>
      <c r="E142" s="63">
        <f>(6.3*4.02)*10.764</f>
        <v>272.60906399999993</v>
      </c>
      <c r="F142" s="39">
        <f>D142+(IF(E142&lt;201,E142,IF(E142&lt;301,E142/2,E142/3)))</f>
        <v>669.23017199999992</v>
      </c>
      <c r="G142" s="39">
        <v>0</v>
      </c>
      <c r="H142" s="39">
        <f t="shared" si="4"/>
        <v>1070.7682751999998</v>
      </c>
      <c r="I142" s="33"/>
      <c r="L142" s="110"/>
      <c r="M142" s="110"/>
      <c r="N142" s="33"/>
    </row>
    <row r="143" spans="1:20" s="34" customFormat="1" ht="15.75" customHeight="1" x14ac:dyDescent="0.3">
      <c r="A143" s="39">
        <f>A142+1</f>
        <v>6</v>
      </c>
      <c r="B143" s="39" t="s">
        <v>328</v>
      </c>
      <c r="C143" s="39" t="s">
        <v>330</v>
      </c>
      <c r="D143" s="63">
        <f>(9.4)*10.764</f>
        <v>101.1816</v>
      </c>
      <c r="E143" s="63">
        <f>(2.4*0.9)*10.764</f>
        <v>23.250240000000002</v>
      </c>
      <c r="F143" s="39">
        <f t="shared" ref="F143:F144" si="6">D143+(IF(E143&lt;201,E143,IF(E143&lt;301,E143/2,E143/3)))</f>
        <v>124.43184000000001</v>
      </c>
      <c r="G143" s="39">
        <v>0</v>
      </c>
      <c r="H143" s="39">
        <f t="shared" si="4"/>
        <v>199.09094400000004</v>
      </c>
      <c r="I143" s="33"/>
      <c r="L143" s="110"/>
      <c r="M143" s="110"/>
      <c r="N143" s="33"/>
    </row>
    <row r="144" spans="1:20" s="34" customFormat="1" ht="15.75" customHeight="1" x14ac:dyDescent="0.3">
      <c r="A144" s="39">
        <f>A143+1</f>
        <v>7</v>
      </c>
      <c r="B144" s="39" t="s">
        <v>328</v>
      </c>
      <c r="C144" s="39" t="s">
        <v>330</v>
      </c>
      <c r="D144" s="63">
        <f>(4.39)*10.764</f>
        <v>47.253959999999992</v>
      </c>
      <c r="E144" s="63">
        <f>(2.1*2.09)*10.764</f>
        <v>47.243195999999998</v>
      </c>
      <c r="F144" s="39">
        <f t="shared" si="6"/>
        <v>94.49715599999999</v>
      </c>
      <c r="G144" s="39">
        <v>0</v>
      </c>
      <c r="H144" s="39">
        <f t="shared" si="4"/>
        <v>151.19544959999999</v>
      </c>
      <c r="I144" s="61">
        <f>2.1*2.09</f>
        <v>4.3890000000000002</v>
      </c>
      <c r="L144" s="110"/>
      <c r="M144" s="110"/>
      <c r="N144" s="33"/>
      <c r="T144" s="18"/>
    </row>
    <row r="145" spans="1:14" s="34" customFormat="1" x14ac:dyDescent="0.3">
      <c r="A145" s="39">
        <v>8</v>
      </c>
      <c r="B145" s="39" t="s">
        <v>328</v>
      </c>
      <c r="C145" s="39" t="s">
        <v>330</v>
      </c>
      <c r="D145" s="63">
        <f>(15.56)*10.764</f>
        <v>167.48784000000001</v>
      </c>
      <c r="E145" s="63">
        <f>(4.8*1.5)*10.764</f>
        <v>77.500799999999984</v>
      </c>
      <c r="F145" s="39">
        <f>D145+(IF(E145&lt;201,E145,IF(E145&lt;301,E145/2,E145/3)))</f>
        <v>244.98863999999998</v>
      </c>
      <c r="G145" s="39">
        <v>0</v>
      </c>
      <c r="H145" s="39">
        <f t="shared" si="4"/>
        <v>391.98182399999996</v>
      </c>
      <c r="I145" s="61"/>
      <c r="L145" s="110"/>
      <c r="M145" s="110"/>
    </row>
    <row r="146" spans="1:14" s="34" customFormat="1" x14ac:dyDescent="0.3">
      <c r="A146" s="39">
        <f>A145+1</f>
        <v>9</v>
      </c>
      <c r="B146" s="39" t="s">
        <v>331</v>
      </c>
      <c r="C146" s="39" t="s">
        <v>330</v>
      </c>
      <c r="D146" s="63">
        <f>(9.7)*10.764</f>
        <v>104.41079999999998</v>
      </c>
      <c r="E146" s="63">
        <f>(2.28*1.5)*10.764</f>
        <v>36.81288</v>
      </c>
      <c r="F146" s="39">
        <f t="shared" ref="F146:F148" si="7">D146+(IF(E146&lt;201,E146,IF(E146&lt;301,E146/2,E146/3)))</f>
        <v>141.22367999999997</v>
      </c>
      <c r="G146" s="39">
        <v>0</v>
      </c>
      <c r="H146" s="39">
        <f t="shared" si="4"/>
        <v>225.95788799999997</v>
      </c>
      <c r="N146" s="33"/>
    </row>
    <row r="147" spans="1:14" s="34" customFormat="1" x14ac:dyDescent="0.3">
      <c r="A147" s="39">
        <f>A146+1</f>
        <v>10</v>
      </c>
      <c r="B147" s="39" t="s">
        <v>328</v>
      </c>
      <c r="C147" s="39" t="s">
        <v>330</v>
      </c>
      <c r="D147" s="63">
        <f>(10.66)*10.764</f>
        <v>114.74423999999999</v>
      </c>
      <c r="E147" s="63">
        <f>(2.57*1.5)*10.764</f>
        <v>41.495219999999989</v>
      </c>
      <c r="F147" s="39">
        <f t="shared" si="7"/>
        <v>156.23945999999998</v>
      </c>
      <c r="G147" s="39">
        <v>0</v>
      </c>
      <c r="H147" s="39">
        <f t="shared" si="4"/>
        <v>249.98313599999997</v>
      </c>
      <c r="I147" s="62"/>
      <c r="N147" s="33"/>
    </row>
    <row r="148" spans="1:14" s="34" customFormat="1" x14ac:dyDescent="0.3">
      <c r="A148" s="39">
        <f>A147+1</f>
        <v>11</v>
      </c>
      <c r="B148" s="39" t="s">
        <v>331</v>
      </c>
      <c r="C148" s="39" t="s">
        <v>330</v>
      </c>
      <c r="D148" s="63">
        <f>(30.25)*10.764</f>
        <v>325.61099999999999</v>
      </c>
      <c r="E148" s="63">
        <f>(2.7*3.5+1.41*1.85)*10.764</f>
        <v>129.79769400000001</v>
      </c>
      <c r="F148" s="39">
        <f t="shared" si="7"/>
        <v>455.40869399999997</v>
      </c>
      <c r="G148" s="39">
        <v>0</v>
      </c>
      <c r="H148" s="39">
        <f t="shared" si="4"/>
        <v>728.65391039999997</v>
      </c>
      <c r="I148" s="33"/>
      <c r="N148" s="33"/>
    </row>
    <row r="149" spans="1:14" s="34" customFormat="1" x14ac:dyDescent="0.3">
      <c r="A149" s="39">
        <v>12</v>
      </c>
      <c r="B149" s="39" t="s">
        <v>328</v>
      </c>
      <c r="C149" s="39" t="s">
        <v>330</v>
      </c>
      <c r="D149" s="63">
        <f>(36.51)*10.764</f>
        <v>392.99363999999997</v>
      </c>
      <c r="E149" s="63">
        <f>(4.65*3.5)*10.764</f>
        <v>175.1841</v>
      </c>
      <c r="F149" s="39">
        <f>D149+(IF(E149&lt;201,E149,IF(E149&lt;301,E149/2,E149/3)))</f>
        <v>568.17773999999997</v>
      </c>
      <c r="G149" s="39">
        <v>0</v>
      </c>
      <c r="H149" s="39">
        <f t="shared" si="4"/>
        <v>909.084384</v>
      </c>
      <c r="I149" s="61">
        <f>2.77*6.28+4.65*4.14</f>
        <v>36.646600000000007</v>
      </c>
      <c r="N149" s="33"/>
    </row>
    <row r="150" spans="1:14" s="34" customFormat="1" ht="15.75" customHeight="1" x14ac:dyDescent="0.3">
      <c r="A150" s="39">
        <f>A149+1</f>
        <v>13</v>
      </c>
      <c r="B150" s="39" t="s">
        <v>331</v>
      </c>
      <c r="C150" s="39" t="s">
        <v>330</v>
      </c>
      <c r="D150" s="63">
        <f>(10.58)*10.764</f>
        <v>113.88311999999999</v>
      </c>
      <c r="E150" s="63">
        <f>(1.73*2.1)*10.764</f>
        <v>39.105612000000001</v>
      </c>
      <c r="F150" s="39">
        <f t="shared" ref="F150:F152" si="8">D150+(IF(E150&lt;201,E150,IF(E150&lt;301,E150/2,E150/3)))</f>
        <v>152.988732</v>
      </c>
      <c r="G150" s="39">
        <v>0</v>
      </c>
      <c r="H150" s="39">
        <f t="shared" si="4"/>
        <v>244.78197120000002</v>
      </c>
      <c r="I150" s="33"/>
    </row>
    <row r="151" spans="1:14" s="34" customFormat="1" ht="15.75" customHeight="1" x14ac:dyDescent="0.3">
      <c r="A151" s="39">
        <f>A150+1</f>
        <v>14</v>
      </c>
      <c r="B151" s="39" t="s">
        <v>328</v>
      </c>
      <c r="C151" s="39" t="s">
        <v>330</v>
      </c>
      <c r="D151" s="63">
        <f>(2.4)*10.764</f>
        <v>25.833599999999997</v>
      </c>
      <c r="E151" s="63">
        <f>(1.2*0.7)*10.764</f>
        <v>9.0417599999999982</v>
      </c>
      <c r="F151" s="39">
        <f t="shared" si="8"/>
        <v>34.875359999999993</v>
      </c>
      <c r="G151" s="39">
        <v>0</v>
      </c>
      <c r="H151" s="39">
        <f t="shared" si="4"/>
        <v>55.800575999999992</v>
      </c>
      <c r="I151" s="33"/>
    </row>
    <row r="152" spans="1:14" s="34" customFormat="1" ht="15.75" customHeight="1" x14ac:dyDescent="0.3">
      <c r="A152" s="39">
        <f>A151+1</f>
        <v>15</v>
      </c>
      <c r="B152" s="39" t="s">
        <v>328</v>
      </c>
      <c r="C152" s="39" t="s">
        <v>330</v>
      </c>
      <c r="D152" s="63">
        <f>(5.01)*10.764</f>
        <v>53.927639999999997</v>
      </c>
      <c r="E152" s="63">
        <v>0</v>
      </c>
      <c r="F152" s="39">
        <f t="shared" si="8"/>
        <v>53.927639999999997</v>
      </c>
      <c r="G152" s="39">
        <v>0</v>
      </c>
      <c r="H152" s="39">
        <f t="shared" si="4"/>
        <v>86.284223999999995</v>
      </c>
      <c r="I152" s="33"/>
    </row>
    <row r="153" spans="1:14" s="34" customFormat="1" ht="15.75" customHeight="1" x14ac:dyDescent="0.3">
      <c r="A153" s="39">
        <v>16</v>
      </c>
      <c r="B153" s="39" t="s">
        <v>328</v>
      </c>
      <c r="C153" s="39" t="s">
        <v>330</v>
      </c>
      <c r="D153" s="63">
        <f>(5.01)*10.764</f>
        <v>53.927639999999997</v>
      </c>
      <c r="E153" s="63">
        <v>0</v>
      </c>
      <c r="F153" s="39">
        <f>D153+(IF(E153&lt;201,E153,IF(E153&lt;301,E153/2,E153/3)))</f>
        <v>53.927639999999997</v>
      </c>
      <c r="G153" s="39">
        <v>0</v>
      </c>
      <c r="H153" s="39">
        <f t="shared" si="4"/>
        <v>86.284223999999995</v>
      </c>
      <c r="I153" s="33"/>
    </row>
    <row r="154" spans="1:14" s="34" customFormat="1" ht="15.75" customHeight="1" x14ac:dyDescent="0.3">
      <c r="A154" s="122" t="s">
        <v>332</v>
      </c>
      <c r="B154" s="123"/>
      <c r="C154" s="123"/>
      <c r="D154" s="123"/>
      <c r="E154" s="123"/>
      <c r="F154" s="123"/>
      <c r="G154" s="123"/>
      <c r="H154" s="124"/>
    </row>
    <row r="155" spans="1:14" s="34" customFormat="1" hidden="1" x14ac:dyDescent="0.3">
      <c r="A155" s="39">
        <v>1</v>
      </c>
      <c r="B155" s="39" t="s">
        <v>328</v>
      </c>
      <c r="C155" s="65" t="s">
        <v>333</v>
      </c>
      <c r="D155" s="63">
        <f>(259.15)*10.764</f>
        <v>2789.4905999999996</v>
      </c>
      <c r="E155" s="39">
        <v>0</v>
      </c>
      <c r="F155" s="39">
        <f>D155+(IF(E155&lt;201,E155,IF(E155&lt;301,E155/2,E155/3)))</f>
        <v>2789.4905999999996</v>
      </c>
      <c r="G155" s="39">
        <v>0</v>
      </c>
      <c r="H155" s="39">
        <f>(F155+(IF(G155&lt;101,G155,IF(G155&lt;201,G155/2,IF(G155&lt;=301,G155/3,G155/4)))))*(($H$135)+1)</f>
        <v>4463.1849599999996</v>
      </c>
      <c r="I155" s="33"/>
    </row>
    <row r="156" spans="1:14" s="34" customFormat="1" ht="15.75" hidden="1" customHeight="1" x14ac:dyDescent="0.3">
      <c r="A156" s="39">
        <f>A155+1</f>
        <v>2</v>
      </c>
      <c r="B156" s="39" t="s">
        <v>328</v>
      </c>
      <c r="C156" s="65" t="s">
        <v>333</v>
      </c>
      <c r="D156" s="63">
        <f>(268.45)*10.764</f>
        <v>2889.5957999999996</v>
      </c>
      <c r="E156" s="39">
        <v>0</v>
      </c>
      <c r="F156" s="39">
        <f t="shared" ref="F156:F160" si="9">D156+(IF(E156&lt;201,E156,IF(E156&lt;301,E156/2,E156/3)))</f>
        <v>2889.5957999999996</v>
      </c>
      <c r="G156" s="39">
        <v>0</v>
      </c>
      <c r="H156" s="39">
        <f>(F156+(IF(G156&lt;101,G156,IF(G156&lt;201,G156/2,IF(G156&lt;=301,G156/3,G156/4)))))*(($H$135)+1)</f>
        <v>4623.3532799999994</v>
      </c>
      <c r="I156" s="33"/>
    </row>
    <row r="157" spans="1:14" s="34" customFormat="1" ht="15.75" customHeight="1" x14ac:dyDescent="0.3">
      <c r="A157" s="122" t="s">
        <v>336</v>
      </c>
      <c r="B157" s="123"/>
      <c r="C157" s="123"/>
      <c r="D157" s="123"/>
      <c r="E157" s="123"/>
      <c r="F157" s="123"/>
      <c r="G157" s="123"/>
      <c r="H157" s="124"/>
      <c r="I157" s="33"/>
    </row>
    <row r="158" spans="1:14" s="34" customFormat="1" ht="15.75" customHeight="1" x14ac:dyDescent="0.3">
      <c r="A158" s="39">
        <v>1</v>
      </c>
      <c r="B158" s="39" t="s">
        <v>328</v>
      </c>
      <c r="C158" s="39" t="s">
        <v>334</v>
      </c>
      <c r="D158" s="63">
        <f>(46.17)*10.764</f>
        <v>496.97388000000001</v>
      </c>
      <c r="E158" s="39">
        <v>0</v>
      </c>
      <c r="F158" s="39">
        <f>D158+(IF(E158&lt;201,E158,IF(E158&lt;301,E158/2,E158/3)))</f>
        <v>496.97388000000001</v>
      </c>
      <c r="G158" s="39">
        <v>0</v>
      </c>
      <c r="H158" s="39">
        <f t="shared" ref="H158:H163" si="10">(F158+(IF(G158&lt;101,G158,IF(G158&lt;201,G158/2,IF(G158&lt;=301,G158/3,G158/4)))))*(($H$135)+1)</f>
        <v>795.15820800000006</v>
      </c>
      <c r="I158" s="33">
        <f>6.14*6.01+1.35*2.2+1.5*1.71+1.35*1.8</f>
        <v>44.866399999999992</v>
      </c>
    </row>
    <row r="159" spans="1:14" s="34" customFormat="1" ht="15.75" customHeight="1" x14ac:dyDescent="0.3">
      <c r="A159" s="39">
        <f>A158+1</f>
        <v>2</v>
      </c>
      <c r="B159" s="39" t="s">
        <v>328</v>
      </c>
      <c r="C159" s="39" t="s">
        <v>334</v>
      </c>
      <c r="D159" s="63">
        <f>(128.57)*10.764</f>
        <v>1383.9274799999998</v>
      </c>
      <c r="E159" s="39">
        <v>0</v>
      </c>
      <c r="F159" s="39">
        <f t="shared" ref="F159" si="11">D159+(IF(E159&lt;201,E159,IF(E159&lt;301,E159/2,E159/3)))</f>
        <v>1383.9274799999998</v>
      </c>
      <c r="G159" s="39">
        <v>0</v>
      </c>
      <c r="H159" s="39">
        <f t="shared" si="10"/>
        <v>2214.2839679999997</v>
      </c>
      <c r="I159" s="33"/>
    </row>
    <row r="160" spans="1:14" s="34" customFormat="1" ht="15.75" customHeight="1" x14ac:dyDescent="0.3">
      <c r="A160" s="39">
        <f>A156+1</f>
        <v>3</v>
      </c>
      <c r="B160" s="39" t="s">
        <v>328</v>
      </c>
      <c r="C160" s="39" t="s">
        <v>334</v>
      </c>
      <c r="D160" s="63">
        <f>(73.25)*10.764</f>
        <v>788.46299999999997</v>
      </c>
      <c r="E160" s="39">
        <v>0</v>
      </c>
      <c r="F160" s="39">
        <f t="shared" si="9"/>
        <v>788.46299999999997</v>
      </c>
      <c r="G160" s="39">
        <v>0</v>
      </c>
      <c r="H160" s="39">
        <f t="shared" si="10"/>
        <v>1261.5408</v>
      </c>
      <c r="I160" s="33">
        <f>13.91*3.49+9.31*1.81+2.2*1.35+2.1*1.65</f>
        <v>71.832000000000008</v>
      </c>
    </row>
    <row r="161" spans="1:20" s="34" customFormat="1" x14ac:dyDescent="0.3">
      <c r="A161" s="39">
        <v>4</v>
      </c>
      <c r="B161" s="39" t="s">
        <v>328</v>
      </c>
      <c r="C161" s="39" t="s">
        <v>334</v>
      </c>
      <c r="D161" s="63">
        <f>(61.28)*10.764</f>
        <v>659.61792000000003</v>
      </c>
      <c r="E161" s="39">
        <v>0</v>
      </c>
      <c r="F161" s="39">
        <f>D161+(IF(E161&lt;201,E161,IF(E161&lt;301,E161/2,E161/3)))</f>
        <v>659.61792000000003</v>
      </c>
      <c r="G161" s="39">
        <v>0</v>
      </c>
      <c r="H161" s="39">
        <f t="shared" si="10"/>
        <v>1055.388672</v>
      </c>
      <c r="I161" s="33"/>
    </row>
    <row r="162" spans="1:20" s="34" customFormat="1" ht="15.75" customHeight="1" x14ac:dyDescent="0.3">
      <c r="A162" s="39">
        <f>A161+1</f>
        <v>5</v>
      </c>
      <c r="B162" s="39" t="s">
        <v>328</v>
      </c>
      <c r="C162" s="39" t="s">
        <v>334</v>
      </c>
      <c r="D162" s="63">
        <f>(73.71)*10.764</f>
        <v>793.4144399999999</v>
      </c>
      <c r="E162" s="39">
        <v>0</v>
      </c>
      <c r="F162" s="39">
        <f t="shared" ref="F162:F163" si="12">D162+(IF(E162&lt;201,E162,IF(E162&lt;301,E162/2,E162/3)))</f>
        <v>793.4144399999999</v>
      </c>
      <c r="G162" s="39">
        <v>0</v>
      </c>
      <c r="H162" s="39">
        <f t="shared" si="10"/>
        <v>1269.4631039999999</v>
      </c>
      <c r="I162" s="33"/>
    </row>
    <row r="163" spans="1:20" s="34" customFormat="1" ht="15.75" customHeight="1" x14ac:dyDescent="0.3">
      <c r="A163" s="39">
        <v>6</v>
      </c>
      <c r="B163" s="39" t="s">
        <v>328</v>
      </c>
      <c r="C163" s="39" t="s">
        <v>334</v>
      </c>
      <c r="D163" s="63">
        <f>(106.17)*10.764</f>
        <v>1142.8138799999999</v>
      </c>
      <c r="E163" s="39">
        <v>0</v>
      </c>
      <c r="F163" s="39">
        <f t="shared" si="12"/>
        <v>1142.8138799999999</v>
      </c>
      <c r="G163" s="39">
        <v>0</v>
      </c>
      <c r="H163" s="39">
        <f t="shared" si="10"/>
        <v>1828.5022079999999</v>
      </c>
      <c r="I163" s="33"/>
    </row>
    <row r="164" spans="1:20" s="34" customFormat="1" ht="15.75" customHeight="1" x14ac:dyDescent="0.3">
      <c r="A164" s="39">
        <v>7</v>
      </c>
      <c r="B164" s="96" t="s">
        <v>335</v>
      </c>
      <c r="C164" s="200"/>
      <c r="D164" s="200"/>
      <c r="E164" s="200"/>
      <c r="F164" s="200"/>
      <c r="G164" s="200"/>
      <c r="H164" s="97"/>
      <c r="I164" s="33"/>
    </row>
    <row r="165" spans="1:20" s="34" customFormat="1" ht="15.75" customHeight="1" x14ac:dyDescent="0.3">
      <c r="A165" s="39">
        <f>A164+1</f>
        <v>8</v>
      </c>
      <c r="B165" s="39" t="s">
        <v>328</v>
      </c>
      <c r="C165" s="39" t="s">
        <v>334</v>
      </c>
      <c r="D165" s="63">
        <f>(27.11)*10.764</f>
        <v>291.81203999999997</v>
      </c>
      <c r="E165" s="39">
        <v>0</v>
      </c>
      <c r="F165" s="39">
        <f t="shared" ref="F165:F166" si="13">D165+(IF(E165&lt;201,E165,IF(E165&lt;301,E165/2,E165/3)))</f>
        <v>291.81203999999997</v>
      </c>
      <c r="G165" s="39">
        <v>0</v>
      </c>
      <c r="H165" s="39">
        <f>(F165+(IF(G165&lt;101,G165,IF(G165&lt;201,G165/2,IF(G165&lt;=301,G165/3,G165/4)))))*(($H$135)+1)</f>
        <v>466.89926399999996</v>
      </c>
      <c r="I165" s="33"/>
    </row>
    <row r="166" spans="1:20" s="34" customFormat="1" ht="15.75" customHeight="1" x14ac:dyDescent="0.3">
      <c r="A166" s="39">
        <v>9</v>
      </c>
      <c r="B166" s="39" t="s">
        <v>328</v>
      </c>
      <c r="C166" s="39" t="s">
        <v>334</v>
      </c>
      <c r="D166" s="63">
        <f>(38.87)*10.764</f>
        <v>418.39667999999995</v>
      </c>
      <c r="E166" s="39">
        <v>0</v>
      </c>
      <c r="F166" s="39">
        <f t="shared" si="13"/>
        <v>418.39667999999995</v>
      </c>
      <c r="G166" s="39">
        <v>0</v>
      </c>
      <c r="H166" s="39">
        <f>(F166+(IF(G166&lt;101,G166,IF(G166&lt;201,G166/2,IF(G166&lt;=301,G166/3,G166/4)))))*(($H$135)+1)</f>
        <v>669.43468799999994</v>
      </c>
      <c r="I166" s="33"/>
    </row>
    <row r="167" spans="1:20" s="32" customFormat="1" x14ac:dyDescent="0.3">
      <c r="A167" s="39">
        <v>10</v>
      </c>
      <c r="B167" s="39" t="s">
        <v>328</v>
      </c>
      <c r="C167" s="39" t="s">
        <v>334</v>
      </c>
      <c r="D167" s="63">
        <f>(61.57)*10.764</f>
        <v>662.73947999999996</v>
      </c>
      <c r="E167" s="39">
        <v>0</v>
      </c>
      <c r="F167" s="39">
        <f>D167+(IF(E167&lt;201,E167,IF(E167&lt;301,E167/2,E167/3)))</f>
        <v>662.73947999999996</v>
      </c>
      <c r="G167" s="39">
        <v>0</v>
      </c>
      <c r="H167" s="39">
        <f>(F167+(IF(G167&lt;101,G167,IF(G167&lt;201,G167/2,IF(G167&lt;=301,G167/3,G167/4)))))*(($H$135)+1)</f>
        <v>1060.3831680000001</v>
      </c>
      <c r="T167" s="34"/>
    </row>
    <row r="168" spans="1:20" s="32" customFormat="1" x14ac:dyDescent="0.3">
      <c r="A168" s="39">
        <f>A167+1</f>
        <v>11</v>
      </c>
      <c r="B168" s="39" t="s">
        <v>328</v>
      </c>
      <c r="C168" s="39" t="s">
        <v>334</v>
      </c>
      <c r="D168" s="63">
        <f>(29.16)*10.764</f>
        <v>313.87824000000001</v>
      </c>
      <c r="E168" s="39">
        <v>0</v>
      </c>
      <c r="F168" s="39">
        <f t="shared" ref="F168:F169" si="14">D168+(IF(E168&lt;201,E168,IF(E168&lt;301,E168/2,E168/3)))</f>
        <v>313.87824000000001</v>
      </c>
      <c r="G168" s="39">
        <v>0</v>
      </c>
      <c r="H168" s="39">
        <f>(F168+(IF(G168&lt;101,G168,IF(G168&lt;201,G168/2,IF(G168&lt;=301,G168/3,G168/4)))))*(($H$135)+1)</f>
        <v>502.20518400000003</v>
      </c>
      <c r="T168" s="34"/>
    </row>
    <row r="169" spans="1:20" s="32" customFormat="1" x14ac:dyDescent="0.3">
      <c r="A169" s="39">
        <v>12</v>
      </c>
      <c r="B169" s="39" t="s">
        <v>328</v>
      </c>
      <c r="C169" s="39" t="s">
        <v>334</v>
      </c>
      <c r="D169" s="63">
        <f>(36.94)*10.764</f>
        <v>397.62215999999995</v>
      </c>
      <c r="E169" s="39">
        <v>0</v>
      </c>
      <c r="F169" s="39">
        <f t="shared" si="14"/>
        <v>397.62215999999995</v>
      </c>
      <c r="G169" s="39">
        <v>0</v>
      </c>
      <c r="H169" s="39">
        <f>(F169+(IF(G169&lt;101,G169,IF(G169&lt;201,G169/2,IF(G169&lt;=301,G169/3,G169/4)))))*(($H$135)+1)</f>
        <v>636.19545599999992</v>
      </c>
      <c r="T169" s="34"/>
    </row>
    <row r="170" spans="1:20" s="32" customFormat="1" x14ac:dyDescent="0.3">
      <c r="A170" s="122" t="s">
        <v>337</v>
      </c>
      <c r="B170" s="123"/>
      <c r="C170" s="123"/>
      <c r="D170" s="123"/>
      <c r="E170" s="123"/>
      <c r="F170" s="123"/>
      <c r="G170" s="123"/>
      <c r="H170" s="124"/>
      <c r="T170" s="34"/>
    </row>
    <row r="171" spans="1:20" s="32" customFormat="1" x14ac:dyDescent="0.3">
      <c r="A171" s="39">
        <v>1</v>
      </c>
      <c r="B171" s="39" t="s">
        <v>328</v>
      </c>
      <c r="C171" s="39" t="s">
        <v>334</v>
      </c>
      <c r="D171" s="63">
        <f>(46.17)*10.764</f>
        <v>496.97388000000001</v>
      </c>
      <c r="E171" s="39">
        <v>0</v>
      </c>
      <c r="F171" s="39">
        <f>D171+(IF(E171&lt;201,E171,IF(E171&lt;301,E171/2,E171/3)))</f>
        <v>496.97388000000001</v>
      </c>
      <c r="G171" s="39">
        <v>0</v>
      </c>
      <c r="H171" s="39">
        <f t="shared" ref="H171:H182" si="15">(F171+(IF(G171&lt;101,G171,IF(G171&lt;201,G171/2,IF(G171&lt;=301,G171/3,G171/4)))))*(($H$135)+1)</f>
        <v>795.15820800000006</v>
      </c>
      <c r="T171" s="34"/>
    </row>
    <row r="172" spans="1:20" s="32" customFormat="1" x14ac:dyDescent="0.3">
      <c r="A172" s="39">
        <f>A171+1</f>
        <v>2</v>
      </c>
      <c r="B172" s="39" t="s">
        <v>328</v>
      </c>
      <c r="C172" s="39" t="s">
        <v>334</v>
      </c>
      <c r="D172" s="63">
        <f>(128.57)*10.764</f>
        <v>1383.9274799999998</v>
      </c>
      <c r="E172" s="39">
        <v>0</v>
      </c>
      <c r="F172" s="39">
        <f t="shared" ref="F172:F173" si="16">D172+(IF(E172&lt;201,E172,IF(E172&lt;301,E172/2,E172/3)))</f>
        <v>1383.9274799999998</v>
      </c>
      <c r="G172" s="39">
        <v>0</v>
      </c>
      <c r="H172" s="39">
        <f t="shared" si="15"/>
        <v>2214.2839679999997</v>
      </c>
      <c r="T172" s="34"/>
    </row>
    <row r="173" spans="1:20" s="32" customFormat="1" ht="15.75" customHeight="1" x14ac:dyDescent="0.3">
      <c r="A173" s="39">
        <v>3</v>
      </c>
      <c r="B173" s="39" t="s">
        <v>328</v>
      </c>
      <c r="C173" s="39" t="s">
        <v>334</v>
      </c>
      <c r="D173" s="63">
        <f>(73.25)*10.764</f>
        <v>788.46299999999997</v>
      </c>
      <c r="E173" s="39">
        <v>0</v>
      </c>
      <c r="F173" s="39">
        <f t="shared" si="16"/>
        <v>788.46299999999997</v>
      </c>
      <c r="G173" s="39">
        <v>0</v>
      </c>
      <c r="H173" s="39">
        <f t="shared" si="15"/>
        <v>1261.5408</v>
      </c>
    </row>
    <row r="174" spans="1:20" s="32" customFormat="1" x14ac:dyDescent="0.3">
      <c r="A174" s="39">
        <v>4</v>
      </c>
      <c r="B174" s="39" t="s">
        <v>328</v>
      </c>
      <c r="C174" s="39" t="s">
        <v>334</v>
      </c>
      <c r="D174" s="63">
        <f>(61.28)*10.764</f>
        <v>659.61792000000003</v>
      </c>
      <c r="E174" s="39">
        <v>0</v>
      </c>
      <c r="F174" s="39">
        <f>D174+(IF(E174&lt;201,E174,IF(E174&lt;301,E174/2,E174/3)))</f>
        <v>659.61792000000003</v>
      </c>
      <c r="G174" s="39">
        <v>0</v>
      </c>
      <c r="H174" s="39">
        <f t="shared" si="15"/>
        <v>1055.388672</v>
      </c>
    </row>
    <row r="175" spans="1:20" s="32" customFormat="1" x14ac:dyDescent="0.3">
      <c r="A175" s="39">
        <f>A174+1</f>
        <v>5</v>
      </c>
      <c r="B175" s="39" t="s">
        <v>328</v>
      </c>
      <c r="C175" s="39" t="s">
        <v>334</v>
      </c>
      <c r="D175" s="63">
        <f>(73.71)*10.764</f>
        <v>793.4144399999999</v>
      </c>
      <c r="E175" s="39">
        <v>0</v>
      </c>
      <c r="F175" s="39">
        <f t="shared" ref="F175:F176" si="17">D175+(IF(E175&lt;201,E175,IF(E175&lt;301,E175/2,E175/3)))</f>
        <v>793.4144399999999</v>
      </c>
      <c r="G175" s="39">
        <v>0</v>
      </c>
      <c r="H175" s="39">
        <f t="shared" si="15"/>
        <v>1269.4631039999999</v>
      </c>
    </row>
    <row r="176" spans="1:20" s="32" customFormat="1" x14ac:dyDescent="0.3">
      <c r="A176" s="39">
        <v>6</v>
      </c>
      <c r="B176" s="39" t="s">
        <v>328</v>
      </c>
      <c r="C176" s="39" t="s">
        <v>334</v>
      </c>
      <c r="D176" s="63">
        <f>(106.17)*10.764</f>
        <v>1142.8138799999999</v>
      </c>
      <c r="E176" s="39">
        <v>0</v>
      </c>
      <c r="F176" s="39">
        <f t="shared" si="17"/>
        <v>1142.8138799999999</v>
      </c>
      <c r="G176" s="39">
        <v>0</v>
      </c>
      <c r="H176" s="39">
        <f t="shared" si="15"/>
        <v>1828.5022079999999</v>
      </c>
    </row>
    <row r="177" spans="1:20" s="32" customFormat="1" x14ac:dyDescent="0.3">
      <c r="A177" s="39">
        <v>7</v>
      </c>
      <c r="B177" s="39" t="s">
        <v>328</v>
      </c>
      <c r="C177" s="39" t="s">
        <v>334</v>
      </c>
      <c r="D177" s="63">
        <f>(23.01)*10.764</f>
        <v>247.67964000000001</v>
      </c>
      <c r="E177" s="39">
        <v>0</v>
      </c>
      <c r="F177" s="39">
        <f t="shared" ref="F177" si="18">D177+(IF(E177&lt;201,E177,IF(E177&lt;301,E177/2,E177/3)))</f>
        <v>247.67964000000001</v>
      </c>
      <c r="G177" s="39">
        <v>0</v>
      </c>
      <c r="H177" s="39">
        <f t="shared" si="15"/>
        <v>396.28742400000004</v>
      </c>
    </row>
    <row r="178" spans="1:20" s="32" customFormat="1" x14ac:dyDescent="0.3">
      <c r="A178" s="39">
        <f>A177+1</f>
        <v>8</v>
      </c>
      <c r="B178" s="39" t="s">
        <v>328</v>
      </c>
      <c r="C178" s="39" t="s">
        <v>334</v>
      </c>
      <c r="D178" s="63">
        <f>(26.32)*10.764</f>
        <v>283.30847999999997</v>
      </c>
      <c r="E178" s="39">
        <v>0</v>
      </c>
      <c r="F178" s="39">
        <f t="shared" ref="F178:F179" si="19">D178+(IF(E178&lt;201,E178,IF(E178&lt;301,E178/2,E178/3)))</f>
        <v>283.30847999999997</v>
      </c>
      <c r="G178" s="39">
        <v>0</v>
      </c>
      <c r="H178" s="39">
        <f t="shared" si="15"/>
        <v>453.29356799999999</v>
      </c>
    </row>
    <row r="179" spans="1:20" s="32" customFormat="1" x14ac:dyDescent="0.3">
      <c r="A179" s="39">
        <v>9</v>
      </c>
      <c r="B179" s="39" t="s">
        <v>328</v>
      </c>
      <c r="C179" s="39" t="s">
        <v>334</v>
      </c>
      <c r="D179" s="63">
        <f>(38.87)*10.764</f>
        <v>418.39667999999995</v>
      </c>
      <c r="E179" s="39">
        <v>0</v>
      </c>
      <c r="F179" s="39">
        <f t="shared" si="19"/>
        <v>418.39667999999995</v>
      </c>
      <c r="G179" s="39">
        <v>0</v>
      </c>
      <c r="H179" s="39">
        <f t="shared" si="15"/>
        <v>669.43468799999994</v>
      </c>
      <c r="J179" s="32">
        <f>9300000/H179</f>
        <v>13892.318648417575</v>
      </c>
    </row>
    <row r="180" spans="1:20" x14ac:dyDescent="0.3">
      <c r="A180" s="39">
        <v>10</v>
      </c>
      <c r="B180" s="39" t="s">
        <v>328</v>
      </c>
      <c r="C180" s="39" t="s">
        <v>334</v>
      </c>
      <c r="D180" s="63">
        <f>(61.57)*10.764</f>
        <v>662.73947999999996</v>
      </c>
      <c r="E180" s="39">
        <v>0</v>
      </c>
      <c r="F180" s="39">
        <f>D180+(IF(E180&lt;201,E180,IF(E180&lt;301,E180/2,E180/3)))</f>
        <v>662.73947999999996</v>
      </c>
      <c r="G180" s="39">
        <v>0</v>
      </c>
      <c r="H180" s="39">
        <f t="shared" si="15"/>
        <v>1060.3831680000001</v>
      </c>
      <c r="T180" s="32"/>
    </row>
    <row r="181" spans="1:20" x14ac:dyDescent="0.3">
      <c r="A181" s="39">
        <f>A180+1</f>
        <v>11</v>
      </c>
      <c r="B181" s="39" t="s">
        <v>328</v>
      </c>
      <c r="C181" s="39" t="s">
        <v>334</v>
      </c>
      <c r="D181" s="63">
        <f>(29.16)*10.764</f>
        <v>313.87824000000001</v>
      </c>
      <c r="E181" s="39">
        <v>0</v>
      </c>
      <c r="F181" s="39">
        <f t="shared" ref="F181:F182" si="20">D181+(IF(E181&lt;201,E181,IF(E181&lt;301,E181/2,E181/3)))</f>
        <v>313.87824000000001</v>
      </c>
      <c r="G181" s="39">
        <v>0</v>
      </c>
      <c r="H181" s="39">
        <f t="shared" si="15"/>
        <v>502.20518400000003</v>
      </c>
      <c r="T181" s="32"/>
    </row>
    <row r="182" spans="1:20" ht="15.75" customHeight="1" x14ac:dyDescent="0.3">
      <c r="A182" s="39">
        <v>12</v>
      </c>
      <c r="B182" s="39" t="s">
        <v>328</v>
      </c>
      <c r="C182" s="39" t="s">
        <v>334</v>
      </c>
      <c r="D182" s="63">
        <f>(36.94)*10.764</f>
        <v>397.62215999999995</v>
      </c>
      <c r="E182" s="39">
        <v>0</v>
      </c>
      <c r="F182" s="39">
        <f t="shared" si="20"/>
        <v>397.62215999999995</v>
      </c>
      <c r="G182" s="39">
        <v>0</v>
      </c>
      <c r="H182" s="39">
        <f t="shared" si="15"/>
        <v>636.19545599999992</v>
      </c>
      <c r="T182" s="32"/>
    </row>
    <row r="183" spans="1:20" x14ac:dyDescent="0.3">
      <c r="A183" s="122" t="s">
        <v>338</v>
      </c>
      <c r="B183" s="123"/>
      <c r="C183" s="123"/>
      <c r="D183" s="123"/>
      <c r="E183" s="123"/>
      <c r="F183" s="123"/>
      <c r="G183" s="123"/>
      <c r="H183" s="124"/>
      <c r="T183" s="32"/>
    </row>
    <row r="184" spans="1:20" x14ac:dyDescent="0.3">
      <c r="A184" s="39">
        <v>1</v>
      </c>
      <c r="B184" s="39" t="s">
        <v>328</v>
      </c>
      <c r="C184" s="39" t="s">
        <v>334</v>
      </c>
      <c r="D184" s="63">
        <f>(46.17)*10.764</f>
        <v>496.97388000000001</v>
      </c>
      <c r="E184" s="39">
        <v>0</v>
      </c>
      <c r="F184" s="39">
        <f>D184+(IF(E184&lt;201,E184,IF(E184&lt;301,E184/2,E184/3)))</f>
        <v>496.97388000000001</v>
      </c>
      <c r="G184" s="39">
        <v>0</v>
      </c>
      <c r="H184" s="39">
        <f t="shared" ref="H184:H195" si="21">(F184+(IF(G184&lt;101,G184,IF(G184&lt;201,G184/2,IF(G184&lt;=301,G184/3,G184/4)))))*(($H$135)+1)</f>
        <v>795.15820800000006</v>
      </c>
      <c r="T184" s="32"/>
    </row>
    <row r="185" spans="1:20" x14ac:dyDescent="0.3">
      <c r="A185" s="39">
        <f>A184+1</f>
        <v>2</v>
      </c>
      <c r="B185" s="39" t="s">
        <v>328</v>
      </c>
      <c r="C185" s="39" t="s">
        <v>334</v>
      </c>
      <c r="D185" s="63">
        <f>(128.57)*10.764</f>
        <v>1383.9274799999998</v>
      </c>
      <c r="E185" s="39">
        <v>0</v>
      </c>
      <c r="F185" s="39">
        <f t="shared" ref="F185:F186" si="22">D185+(IF(E185&lt;201,E185,IF(E185&lt;301,E185/2,E185/3)))</f>
        <v>1383.9274799999998</v>
      </c>
      <c r="G185" s="39">
        <v>0</v>
      </c>
      <c r="H185" s="39">
        <f t="shared" si="21"/>
        <v>2214.2839679999997</v>
      </c>
      <c r="T185" s="32"/>
    </row>
    <row r="186" spans="1:20" x14ac:dyDescent="0.3">
      <c r="A186" s="39">
        <v>3</v>
      </c>
      <c r="B186" s="39" t="s">
        <v>328</v>
      </c>
      <c r="C186" s="39" t="s">
        <v>334</v>
      </c>
      <c r="D186" s="63">
        <f>(73.25)*10.764</f>
        <v>788.46299999999997</v>
      </c>
      <c r="E186" s="39">
        <v>0</v>
      </c>
      <c r="F186" s="39">
        <f t="shared" si="22"/>
        <v>788.46299999999997</v>
      </c>
      <c r="G186" s="39">
        <v>0</v>
      </c>
      <c r="H186" s="39">
        <f t="shared" si="21"/>
        <v>1261.5408</v>
      </c>
    </row>
    <row r="187" spans="1:20" x14ac:dyDescent="0.3">
      <c r="A187" s="39">
        <v>4</v>
      </c>
      <c r="B187" s="39" t="s">
        <v>328</v>
      </c>
      <c r="C187" s="39" t="s">
        <v>334</v>
      </c>
      <c r="D187" s="63">
        <f>(61.28)*10.764</f>
        <v>659.61792000000003</v>
      </c>
      <c r="E187" s="39">
        <v>0</v>
      </c>
      <c r="F187" s="39">
        <f>D187+(IF(E187&lt;201,E187,IF(E187&lt;301,E187/2,E187/3)))</f>
        <v>659.61792000000003</v>
      </c>
      <c r="G187" s="39">
        <v>0</v>
      </c>
      <c r="H187" s="39">
        <f t="shared" si="21"/>
        <v>1055.388672</v>
      </c>
    </row>
    <row r="188" spans="1:20" x14ac:dyDescent="0.3">
      <c r="A188" s="39">
        <f>A187+1</f>
        <v>5</v>
      </c>
      <c r="B188" s="39" t="s">
        <v>328</v>
      </c>
      <c r="C188" s="39" t="s">
        <v>334</v>
      </c>
      <c r="D188" s="63">
        <f>(73.71)*10.764</f>
        <v>793.4144399999999</v>
      </c>
      <c r="E188" s="39">
        <v>0</v>
      </c>
      <c r="F188" s="39">
        <f t="shared" ref="F188:F192" si="23">D188+(IF(E188&lt;201,E188,IF(E188&lt;301,E188/2,E188/3)))</f>
        <v>793.4144399999999</v>
      </c>
      <c r="G188" s="39">
        <v>0</v>
      </c>
      <c r="H188" s="39">
        <f t="shared" si="21"/>
        <v>1269.4631039999999</v>
      </c>
    </row>
    <row r="189" spans="1:20" x14ac:dyDescent="0.3">
      <c r="A189" s="39">
        <v>6</v>
      </c>
      <c r="B189" s="39" t="s">
        <v>328</v>
      </c>
      <c r="C189" s="39" t="s">
        <v>334</v>
      </c>
      <c r="D189" s="63">
        <f>(106.17)*10.764</f>
        <v>1142.8138799999999</v>
      </c>
      <c r="E189" s="39">
        <v>0</v>
      </c>
      <c r="F189" s="39">
        <f t="shared" si="23"/>
        <v>1142.8138799999999</v>
      </c>
      <c r="G189" s="39">
        <v>0</v>
      </c>
      <c r="H189" s="39">
        <f t="shared" si="21"/>
        <v>1828.5022079999999</v>
      </c>
    </row>
    <row r="190" spans="1:20" x14ac:dyDescent="0.3">
      <c r="A190" s="39">
        <v>7</v>
      </c>
      <c r="B190" s="39" t="s">
        <v>328</v>
      </c>
      <c r="C190" s="39" t="s">
        <v>334</v>
      </c>
      <c r="D190" s="63">
        <f>(23.01)*10.764</f>
        <v>247.67964000000001</v>
      </c>
      <c r="E190" s="39">
        <v>0</v>
      </c>
      <c r="F190" s="39">
        <f t="shared" si="23"/>
        <v>247.67964000000001</v>
      </c>
      <c r="G190" s="39">
        <v>0</v>
      </c>
      <c r="H190" s="39">
        <f t="shared" si="21"/>
        <v>396.28742400000004</v>
      </c>
    </row>
    <row r="191" spans="1:20" x14ac:dyDescent="0.3">
      <c r="A191" s="39">
        <f>A190+1</f>
        <v>8</v>
      </c>
      <c r="B191" s="39" t="s">
        <v>328</v>
      </c>
      <c r="C191" s="39" t="s">
        <v>334</v>
      </c>
      <c r="D191" s="63">
        <f>(26.32)*10.764</f>
        <v>283.30847999999997</v>
      </c>
      <c r="E191" s="39">
        <v>0</v>
      </c>
      <c r="F191" s="39">
        <f t="shared" si="23"/>
        <v>283.30847999999997</v>
      </c>
      <c r="G191" s="39">
        <v>0</v>
      </c>
      <c r="H191" s="39">
        <f t="shared" si="21"/>
        <v>453.29356799999999</v>
      </c>
    </row>
    <row r="192" spans="1:20" x14ac:dyDescent="0.3">
      <c r="A192" s="39">
        <v>9</v>
      </c>
      <c r="B192" s="39" t="s">
        <v>328</v>
      </c>
      <c r="C192" s="39" t="s">
        <v>334</v>
      </c>
      <c r="D192" s="63">
        <f>(38.87)*10.764</f>
        <v>418.39667999999995</v>
      </c>
      <c r="E192" s="39">
        <v>0</v>
      </c>
      <c r="F192" s="39">
        <f t="shared" si="23"/>
        <v>418.39667999999995</v>
      </c>
      <c r="G192" s="39">
        <v>0</v>
      </c>
      <c r="H192" s="39">
        <f t="shared" si="21"/>
        <v>669.43468799999994</v>
      </c>
      <c r="K192" s="18">
        <f>13200000/H192</f>
        <v>19718.129694528172</v>
      </c>
    </row>
    <row r="193" spans="1:8" x14ac:dyDescent="0.3">
      <c r="A193" s="39">
        <v>10</v>
      </c>
      <c r="B193" s="39" t="s">
        <v>328</v>
      </c>
      <c r="C193" s="39" t="s">
        <v>334</v>
      </c>
      <c r="D193" s="63">
        <f>(61.57)*10.764</f>
        <v>662.73947999999996</v>
      </c>
      <c r="E193" s="39">
        <v>0</v>
      </c>
      <c r="F193" s="39">
        <f>D193+(IF(E193&lt;201,E193,IF(E193&lt;301,E193/2,E193/3)))</f>
        <v>662.73947999999996</v>
      </c>
      <c r="G193" s="39">
        <v>0</v>
      </c>
      <c r="H193" s="39">
        <f t="shared" si="21"/>
        <v>1060.3831680000001</v>
      </c>
    </row>
    <row r="194" spans="1:8" x14ac:dyDescent="0.3">
      <c r="A194" s="39">
        <f>A193+1</f>
        <v>11</v>
      </c>
      <c r="B194" s="39" t="s">
        <v>328</v>
      </c>
      <c r="C194" s="39" t="s">
        <v>334</v>
      </c>
      <c r="D194" s="63">
        <f>(29.16)*10.764</f>
        <v>313.87824000000001</v>
      </c>
      <c r="E194" s="39">
        <v>0</v>
      </c>
      <c r="F194" s="39">
        <f t="shared" ref="F194:F195" si="24">D194+(IF(E194&lt;201,E194,IF(E194&lt;301,E194/2,E194/3)))</f>
        <v>313.87824000000001</v>
      </c>
      <c r="G194" s="39">
        <v>0</v>
      </c>
      <c r="H194" s="39">
        <f t="shared" si="21"/>
        <v>502.20518400000003</v>
      </c>
    </row>
    <row r="195" spans="1:8" ht="15" customHeight="1" x14ac:dyDescent="0.3">
      <c r="A195" s="39">
        <v>12</v>
      </c>
      <c r="B195" s="39" t="s">
        <v>328</v>
      </c>
      <c r="C195" s="39" t="s">
        <v>334</v>
      </c>
      <c r="D195" s="63">
        <f>(36.94)*10.764</f>
        <v>397.62215999999995</v>
      </c>
      <c r="E195" s="39">
        <v>0</v>
      </c>
      <c r="F195" s="39">
        <f t="shared" si="24"/>
        <v>397.62215999999995</v>
      </c>
      <c r="G195" s="39">
        <v>0</v>
      </c>
      <c r="H195" s="39">
        <f t="shared" si="21"/>
        <v>636.19545599999992</v>
      </c>
    </row>
    <row r="196" spans="1:8" x14ac:dyDescent="0.3">
      <c r="A196" s="122" t="s">
        <v>340</v>
      </c>
      <c r="B196" s="123"/>
      <c r="C196" s="123"/>
      <c r="D196" s="123"/>
      <c r="E196" s="123"/>
      <c r="F196" s="123"/>
      <c r="G196" s="123"/>
      <c r="H196" s="124"/>
    </row>
    <row r="197" spans="1:8" x14ac:dyDescent="0.3">
      <c r="A197" s="122" t="s">
        <v>339</v>
      </c>
      <c r="B197" s="123"/>
      <c r="C197" s="123"/>
      <c r="D197" s="123"/>
      <c r="E197" s="123"/>
      <c r="F197" s="123"/>
      <c r="G197" s="123"/>
      <c r="H197" s="124"/>
    </row>
    <row r="198" spans="1:8" x14ac:dyDescent="0.3">
      <c r="A198" s="39">
        <v>1</v>
      </c>
      <c r="B198" s="39" t="s">
        <v>328</v>
      </c>
      <c r="C198" s="39" t="s">
        <v>334</v>
      </c>
      <c r="D198" s="63">
        <f>(46.17)*10.764</f>
        <v>496.97388000000001</v>
      </c>
      <c r="E198" s="39">
        <v>0</v>
      </c>
      <c r="F198" s="39">
        <f>D198+(IF(E198&lt;201,E198,IF(E198&lt;301,E198/2,E198/3)))</f>
        <v>496.97388000000001</v>
      </c>
      <c r="G198" s="39">
        <v>0</v>
      </c>
      <c r="H198" s="39">
        <f t="shared" ref="H198:H203" si="25">(F198+(IF(G198&lt;101,G198,IF(G198&lt;201,G198/2,IF(G198&lt;=301,G198/3,G198/4)))))*(($H$135)+1)</f>
        <v>795.15820800000006</v>
      </c>
    </row>
    <row r="199" spans="1:8" x14ac:dyDescent="0.3">
      <c r="A199" s="39">
        <f>A198+1</f>
        <v>2</v>
      </c>
      <c r="B199" s="39" t="s">
        <v>328</v>
      </c>
      <c r="C199" s="39" t="s">
        <v>334</v>
      </c>
      <c r="D199" s="63">
        <f>(128.57)*10.764</f>
        <v>1383.9274799999998</v>
      </c>
      <c r="E199" s="39">
        <v>0</v>
      </c>
      <c r="F199" s="39">
        <f t="shared" ref="F199:F200" si="26">D199+(IF(E199&lt;201,E199,IF(E199&lt;301,E199/2,E199/3)))</f>
        <v>1383.9274799999998</v>
      </c>
      <c r="G199" s="39">
        <v>0</v>
      </c>
      <c r="H199" s="39">
        <f t="shared" si="25"/>
        <v>2214.2839679999997</v>
      </c>
    </row>
    <row r="200" spans="1:8" x14ac:dyDescent="0.3">
      <c r="A200" s="39">
        <v>3</v>
      </c>
      <c r="B200" s="39" t="s">
        <v>328</v>
      </c>
      <c r="C200" s="39" t="s">
        <v>334</v>
      </c>
      <c r="D200" s="63">
        <f>(73.25)*10.764</f>
        <v>788.46299999999997</v>
      </c>
      <c r="E200" s="39">
        <v>0</v>
      </c>
      <c r="F200" s="39">
        <f t="shared" si="26"/>
        <v>788.46299999999997</v>
      </c>
      <c r="G200" s="39">
        <v>0</v>
      </c>
      <c r="H200" s="39">
        <f t="shared" si="25"/>
        <v>1261.5408</v>
      </c>
    </row>
    <row r="201" spans="1:8" x14ac:dyDescent="0.3">
      <c r="A201" s="39">
        <v>4</v>
      </c>
      <c r="B201" s="39" t="s">
        <v>328</v>
      </c>
      <c r="C201" s="39" t="s">
        <v>334</v>
      </c>
      <c r="D201" s="63">
        <f>(61.28)*10.764</f>
        <v>659.61792000000003</v>
      </c>
      <c r="E201" s="39">
        <v>0</v>
      </c>
      <c r="F201" s="39">
        <f>D201+(IF(E201&lt;201,E201,IF(E201&lt;301,E201/2,E201/3)))</f>
        <v>659.61792000000003</v>
      </c>
      <c r="G201" s="39">
        <v>0</v>
      </c>
      <c r="H201" s="39">
        <f t="shared" si="25"/>
        <v>1055.388672</v>
      </c>
    </row>
    <row r="202" spans="1:8" x14ac:dyDescent="0.3">
      <c r="A202" s="39">
        <f>A201+1</f>
        <v>5</v>
      </c>
      <c r="B202" s="39" t="s">
        <v>328</v>
      </c>
      <c r="C202" s="39" t="s">
        <v>334</v>
      </c>
      <c r="D202" s="63">
        <f>(73.71)*10.764</f>
        <v>793.4144399999999</v>
      </c>
      <c r="E202" s="39">
        <v>0</v>
      </c>
      <c r="F202" s="39">
        <f t="shared" ref="F202:F206" si="27">D202+(IF(E202&lt;201,E202,IF(E202&lt;301,E202/2,E202/3)))</f>
        <v>793.4144399999999</v>
      </c>
      <c r="G202" s="39">
        <v>0</v>
      </c>
      <c r="H202" s="39">
        <f t="shared" si="25"/>
        <v>1269.4631039999999</v>
      </c>
    </row>
    <row r="203" spans="1:8" x14ac:dyDescent="0.3">
      <c r="A203" s="39">
        <v>6</v>
      </c>
      <c r="B203" s="39" t="s">
        <v>328</v>
      </c>
      <c r="C203" s="39" t="s">
        <v>334</v>
      </c>
      <c r="D203" s="63">
        <f>(106.17)*10.764</f>
        <v>1142.8138799999999</v>
      </c>
      <c r="E203" s="39">
        <v>0</v>
      </c>
      <c r="F203" s="39">
        <f t="shared" si="27"/>
        <v>1142.8138799999999</v>
      </c>
      <c r="G203" s="39">
        <v>0</v>
      </c>
      <c r="H203" s="39">
        <f t="shared" si="25"/>
        <v>1828.5022079999999</v>
      </c>
    </row>
    <row r="204" spans="1:8" x14ac:dyDescent="0.3">
      <c r="A204" s="39">
        <v>7</v>
      </c>
      <c r="B204" s="39" t="s">
        <v>328</v>
      </c>
      <c r="C204" s="39" t="s">
        <v>334</v>
      </c>
      <c r="D204" s="63">
        <f>(23.01)*10.764</f>
        <v>247.67964000000001</v>
      </c>
      <c r="E204" s="39">
        <v>0</v>
      </c>
      <c r="F204" s="39">
        <f t="shared" si="27"/>
        <v>247.67964000000001</v>
      </c>
      <c r="G204" s="39">
        <v>0</v>
      </c>
      <c r="H204" s="39">
        <f t="shared" ref="H204:H209" si="28">(F204+(IF(G204&lt;101,G204,IF(G204&lt;201,G204/2,IF(G204&lt;=301,G204/3,G204/4)))))*(($H$135)+1)</f>
        <v>396.28742400000004</v>
      </c>
    </row>
    <row r="205" spans="1:8" x14ac:dyDescent="0.3">
      <c r="A205" s="39">
        <f>A204+1</f>
        <v>8</v>
      </c>
      <c r="B205" s="39" t="s">
        <v>328</v>
      </c>
      <c r="C205" s="39" t="s">
        <v>334</v>
      </c>
      <c r="D205" s="63">
        <f>(26.32)*10.764</f>
        <v>283.30847999999997</v>
      </c>
      <c r="E205" s="39">
        <v>0</v>
      </c>
      <c r="F205" s="39">
        <f t="shared" si="27"/>
        <v>283.30847999999997</v>
      </c>
      <c r="G205" s="39">
        <v>0</v>
      </c>
      <c r="H205" s="39">
        <f t="shared" si="28"/>
        <v>453.29356799999999</v>
      </c>
    </row>
    <row r="206" spans="1:8" ht="15.75" customHeight="1" x14ac:dyDescent="0.3">
      <c r="A206" s="39">
        <v>9</v>
      </c>
      <c r="B206" s="39" t="s">
        <v>328</v>
      </c>
      <c r="C206" s="39" t="s">
        <v>334</v>
      </c>
      <c r="D206" s="63">
        <f>(38.87)*10.764</f>
        <v>418.39667999999995</v>
      </c>
      <c r="E206" s="39">
        <v>0</v>
      </c>
      <c r="F206" s="39">
        <f t="shared" si="27"/>
        <v>418.39667999999995</v>
      </c>
      <c r="G206" s="39">
        <v>0</v>
      </c>
      <c r="H206" s="39">
        <f t="shared" si="28"/>
        <v>669.43468799999994</v>
      </c>
    </row>
    <row r="207" spans="1:8" x14ac:dyDescent="0.3">
      <c r="A207" s="39">
        <v>10</v>
      </c>
      <c r="B207" s="39" t="s">
        <v>328</v>
      </c>
      <c r="C207" s="39" t="s">
        <v>334</v>
      </c>
      <c r="D207" s="63">
        <f>(61.57)*10.764</f>
        <v>662.73947999999996</v>
      </c>
      <c r="E207" s="39">
        <v>0</v>
      </c>
      <c r="F207" s="39">
        <f>D207+(IF(E207&lt;201,E207,IF(E207&lt;301,E207/2,E207/3)))</f>
        <v>662.73947999999996</v>
      </c>
      <c r="G207" s="39">
        <v>0</v>
      </c>
      <c r="H207" s="39">
        <f t="shared" si="28"/>
        <v>1060.3831680000001</v>
      </c>
    </row>
    <row r="208" spans="1:8" ht="15.75" customHeight="1" x14ac:dyDescent="0.3">
      <c r="A208" s="39">
        <f>A207+1</f>
        <v>11</v>
      </c>
      <c r="B208" s="39" t="s">
        <v>328</v>
      </c>
      <c r="C208" s="39" t="s">
        <v>334</v>
      </c>
      <c r="D208" s="63">
        <f>(29.16)*10.764</f>
        <v>313.87824000000001</v>
      </c>
      <c r="E208" s="39">
        <v>0</v>
      </c>
      <c r="F208" s="39">
        <f t="shared" ref="F208:F209" si="29">D208+(IF(E208&lt;201,E208,IF(E208&lt;301,E208/2,E208/3)))</f>
        <v>313.87824000000001</v>
      </c>
      <c r="G208" s="39">
        <v>0</v>
      </c>
      <c r="H208" s="39">
        <f t="shared" si="28"/>
        <v>502.20518400000003</v>
      </c>
    </row>
    <row r="209" spans="1:8" ht="15.75" customHeight="1" x14ac:dyDescent="0.3">
      <c r="A209" s="39">
        <v>12</v>
      </c>
      <c r="B209" s="39" t="s">
        <v>328</v>
      </c>
      <c r="C209" s="39" t="s">
        <v>334</v>
      </c>
      <c r="D209" s="63">
        <f>(36.94)*10.764</f>
        <v>397.62215999999995</v>
      </c>
      <c r="E209" s="39">
        <v>0</v>
      </c>
      <c r="F209" s="39">
        <f t="shared" si="29"/>
        <v>397.62215999999995</v>
      </c>
      <c r="G209" s="39">
        <v>0</v>
      </c>
      <c r="H209" s="39">
        <f t="shared" si="28"/>
        <v>636.19545599999992</v>
      </c>
    </row>
    <row r="210" spans="1:8" ht="15.75" customHeight="1" x14ac:dyDescent="0.3">
      <c r="A210" s="122" t="s">
        <v>348</v>
      </c>
      <c r="B210" s="123"/>
      <c r="C210" s="123"/>
      <c r="D210" s="123"/>
      <c r="E210" s="123"/>
      <c r="F210" s="123"/>
      <c r="G210" s="123"/>
      <c r="H210" s="124"/>
    </row>
    <row r="211" spans="1:8" ht="15.75" customHeight="1" x14ac:dyDescent="0.3">
      <c r="A211" s="39">
        <v>1</v>
      </c>
      <c r="B211" s="39" t="s">
        <v>328</v>
      </c>
      <c r="C211" s="39" t="s">
        <v>334</v>
      </c>
      <c r="D211" s="63">
        <f>(46.17)*10.764</f>
        <v>496.97388000000001</v>
      </c>
      <c r="E211" s="39">
        <v>0</v>
      </c>
      <c r="F211" s="39">
        <f>D211+(IF(E211&lt;201,E211,IF(E211&lt;301,E211/2,E211/3)))</f>
        <v>496.97388000000001</v>
      </c>
      <c r="G211" s="39">
        <v>0</v>
      </c>
      <c r="H211" s="39">
        <f t="shared" ref="H211:H216" si="30">(F211+(IF(G211&lt;101,G211,IF(G211&lt;201,G211/2,IF(G211&lt;=301,G211/3,G211/4)))))*(($H$135)+1)</f>
        <v>795.15820800000006</v>
      </c>
    </row>
    <row r="212" spans="1:8" ht="15.75" customHeight="1" x14ac:dyDescent="0.3">
      <c r="A212" s="39">
        <f>A211+1</f>
        <v>2</v>
      </c>
      <c r="B212" s="39" t="s">
        <v>328</v>
      </c>
      <c r="C212" s="39" t="s">
        <v>334</v>
      </c>
      <c r="D212" s="63">
        <f>(128.57)*10.764</f>
        <v>1383.9274799999998</v>
      </c>
      <c r="E212" s="39">
        <v>0</v>
      </c>
      <c r="F212" s="39">
        <f t="shared" ref="F212:F213" si="31">D212+(IF(E212&lt;201,E212,IF(E212&lt;301,E212/2,E212/3)))</f>
        <v>1383.9274799999998</v>
      </c>
      <c r="G212" s="39">
        <v>0</v>
      </c>
      <c r="H212" s="39">
        <f t="shared" si="30"/>
        <v>2214.2839679999997</v>
      </c>
    </row>
    <row r="213" spans="1:8" ht="15.75" customHeight="1" x14ac:dyDescent="0.3">
      <c r="A213" s="39">
        <v>3</v>
      </c>
      <c r="B213" s="39" t="s">
        <v>328</v>
      </c>
      <c r="C213" s="39" t="s">
        <v>334</v>
      </c>
      <c r="D213" s="63">
        <f>(73.25)*10.764</f>
        <v>788.46299999999997</v>
      </c>
      <c r="E213" s="39">
        <v>0</v>
      </c>
      <c r="F213" s="39">
        <f t="shared" si="31"/>
        <v>788.46299999999997</v>
      </c>
      <c r="G213" s="39">
        <v>0</v>
      </c>
      <c r="H213" s="39">
        <f t="shared" si="30"/>
        <v>1261.5408</v>
      </c>
    </row>
    <row r="214" spans="1:8" x14ac:dyDescent="0.3">
      <c r="A214" s="39">
        <v>4</v>
      </c>
      <c r="B214" s="39" t="s">
        <v>328</v>
      </c>
      <c r="C214" s="39" t="s">
        <v>334</v>
      </c>
      <c r="D214" s="63">
        <f>(61.28)*10.764</f>
        <v>659.61792000000003</v>
      </c>
      <c r="E214" s="39">
        <v>0</v>
      </c>
      <c r="F214" s="39">
        <f>D214+(IF(E214&lt;201,E214,IF(E214&lt;301,E214/2,E214/3)))</f>
        <v>659.61792000000003</v>
      </c>
      <c r="G214" s="39">
        <v>0</v>
      </c>
      <c r="H214" s="39">
        <f t="shared" si="30"/>
        <v>1055.388672</v>
      </c>
    </row>
    <row r="215" spans="1:8" x14ac:dyDescent="0.3">
      <c r="A215" s="39">
        <f>A214+1</f>
        <v>5</v>
      </c>
      <c r="B215" s="39" t="s">
        <v>328</v>
      </c>
      <c r="C215" s="39" t="s">
        <v>334</v>
      </c>
      <c r="D215" s="63">
        <f>(73.71)*10.764</f>
        <v>793.4144399999999</v>
      </c>
      <c r="E215" s="39">
        <v>0</v>
      </c>
      <c r="F215" s="39">
        <f t="shared" ref="F215:F216" si="32">D215+(IF(E215&lt;201,E215,IF(E215&lt;301,E215/2,E215/3)))</f>
        <v>793.4144399999999</v>
      </c>
      <c r="G215" s="39">
        <v>0</v>
      </c>
      <c r="H215" s="39">
        <f t="shared" si="30"/>
        <v>1269.4631039999999</v>
      </c>
    </row>
    <row r="216" spans="1:8" x14ac:dyDescent="0.3">
      <c r="A216" s="39">
        <v>6</v>
      </c>
      <c r="B216" s="39" t="s">
        <v>328</v>
      </c>
      <c r="C216" s="39" t="s">
        <v>334</v>
      </c>
      <c r="D216" s="63">
        <f>(106.17)*10.764</f>
        <v>1142.8138799999999</v>
      </c>
      <c r="E216" s="39">
        <v>0</v>
      </c>
      <c r="F216" s="39">
        <f t="shared" si="32"/>
        <v>1142.8138799999999</v>
      </c>
      <c r="G216" s="39">
        <v>0</v>
      </c>
      <c r="H216" s="39">
        <f t="shared" si="30"/>
        <v>1828.5022079999999</v>
      </c>
    </row>
    <row r="217" spans="1:8" x14ac:dyDescent="0.3">
      <c r="A217" s="39">
        <v>7</v>
      </c>
      <c r="B217" s="96" t="s">
        <v>346</v>
      </c>
      <c r="C217" s="200"/>
      <c r="D217" s="200"/>
      <c r="E217" s="200"/>
      <c r="F217" s="200"/>
      <c r="G217" s="200"/>
      <c r="H217" s="97"/>
    </row>
    <row r="218" spans="1:8" x14ac:dyDescent="0.3">
      <c r="A218" s="122" t="s">
        <v>347</v>
      </c>
      <c r="B218" s="123"/>
      <c r="C218" s="123"/>
      <c r="D218" s="123"/>
      <c r="E218" s="123"/>
      <c r="F218" s="123"/>
      <c r="G218" s="123"/>
      <c r="H218" s="124"/>
    </row>
    <row r="219" spans="1:8" x14ac:dyDescent="0.3">
      <c r="A219" s="39">
        <v>1</v>
      </c>
      <c r="B219" s="39" t="s">
        <v>328</v>
      </c>
      <c r="C219" s="39" t="s">
        <v>334</v>
      </c>
      <c r="D219" s="63">
        <f>(175.4)*10.764</f>
        <v>1888.0056</v>
      </c>
      <c r="E219" s="39">
        <v>0</v>
      </c>
      <c r="F219" s="39">
        <f>D219+(IF(E219&lt;201,E219,IF(E219&lt;301,E219/2,E219/3)))</f>
        <v>1888.0056</v>
      </c>
      <c r="G219" s="39">
        <v>0</v>
      </c>
      <c r="H219" s="39">
        <f>(F219+(IF(G219&lt;101,G219,IF(G219&lt;201,G219/2,IF(G219&lt;=301,G219/3,G219/4)))))*(($H$135)+1)</f>
        <v>3020.8089600000003</v>
      </c>
    </row>
    <row r="220" spans="1:8" x14ac:dyDescent="0.3">
      <c r="A220" s="39">
        <f>A219+1</f>
        <v>2</v>
      </c>
      <c r="B220" s="39" t="s">
        <v>328</v>
      </c>
      <c r="C220" s="39" t="s">
        <v>334</v>
      </c>
      <c r="D220" s="63">
        <f>(354.61)*10.764</f>
        <v>3817.0220399999998</v>
      </c>
      <c r="E220" s="39">
        <v>0</v>
      </c>
      <c r="F220" s="39">
        <f t="shared" ref="F220:F221" si="33">D220+(IF(E220&lt;201,E220,IF(E220&lt;301,E220/2,E220/3)))</f>
        <v>3817.0220399999998</v>
      </c>
      <c r="G220" s="39">
        <v>0</v>
      </c>
      <c r="H220" s="39">
        <f>(F220+(IF(G220&lt;101,G220,IF(G220&lt;201,G220/2,IF(G220&lt;=301,G220/3,G220/4)))))*(($H$135)+1)</f>
        <v>6107.2352639999999</v>
      </c>
    </row>
    <row r="221" spans="1:8" x14ac:dyDescent="0.3">
      <c r="A221" s="39">
        <v>3</v>
      </c>
      <c r="B221" s="39" t="s">
        <v>328</v>
      </c>
      <c r="C221" s="39" t="s">
        <v>334</v>
      </c>
      <c r="D221" s="63">
        <f>(234.99)*10.764</f>
        <v>2529.4323599999998</v>
      </c>
      <c r="E221" s="39">
        <v>0</v>
      </c>
      <c r="F221" s="39">
        <f t="shared" si="33"/>
        <v>2529.4323599999998</v>
      </c>
      <c r="G221" s="39">
        <v>0</v>
      </c>
      <c r="H221" s="39">
        <f>(F221+(IF(G221&lt;101,G221,IF(G221&lt;201,G221/2,IF(G221&lt;=301,G221/3,G221/4)))))*(($H$135)+1)</f>
        <v>4047.0917759999998</v>
      </c>
    </row>
    <row r="222" spans="1:8" ht="36.75" customHeight="1" x14ac:dyDescent="0.3">
      <c r="A222" s="122" t="s">
        <v>352</v>
      </c>
      <c r="B222" s="123"/>
      <c r="C222" s="123"/>
      <c r="D222" s="123"/>
      <c r="E222" s="123"/>
      <c r="F222" s="123"/>
      <c r="G222" s="123"/>
      <c r="H222" s="124"/>
    </row>
    <row r="223" spans="1:8" x14ac:dyDescent="0.3">
      <c r="A223" s="122" t="s">
        <v>341</v>
      </c>
      <c r="B223" s="123"/>
      <c r="C223" s="123"/>
      <c r="D223" s="123"/>
      <c r="E223" s="123"/>
      <c r="F223" s="123"/>
      <c r="G223" s="123"/>
      <c r="H223" s="124"/>
    </row>
    <row r="224" spans="1:8" hidden="1" x14ac:dyDescent="0.3">
      <c r="A224" s="122"/>
      <c r="B224" s="123"/>
      <c r="C224" s="123"/>
      <c r="D224" s="123"/>
      <c r="E224" s="123"/>
      <c r="F224" s="123"/>
      <c r="G224" s="123"/>
      <c r="H224" s="124"/>
    </row>
    <row r="225" spans="1:8" ht="46.8" hidden="1" x14ac:dyDescent="0.3">
      <c r="A225" s="167" t="s">
        <v>116</v>
      </c>
      <c r="B225" s="91" t="s">
        <v>175</v>
      </c>
      <c r="C225" s="91" t="s">
        <v>54</v>
      </c>
      <c r="D225" s="91" t="s">
        <v>231</v>
      </c>
      <c r="E225" s="91" t="s">
        <v>230</v>
      </c>
      <c r="F225" s="91" t="s">
        <v>55</v>
      </c>
      <c r="G225" s="94" t="s">
        <v>56</v>
      </c>
      <c r="H225" s="49" t="s">
        <v>147</v>
      </c>
    </row>
    <row r="226" spans="1:8" hidden="1" x14ac:dyDescent="0.3">
      <c r="A226" s="168"/>
      <c r="B226" s="92"/>
      <c r="C226" s="92"/>
      <c r="D226" s="92"/>
      <c r="E226" s="92"/>
      <c r="F226" s="92"/>
      <c r="G226" s="95"/>
      <c r="H226" s="50">
        <v>0.45</v>
      </c>
    </row>
    <row r="227" spans="1:8" hidden="1" x14ac:dyDescent="0.3">
      <c r="A227" s="122" t="s">
        <v>114</v>
      </c>
      <c r="B227" s="123"/>
      <c r="C227" s="123"/>
      <c r="D227" s="123"/>
      <c r="E227" s="123"/>
      <c r="F227" s="123"/>
      <c r="G227" s="123"/>
      <c r="H227" s="124"/>
    </row>
    <row r="228" spans="1:8" hidden="1" x14ac:dyDescent="0.3">
      <c r="A228" s="122" t="s">
        <v>114</v>
      </c>
      <c r="B228" s="123"/>
      <c r="C228" s="123"/>
      <c r="D228" s="123"/>
      <c r="E228" s="123"/>
      <c r="F228" s="123"/>
      <c r="G228" s="123"/>
      <c r="H228" s="124"/>
    </row>
    <row r="229" spans="1:8" hidden="1" x14ac:dyDescent="0.3">
      <c r="A229" s="96">
        <v>1</v>
      </c>
      <c r="B229" s="97"/>
      <c r="C229" s="39"/>
      <c r="D229" s="39"/>
      <c r="E229" s="39">
        <v>0</v>
      </c>
      <c r="F229" s="39">
        <f>D229+E229</f>
        <v>0</v>
      </c>
      <c r="G229" s="39">
        <v>0</v>
      </c>
      <c r="H229" s="39">
        <f>F229*(($H$226)+1)+(IF(G229&lt;101,G229,IF(G229&lt;201,G229/2,IF(G229&lt;=301,G229/3,G229/4))))</f>
        <v>0</v>
      </c>
    </row>
    <row r="230" spans="1:8" hidden="1" x14ac:dyDescent="0.3">
      <c r="A230" s="96">
        <f>A229+1</f>
        <v>2</v>
      </c>
      <c r="B230" s="97"/>
      <c r="C230" s="39"/>
      <c r="D230" s="39"/>
      <c r="E230" s="39">
        <v>0</v>
      </c>
      <c r="F230" s="39">
        <f>D230+E230</f>
        <v>0</v>
      </c>
      <c r="G230" s="39">
        <v>0</v>
      </c>
      <c r="H230" s="39">
        <f>F230*(($H$226)+1)+(IF(G230&lt;101,G230,IF(G230&lt;201,G230/2,IF(G230&lt;=301,G230/3,G230/4))))</f>
        <v>0</v>
      </c>
    </row>
    <row r="231" spans="1:8" hidden="1" x14ac:dyDescent="0.3">
      <c r="A231" s="96">
        <f>A230+1</f>
        <v>3</v>
      </c>
      <c r="B231" s="97"/>
      <c r="C231" s="39"/>
      <c r="D231" s="39"/>
      <c r="E231" s="39">
        <v>0</v>
      </c>
      <c r="F231" s="39">
        <f>D231+E231</f>
        <v>0</v>
      </c>
      <c r="G231" s="39">
        <v>0</v>
      </c>
      <c r="H231" s="39">
        <f>F231*(($H$226)+1)+(IF(G231&lt;101,G231,IF(G231&lt;201,G231/2,IF(G231&lt;=301,G231/3,G231/4))))</f>
        <v>0</v>
      </c>
    </row>
    <row r="232" spans="1:8" hidden="1" x14ac:dyDescent="0.3">
      <c r="A232" s="96">
        <f>A231+1</f>
        <v>4</v>
      </c>
      <c r="B232" s="97"/>
      <c r="C232" s="39"/>
      <c r="D232" s="39"/>
      <c r="E232" s="39">
        <v>0</v>
      </c>
      <c r="F232" s="39">
        <f>D232+E232</f>
        <v>0</v>
      </c>
      <c r="G232" s="39">
        <v>0</v>
      </c>
      <c r="H232" s="39">
        <f>F232*(($H$226)+1)+(IF(G232&lt;101,G232,IF(G232&lt;201,G232/2,IF(G232&lt;=301,G232/3,G232/4))))</f>
        <v>0</v>
      </c>
    </row>
    <row r="233" spans="1:8" hidden="1" x14ac:dyDescent="0.3">
      <c r="A233" s="201" t="s">
        <v>115</v>
      </c>
      <c r="B233" s="201"/>
      <c r="C233" s="201"/>
      <c r="D233" s="201"/>
      <c r="E233" s="201"/>
      <c r="F233" s="201"/>
      <c r="G233" s="201"/>
      <c r="H233" s="201"/>
    </row>
    <row r="234" spans="1:8" hidden="1" x14ac:dyDescent="0.3">
      <c r="A234" s="111">
        <f>LEFT(A233,SUM(LEN(A233)-LEN(SUBSTITUTE(A233,{"0","1","2","3","4","5","6","7","8","9"},""))))*100+1</f>
        <v>201</v>
      </c>
      <c r="B234" s="111"/>
      <c r="C234" s="39"/>
      <c r="D234" s="39"/>
      <c r="E234" s="39">
        <v>0</v>
      </c>
      <c r="F234" s="39">
        <f>D234+E234</f>
        <v>0</v>
      </c>
      <c r="G234" s="39">
        <v>0</v>
      </c>
      <c r="H234" s="39">
        <f>F234*(($H$226)+1)+(IF(G234&lt;101,G234,IF(G234&lt;201,G234/2,IF(G234&lt;=301,G234/3,G234/4))))</f>
        <v>0</v>
      </c>
    </row>
    <row r="235" spans="1:8" hidden="1" x14ac:dyDescent="0.3">
      <c r="A235" s="111">
        <f>A234+1</f>
        <v>202</v>
      </c>
      <c r="B235" s="111"/>
      <c r="C235" s="39"/>
      <c r="D235" s="39"/>
      <c r="E235" s="39">
        <v>0</v>
      </c>
      <c r="F235" s="39">
        <f>D235+E235</f>
        <v>0</v>
      </c>
      <c r="G235" s="39">
        <v>0</v>
      </c>
      <c r="H235" s="39">
        <f>F235*(($H$226)+1)+(IF(G235&lt;101,G235,IF(G235&lt;201,G235/2,IF(G235&lt;=301,G235/3,G235/4))))</f>
        <v>0</v>
      </c>
    </row>
    <row r="236" spans="1:8" hidden="1" x14ac:dyDescent="0.3">
      <c r="A236" s="111">
        <f>A235+1</f>
        <v>203</v>
      </c>
      <c r="B236" s="111"/>
      <c r="C236" s="39"/>
      <c r="D236" s="39"/>
      <c r="E236" s="39">
        <v>0</v>
      </c>
      <c r="F236" s="39">
        <f>D236+E236</f>
        <v>0</v>
      </c>
      <c r="G236" s="39">
        <v>0</v>
      </c>
      <c r="H236" s="39">
        <f>F236*(($H$226)+1)+(IF(G236&lt;101,G236,IF(G236&lt;201,G236/2,IF(G236&lt;=301,G236/3,G236/4))))</f>
        <v>0</v>
      </c>
    </row>
    <row r="237" spans="1:8" hidden="1" x14ac:dyDescent="0.3">
      <c r="A237" s="111">
        <f>A236+1</f>
        <v>204</v>
      </c>
      <c r="B237" s="111"/>
      <c r="C237" s="39"/>
      <c r="D237" s="39"/>
      <c r="E237" s="39">
        <v>0</v>
      </c>
      <c r="F237" s="39">
        <f>D237+E237</f>
        <v>0</v>
      </c>
      <c r="G237" s="39">
        <v>0</v>
      </c>
      <c r="H237" s="39">
        <f>F237*(($H$226)+1)+(IF(G237&lt;101,G237,IF(G237&lt;201,G237/2,IF(G237&lt;=301,G237/3,G237/4))))</f>
        <v>0</v>
      </c>
    </row>
    <row r="238" spans="1:8" hidden="1" x14ac:dyDescent="0.3">
      <c r="A238" s="111">
        <f>A237+1</f>
        <v>205</v>
      </c>
      <c r="B238" s="111"/>
      <c r="C238" s="39"/>
      <c r="D238" s="39"/>
      <c r="E238" s="39">
        <v>0</v>
      </c>
      <c r="F238" s="39">
        <f>D238+E238</f>
        <v>0</v>
      </c>
      <c r="G238" s="39">
        <v>0</v>
      </c>
      <c r="H238" s="39">
        <f>F238*(($H$226)+1)+(IF(G238&lt;101,G238,IF(G238&lt;201,G238/2,IF(G238&lt;=301,G238/3,G238/4))))</f>
        <v>0</v>
      </c>
    </row>
    <row r="239" spans="1:8" hidden="1" x14ac:dyDescent="0.3">
      <c r="A239" s="122" t="s">
        <v>148</v>
      </c>
      <c r="B239" s="123"/>
      <c r="C239" s="123"/>
      <c r="D239" s="123"/>
      <c r="E239" s="123"/>
      <c r="F239" s="123"/>
      <c r="G239" s="123"/>
      <c r="H239" s="124"/>
    </row>
    <row r="240" spans="1:8" hidden="1" x14ac:dyDescent="0.3">
      <c r="A240" s="96" t="str">
        <f ca="1">(SUMPRODUCT(MID(0&amp;(LEFT(A239,SUM(LEN(A239)-LEN(SUBSTITUTE(A239,{"0","1","2"},""))))), LARGE(INDEX(ISNUMBER(--MID((LEFT(A239,SUM(LEN(A239)-LEN(SUBSTITUTE(A239,{"0","1","2"},""))))), ROW(INDIRECT("1:"&amp;LEN((LEFT(A239,SUM(LEN(A239)-LEN(SUBSTITUTE(A239,{"0","1","2"},"")))))))), 1)) * ROW(INDIRECT("1:"&amp;LEN((LEFT(A239,SUM(LEN(A239)-LEN(SUBSTITUTE(A239,{"0","1","2"},"")))))))), 0), ROW(INDIRECT("1:"&amp;LEN((LEFT(A239,SUM(LEN(A239)-LEN(SUBSTITUTE(A239,{"0","1","2"},"")))))))))+1, 1) * 10^ROW(INDIRECT("1:"&amp;LEN((LEFT(A239,SUM(LEN(A239)-LEN(SUBSTITUTE(A239,{"0","1","2"},""))))))))/10))*100+1&amp;""&amp;" ,.., "&amp;""&amp;(SUMPRODUCT(MID(0&amp;(--TRIM(RIGHT(SUBSTITUTE(LEFT(A239,_xlfn.AGGREGATE(16,6,FIND({0,1,2,3,4,5,6,7,8,9},A239,ROW(INDIRECT("1:"&amp;LEN(A239)))),1))," ",REPT(" ",LEN(A239))),LEN(A239)))), LARGE(INDEX(ISNUMBER(--MID((--TRIM(RIGHT(SUBSTITUTE(LEFT(A239,_xlfn.AGGREGATE(16,6,FIND({0,1,2,3,4,5,6,7,8,9},A239,ROW(INDIRECT("1:"&amp;LEN(A239)))),1))," ",REPT(" ",LEN(A239))),LEN(A239)))), ROW(INDIRECT("1:"&amp;LEN((--TRIM(RIGHT(SUBSTITUTE(LEFT(A239,_xlfn.AGGREGATE(16,6,FIND({0,1,2,3,4,5,6,7,8,9},A239,ROW(INDIRECT("1:"&amp;LEN(A239)))),1))," ",REPT(" ",LEN(A239))),LEN(A239))))))), 1)) * ROW(INDIRECT("1:"&amp;LEN((--TRIM(RIGHT(SUBSTITUTE(LEFT(A239,_xlfn.AGGREGATE(16,6,FIND({0,1,2,3,4,5,6,7,8,9},A239,ROW(INDIRECT("1:"&amp;LEN(A239)))),1))," ",REPT(" ",LEN(A239))),LEN(A239))))))), 0), ROW(INDIRECT("1:"&amp;LEN((--TRIM(RIGHT(SUBSTITUTE(LEFT(A239,_xlfn.AGGREGATE(16,6,FIND({0,1,2,3,4,5,6,7,8,9},A239,ROW(INDIRECT("1:"&amp;LEN(A239)))),1))," ",REPT(" ",LEN(A239))),LEN(A239))))))))+1, 1) * 10^ROW(INDIRECT("1:"&amp;LEN((--TRIM(RIGHT(SUBSTITUTE(LEFT(A239,_xlfn.AGGREGATE(16,6,FIND({0,1,2,3,4,5,6,7,8,9},A239,ROW(INDIRECT("1:"&amp;LEN(A239)))),1))," ",REPT(" ",LEN(A239))),LEN(A239)))))))/10))*100+1</f>
        <v>301 ,.., 1501</v>
      </c>
      <c r="B240" s="97"/>
      <c r="C240" s="39"/>
      <c r="D240" s="39"/>
      <c r="E240" s="39">
        <v>0</v>
      </c>
      <c r="F240" s="39">
        <f>D240+E240</f>
        <v>0</v>
      </c>
      <c r="G240" s="39">
        <v>0</v>
      </c>
      <c r="H240" s="39">
        <f>F240*(($H$226)+1)+(IF(G240&lt;101,G240,IF(G240&lt;201,G240/2,IF(G240&lt;=301,G240/3,G240/4))))</f>
        <v>0</v>
      </c>
    </row>
    <row r="241" spans="1:8" hidden="1" x14ac:dyDescent="0.3">
      <c r="A241" s="96" t="str">
        <f ca="1">(SUMPRODUCT(MID(0&amp;(LEFT(A240,SUM(LEN(A240)-LEN(SUBSTITUTE(A240,{"0","1","2"},""))))), LARGE(INDEX(ISNUMBER(--MID((LEFT(A240,SUM(LEN(A240)-LEN(SUBSTITUTE(A240,{"0","1","2"},""))))), ROW(INDIRECT("1:"&amp;LEN((LEFT(A240,SUM(LEN(A240)-LEN(SUBSTITUTE(A240,{"0","1","2"},"")))))))), 1)) * ROW(INDIRECT("1:"&amp;LEN((LEFT(A240,SUM(LEN(A240)-LEN(SUBSTITUTE(A240,{"0","1","2"},"")))))))), 0), ROW(INDIRECT("1:"&amp;LEN((LEFT(A240,SUM(LEN(A240)-LEN(SUBSTITUTE(A240,{"0","1","2"},"")))))))))+1, 1) * 10^ROW(INDIRECT("1:"&amp;LEN((LEFT(A240,SUM(LEN(A240)-LEN(SUBSTITUTE(A240,{"0","1","2"},""))))))))/10))*1+1&amp;""&amp;" ,.., "&amp;""&amp;(SUMPRODUCT(MID(0&amp;(--TRIM(RIGHT(SUBSTITUTE(LEFT(A240,_xlfn.AGGREGATE(16,6,FIND({0,1,2,3,4,5,6,7,8,9},A240,ROW(INDIRECT("1:"&amp;LEN(A240)))),1))," ",REPT(" ",LEN(A240))),LEN(A240)))), LARGE(INDEX(ISNUMBER(--MID((--TRIM(RIGHT(SUBSTITUTE(LEFT(A240,_xlfn.AGGREGATE(16,6,FIND({0,1,2,3,4,5,6,7,8,9},A240,ROW(INDIRECT("1:"&amp;LEN(A240)))),1))," ",REPT(" ",LEN(A240))),LEN(A240)))), ROW(INDIRECT("1:"&amp;LEN((--TRIM(RIGHT(SUBSTITUTE(LEFT(A240,_xlfn.AGGREGATE(16,6,FIND({0,1,2,3,4,5,6,7,8,9},A240,ROW(INDIRECT("1:"&amp;LEN(A240)))),1))," ",REPT(" ",LEN(A240))),LEN(A240))))))), 1)) * ROW(INDIRECT("1:"&amp;LEN((--TRIM(RIGHT(SUBSTITUTE(LEFT(A240,_xlfn.AGGREGATE(16,6,FIND({0,1,2,3,4,5,6,7,8,9},A240,ROW(INDIRECT("1:"&amp;LEN(A240)))),1))," ",REPT(" ",LEN(A240))),LEN(A240))))))), 0), ROW(INDIRECT("1:"&amp;LEN((--TRIM(RIGHT(SUBSTITUTE(LEFT(A240,_xlfn.AGGREGATE(16,6,FIND({0,1,2,3,4,5,6,7,8,9},A240,ROW(INDIRECT("1:"&amp;LEN(A240)))),1))," ",REPT(" ",LEN(A240))),LEN(A240))))))))+1, 1) * 10^ROW(INDIRECT("1:"&amp;LEN((--TRIM(RIGHT(SUBSTITUTE(LEFT(A240,_xlfn.AGGREGATE(16,6,FIND({0,1,2,3,4,5,6,7,8,9},A240,ROW(INDIRECT("1:"&amp;LEN(A240)))),1))," ",REPT(" ",LEN(A240))),LEN(A240)))))))/10))*1+1</f>
        <v>302 ,.., 1502</v>
      </c>
      <c r="B241" s="97"/>
      <c r="C241" s="39"/>
      <c r="D241" s="39"/>
      <c r="E241" s="39">
        <v>0</v>
      </c>
      <c r="F241" s="39">
        <f>D241+E241</f>
        <v>0</v>
      </c>
      <c r="G241" s="39">
        <v>0</v>
      </c>
      <c r="H241" s="39">
        <f>F241*(($H$226)+1)+(IF(G241&lt;101,G241,IF(G241&lt;201,G241/2,IF(G241&lt;=301,G241/3,G241/4))))</f>
        <v>0</v>
      </c>
    </row>
    <row r="242" spans="1:8" hidden="1" x14ac:dyDescent="0.3">
      <c r="A242" s="96" t="str">
        <f ca="1">(SUMPRODUCT(MID(0&amp;(LEFT(A241,SUM(LEN(A241)-LEN(SUBSTITUTE(A241,{"0","1","2"},""))))), LARGE(INDEX(ISNUMBER(--MID((LEFT(A241,SUM(LEN(A241)-LEN(SUBSTITUTE(A241,{"0","1","2"},""))))), ROW(INDIRECT("1:"&amp;LEN((LEFT(A241,SUM(LEN(A241)-LEN(SUBSTITUTE(A241,{"0","1","2"},"")))))))), 1)) * ROW(INDIRECT("1:"&amp;LEN((LEFT(A241,SUM(LEN(A241)-LEN(SUBSTITUTE(A241,{"0","1","2"},"")))))))), 0), ROW(INDIRECT("1:"&amp;LEN((LEFT(A241,SUM(LEN(A241)-LEN(SUBSTITUTE(A241,{"0","1","2"},"")))))))))+1, 1) * 10^ROW(INDIRECT("1:"&amp;LEN((LEFT(A241,SUM(LEN(A241)-LEN(SUBSTITUTE(A241,{"0","1","2"},""))))))))/10))*1+1&amp;""&amp;" ,.., "&amp;""&amp;(SUMPRODUCT(MID(0&amp;(--TRIM(RIGHT(SUBSTITUTE(LEFT(A241,_xlfn.AGGREGATE(16,6,FIND({0,1,2,3,4,5,6,7,8,9},A241,ROW(INDIRECT("1:"&amp;LEN(A241)))),1))," ",REPT(" ",LEN(A241))),LEN(A241)))), LARGE(INDEX(ISNUMBER(--MID((--TRIM(RIGHT(SUBSTITUTE(LEFT(A241,_xlfn.AGGREGATE(16,6,FIND({0,1,2,3,4,5,6,7,8,9},A241,ROW(INDIRECT("1:"&amp;LEN(A241)))),1))," ",REPT(" ",LEN(A241))),LEN(A241)))), ROW(INDIRECT("1:"&amp;LEN((--TRIM(RIGHT(SUBSTITUTE(LEFT(A241,_xlfn.AGGREGATE(16,6,FIND({0,1,2,3,4,5,6,7,8,9},A241,ROW(INDIRECT("1:"&amp;LEN(A241)))),1))," ",REPT(" ",LEN(A241))),LEN(A241))))))), 1)) * ROW(INDIRECT("1:"&amp;LEN((--TRIM(RIGHT(SUBSTITUTE(LEFT(A241,_xlfn.AGGREGATE(16,6,FIND({0,1,2,3,4,5,6,7,8,9},A241,ROW(INDIRECT("1:"&amp;LEN(A241)))),1))," ",REPT(" ",LEN(A241))),LEN(A241))))))), 0), ROW(INDIRECT("1:"&amp;LEN((--TRIM(RIGHT(SUBSTITUTE(LEFT(A241,_xlfn.AGGREGATE(16,6,FIND({0,1,2,3,4,5,6,7,8,9},A241,ROW(INDIRECT("1:"&amp;LEN(A241)))),1))," ",REPT(" ",LEN(A241))),LEN(A241))))))))+1, 1) * 10^ROW(INDIRECT("1:"&amp;LEN((--TRIM(RIGHT(SUBSTITUTE(LEFT(A241,_xlfn.AGGREGATE(16,6,FIND({0,1,2,3,4,5,6,7,8,9},A241,ROW(INDIRECT("1:"&amp;LEN(A241)))),1))," ",REPT(" ",LEN(A241))),LEN(A241)))))))/10))*1+1</f>
        <v>303 ,.., 1503</v>
      </c>
      <c r="B242" s="97"/>
      <c r="C242" s="39"/>
      <c r="D242" s="39"/>
      <c r="E242" s="39">
        <v>0</v>
      </c>
      <c r="F242" s="39">
        <f>D242+E242</f>
        <v>0</v>
      </c>
      <c r="G242" s="39">
        <v>0</v>
      </c>
      <c r="H242" s="39">
        <f>F242*(($H$226)+1)+(IF(G242&lt;101,G242,IF(G242&lt;201,G242/2,IF(G242&lt;=301,G242/3,G242/4))))</f>
        <v>0</v>
      </c>
    </row>
    <row r="243" spans="1:8" hidden="1" x14ac:dyDescent="0.3">
      <c r="A243" s="96" t="str">
        <f ca="1">(SUMPRODUCT(MID(0&amp;(LEFT(A242,SUM(LEN(A242)-LEN(SUBSTITUTE(A242,{"0","1","2"},""))))), LARGE(INDEX(ISNUMBER(--MID((LEFT(A242,SUM(LEN(A242)-LEN(SUBSTITUTE(A242,{"0","1","2"},""))))), ROW(INDIRECT("1:"&amp;LEN((LEFT(A242,SUM(LEN(A242)-LEN(SUBSTITUTE(A242,{"0","1","2"},"")))))))), 1)) * ROW(INDIRECT("1:"&amp;LEN((LEFT(A242,SUM(LEN(A242)-LEN(SUBSTITUTE(A242,{"0","1","2"},"")))))))), 0), ROW(INDIRECT("1:"&amp;LEN((LEFT(A242,SUM(LEN(A242)-LEN(SUBSTITUTE(A242,{"0","1","2"},"")))))))))+1, 1) * 10^ROW(INDIRECT("1:"&amp;LEN((LEFT(A242,SUM(LEN(A242)-LEN(SUBSTITUTE(A242,{"0","1","2"},""))))))))/10))*1+1&amp;""&amp;" ,.., "&amp;""&amp;(SUMPRODUCT(MID(0&amp;(--TRIM(RIGHT(SUBSTITUTE(LEFT(A242,_xlfn.AGGREGATE(16,6,FIND({0,1,2,3,4,5,6,7,8,9},A242,ROW(INDIRECT("1:"&amp;LEN(A242)))),1))," ",REPT(" ",LEN(A242))),LEN(A242)))), LARGE(INDEX(ISNUMBER(--MID((--TRIM(RIGHT(SUBSTITUTE(LEFT(A242,_xlfn.AGGREGATE(16,6,FIND({0,1,2,3,4,5,6,7,8,9},A242,ROW(INDIRECT("1:"&amp;LEN(A242)))),1))," ",REPT(" ",LEN(A242))),LEN(A242)))), ROW(INDIRECT("1:"&amp;LEN((--TRIM(RIGHT(SUBSTITUTE(LEFT(A242,_xlfn.AGGREGATE(16,6,FIND({0,1,2,3,4,5,6,7,8,9},A242,ROW(INDIRECT("1:"&amp;LEN(A242)))),1))," ",REPT(" ",LEN(A242))),LEN(A242))))))), 1)) * ROW(INDIRECT("1:"&amp;LEN((--TRIM(RIGHT(SUBSTITUTE(LEFT(A242,_xlfn.AGGREGATE(16,6,FIND({0,1,2,3,4,5,6,7,8,9},A242,ROW(INDIRECT("1:"&amp;LEN(A242)))),1))," ",REPT(" ",LEN(A242))),LEN(A242))))))), 0), ROW(INDIRECT("1:"&amp;LEN((--TRIM(RIGHT(SUBSTITUTE(LEFT(A242,_xlfn.AGGREGATE(16,6,FIND({0,1,2,3,4,5,6,7,8,9},A242,ROW(INDIRECT("1:"&amp;LEN(A242)))),1))," ",REPT(" ",LEN(A242))),LEN(A242))))))))+1, 1) * 10^ROW(INDIRECT("1:"&amp;LEN((--TRIM(RIGHT(SUBSTITUTE(LEFT(A242,_xlfn.AGGREGATE(16,6,FIND({0,1,2,3,4,5,6,7,8,9},A242,ROW(INDIRECT("1:"&amp;LEN(A242)))),1))," ",REPT(" ",LEN(A242))),LEN(A242)))))))/10))*1+1</f>
        <v>304 ,.., 1504</v>
      </c>
      <c r="B243" s="97"/>
      <c r="C243" s="39"/>
      <c r="D243" s="39"/>
      <c r="E243" s="39">
        <v>0</v>
      </c>
      <c r="F243" s="39">
        <f>D243+E243</f>
        <v>0</v>
      </c>
      <c r="G243" s="39">
        <v>0</v>
      </c>
      <c r="H243" s="39">
        <f>F243*(($H$226)+1)+(IF(G243&lt;101,G243,IF(G243&lt;201,G243/2,IF(G243&lt;=301,G243/3,G243/4))))</f>
        <v>0</v>
      </c>
    </row>
    <row r="244" spans="1:8" hidden="1" x14ac:dyDescent="0.3">
      <c r="A244" s="96" t="str">
        <f ca="1">(SUMPRODUCT(MID(0&amp;(LEFT(A243,SUM(LEN(A243)-LEN(SUBSTITUTE(A243,{"0","1","2"},""))))), LARGE(INDEX(ISNUMBER(--MID((LEFT(A243,SUM(LEN(A243)-LEN(SUBSTITUTE(A243,{"0","1","2"},""))))), ROW(INDIRECT("1:"&amp;LEN((LEFT(A243,SUM(LEN(A243)-LEN(SUBSTITUTE(A243,{"0","1","2"},"")))))))), 1)) * ROW(INDIRECT("1:"&amp;LEN((LEFT(A243,SUM(LEN(A243)-LEN(SUBSTITUTE(A243,{"0","1","2"},"")))))))), 0), ROW(INDIRECT("1:"&amp;LEN((LEFT(A243,SUM(LEN(A243)-LEN(SUBSTITUTE(A243,{"0","1","2"},"")))))))))+1, 1) * 10^ROW(INDIRECT("1:"&amp;LEN((LEFT(A243,SUM(LEN(A243)-LEN(SUBSTITUTE(A243,{"0","1","2"},""))))))))/10))*1+1&amp;""&amp;" ,.., "&amp;""&amp;(SUMPRODUCT(MID(0&amp;(--TRIM(RIGHT(SUBSTITUTE(LEFT(A243,_xlfn.AGGREGATE(16,6,FIND({0,1,2,3,4,5,6,7,8,9},A243,ROW(INDIRECT("1:"&amp;LEN(A243)))),1))," ",REPT(" ",LEN(A243))),LEN(A243)))), LARGE(INDEX(ISNUMBER(--MID((--TRIM(RIGHT(SUBSTITUTE(LEFT(A243,_xlfn.AGGREGATE(16,6,FIND({0,1,2,3,4,5,6,7,8,9},A243,ROW(INDIRECT("1:"&amp;LEN(A243)))),1))," ",REPT(" ",LEN(A243))),LEN(A243)))), ROW(INDIRECT("1:"&amp;LEN((--TRIM(RIGHT(SUBSTITUTE(LEFT(A243,_xlfn.AGGREGATE(16,6,FIND({0,1,2,3,4,5,6,7,8,9},A243,ROW(INDIRECT("1:"&amp;LEN(A243)))),1))," ",REPT(" ",LEN(A243))),LEN(A243))))))), 1)) * ROW(INDIRECT("1:"&amp;LEN((--TRIM(RIGHT(SUBSTITUTE(LEFT(A243,_xlfn.AGGREGATE(16,6,FIND({0,1,2,3,4,5,6,7,8,9},A243,ROW(INDIRECT("1:"&amp;LEN(A243)))),1))," ",REPT(" ",LEN(A243))),LEN(A243))))))), 0), ROW(INDIRECT("1:"&amp;LEN((--TRIM(RIGHT(SUBSTITUTE(LEFT(A243,_xlfn.AGGREGATE(16,6,FIND({0,1,2,3,4,5,6,7,8,9},A243,ROW(INDIRECT("1:"&amp;LEN(A243)))),1))," ",REPT(" ",LEN(A243))),LEN(A243))))))))+1, 1) * 10^ROW(INDIRECT("1:"&amp;LEN((--TRIM(RIGHT(SUBSTITUTE(LEFT(A243,_xlfn.AGGREGATE(16,6,FIND({0,1,2,3,4,5,6,7,8,9},A243,ROW(INDIRECT("1:"&amp;LEN(A243)))),1))," ",REPT(" ",LEN(A243))),LEN(A243)))))))/10))*1+1</f>
        <v>305 ,.., 1505</v>
      </c>
      <c r="B244" s="97"/>
      <c r="C244" s="39"/>
      <c r="D244" s="39"/>
      <c r="E244" s="39">
        <v>0</v>
      </c>
      <c r="F244" s="39">
        <f>D244+E244</f>
        <v>0</v>
      </c>
      <c r="G244" s="39">
        <v>0</v>
      </c>
      <c r="H244" s="39">
        <f>F244*(($H$226)+1)+(IF(G244&lt;101,G244,IF(G244&lt;201,G244/2,IF(G244&lt;=301,G244/3,G244/4))))</f>
        <v>0</v>
      </c>
    </row>
    <row r="245" spans="1:8" hidden="1" x14ac:dyDescent="0.3">
      <c r="A245" s="122" t="s">
        <v>142</v>
      </c>
      <c r="B245" s="123"/>
      <c r="C245" s="123"/>
      <c r="D245" s="123"/>
      <c r="E245" s="123"/>
      <c r="F245" s="123"/>
      <c r="G245" s="123"/>
      <c r="H245" s="124"/>
    </row>
    <row r="246" spans="1:8" hidden="1" x14ac:dyDescent="0.3">
      <c r="A246" s="96" t="str">
        <f ca="1">(SUMPRODUCT(MID(0&amp;(LEFT(A245,SUM(LEN(A245)-LEN(SUBSTITUTE(A245,{"0","1","2"},""))))), LARGE(INDEX(ISNUMBER(--MID((LEFT(A245,SUM(LEN(A245)-LEN(SUBSTITUTE(A245,{"0","1","2"},""))))), ROW(INDIRECT("1:"&amp;LEN((LEFT(A245,SUM(LEN(A245)-LEN(SUBSTITUTE(A245,{"0","1","2"},"")))))))), 1)) * ROW(INDIRECT("1:"&amp;LEN((LEFT(A245,SUM(LEN(A245)-LEN(SUBSTITUTE(A245,{"0","1","2"},"")))))))), 0), ROW(INDIRECT("1:"&amp;LEN((LEFT(A245,SUM(LEN(A245)-LEN(SUBSTITUTE(A245,{"0","1","2"},"")))))))))+1, 1) * 10^ROW(INDIRECT("1:"&amp;LEN((LEFT(A245,SUM(LEN(A245)-LEN(SUBSTITUTE(A245,{"0","1","2"},""))))))))/10))*100+1&amp;""&amp;" to "&amp;""&amp;(SUMPRODUCT(MID(0&amp;(--TRIM(RIGHT(SUBSTITUTE(LEFT(A245,_xlfn.AGGREGATE(16,6,FIND({0,1,2,3,4,5,6,7,8,9},A245,ROW(INDIRECT("1:"&amp;LEN(A245)))),1))," ",REPT(" ",LEN(A245))),LEN(A245)))), LARGE(INDEX(ISNUMBER(--MID((--TRIM(RIGHT(SUBSTITUTE(LEFT(A245,_xlfn.AGGREGATE(16,6,FIND({0,1,2,3,4,5,6,7,8,9},A245,ROW(INDIRECT("1:"&amp;LEN(A245)))),1))," ",REPT(" ",LEN(A245))),LEN(A245)))), ROW(INDIRECT("1:"&amp;LEN((--TRIM(RIGHT(SUBSTITUTE(LEFT(A245,_xlfn.AGGREGATE(16,6,FIND({0,1,2,3,4,5,6,7,8,9},A245,ROW(INDIRECT("1:"&amp;LEN(A245)))),1))," ",REPT(" ",LEN(A245))),LEN(A245))))))), 1)) * ROW(INDIRECT("1:"&amp;LEN((--TRIM(RIGHT(SUBSTITUTE(LEFT(A245,_xlfn.AGGREGATE(16,6,FIND({0,1,2,3,4,5,6,7,8,9},A245,ROW(INDIRECT("1:"&amp;LEN(A245)))),1))," ",REPT(" ",LEN(A245))),LEN(A245))))))), 0), ROW(INDIRECT("1:"&amp;LEN((--TRIM(RIGHT(SUBSTITUTE(LEFT(A245,_xlfn.AGGREGATE(16,6,FIND({0,1,2,3,4,5,6,7,8,9},A245,ROW(INDIRECT("1:"&amp;LEN(A245)))),1))," ",REPT(" ",LEN(A245))),LEN(A245))))))))+1, 1) * 10^ROW(INDIRECT("1:"&amp;LEN((--TRIM(RIGHT(SUBSTITUTE(LEFT(A245,_xlfn.AGGREGATE(16,6,FIND({0,1,2,3,4,5,6,7,8,9},A245,ROW(INDIRECT("1:"&amp;LEN(A245)))),1))," ",REPT(" ",LEN(A245))),LEN(A245)))))))/10))*100+1</f>
        <v>201 to 501</v>
      </c>
      <c r="B246" s="97"/>
      <c r="C246" s="39"/>
      <c r="D246" s="39"/>
      <c r="E246" s="39">
        <v>0</v>
      </c>
      <c r="F246" s="39">
        <f>D246+E246</f>
        <v>0</v>
      </c>
      <c r="G246" s="39">
        <v>0</v>
      </c>
      <c r="H246" s="39">
        <f>F246*(($H$226)+1)+(IF(G246&lt;101,G246,IF(G246&lt;201,G246/2,IF(G246&lt;=301,G246/3,G246/4))))</f>
        <v>0</v>
      </c>
    </row>
    <row r="247" spans="1:8" hidden="1" x14ac:dyDescent="0.3">
      <c r="A247" s="96" t="str">
        <f ca="1">(SUMPRODUCT(MID(0&amp;(LEFT(A246,SUM(LEN(A246)-LEN(SUBSTITUTE(A246,{"0","1","2"},""))))), LARGE(INDEX(ISNUMBER(--MID((LEFT(A246,SUM(LEN(A246)-LEN(SUBSTITUTE(A246,{"0","1","2"},""))))), ROW(INDIRECT("1:"&amp;LEN((LEFT(A246,SUM(LEN(A246)-LEN(SUBSTITUTE(A246,{"0","1","2"},"")))))))), 1)) * ROW(INDIRECT("1:"&amp;LEN((LEFT(A246,SUM(LEN(A246)-LEN(SUBSTITUTE(A246,{"0","1","2"},"")))))))), 0), ROW(INDIRECT("1:"&amp;LEN((LEFT(A246,SUM(LEN(A246)-LEN(SUBSTITUTE(A246,{"0","1","2"},"")))))))))+1, 1) * 10^ROW(INDIRECT("1:"&amp;LEN((LEFT(A246,SUM(LEN(A246)-LEN(SUBSTITUTE(A246,{"0","1","2"},""))))))))/10))*1+1&amp;""&amp;" to "&amp;""&amp;(SUMPRODUCT(MID(0&amp;(--TRIM(RIGHT(SUBSTITUTE(LEFT(A246,_xlfn.AGGREGATE(16,6,FIND({0,1,2,3,4,5,6,7,8,9},A246,ROW(INDIRECT("1:"&amp;LEN(A246)))),1))," ",REPT(" ",LEN(A246))),LEN(A246)))), LARGE(INDEX(ISNUMBER(--MID((--TRIM(RIGHT(SUBSTITUTE(LEFT(A246,_xlfn.AGGREGATE(16,6,FIND({0,1,2,3,4,5,6,7,8,9},A246,ROW(INDIRECT("1:"&amp;LEN(A246)))),1))," ",REPT(" ",LEN(A246))),LEN(A246)))), ROW(INDIRECT("1:"&amp;LEN((--TRIM(RIGHT(SUBSTITUTE(LEFT(A246,_xlfn.AGGREGATE(16,6,FIND({0,1,2,3,4,5,6,7,8,9},A246,ROW(INDIRECT("1:"&amp;LEN(A246)))),1))," ",REPT(" ",LEN(A246))),LEN(A246))))))), 1)) * ROW(INDIRECT("1:"&amp;LEN((--TRIM(RIGHT(SUBSTITUTE(LEFT(A246,_xlfn.AGGREGATE(16,6,FIND({0,1,2,3,4,5,6,7,8,9},A246,ROW(INDIRECT("1:"&amp;LEN(A246)))),1))," ",REPT(" ",LEN(A246))),LEN(A246))))))), 0), ROW(INDIRECT("1:"&amp;LEN((--TRIM(RIGHT(SUBSTITUTE(LEFT(A246,_xlfn.AGGREGATE(16,6,FIND({0,1,2,3,4,5,6,7,8,9},A246,ROW(INDIRECT("1:"&amp;LEN(A246)))),1))," ",REPT(" ",LEN(A246))),LEN(A246))))))))+1, 1) * 10^ROW(INDIRECT("1:"&amp;LEN((--TRIM(RIGHT(SUBSTITUTE(LEFT(A246,_xlfn.AGGREGATE(16,6,FIND({0,1,2,3,4,5,6,7,8,9},A246,ROW(INDIRECT("1:"&amp;LEN(A246)))),1))," ",REPT(" ",LEN(A246))),LEN(A246)))))))/10))*1+1</f>
        <v>202 to 502</v>
      </c>
      <c r="B247" s="97"/>
      <c r="C247" s="39"/>
      <c r="D247" s="39"/>
      <c r="E247" s="39">
        <v>0</v>
      </c>
      <c r="F247" s="39">
        <f>D247+E247</f>
        <v>0</v>
      </c>
      <c r="G247" s="39">
        <v>0</v>
      </c>
      <c r="H247" s="39">
        <f>F247*(($H$226)+1)+(IF(G247&lt;101,G247,IF(G247&lt;201,G247/2,IF(G247&lt;=301,G247/3,G247/4))))</f>
        <v>0</v>
      </c>
    </row>
    <row r="248" spans="1:8" hidden="1" x14ac:dyDescent="0.3">
      <c r="A248" s="96" t="str">
        <f ca="1">(SUMPRODUCT(MID(0&amp;(LEFT(A247,SUM(LEN(A247)-LEN(SUBSTITUTE(A247,{"0","1","2"},""))))), LARGE(INDEX(ISNUMBER(--MID((LEFT(A247,SUM(LEN(A247)-LEN(SUBSTITUTE(A247,{"0","1","2"},""))))), ROW(INDIRECT("1:"&amp;LEN((LEFT(A247,SUM(LEN(A247)-LEN(SUBSTITUTE(A247,{"0","1","2"},"")))))))), 1)) * ROW(INDIRECT("1:"&amp;LEN((LEFT(A247,SUM(LEN(A247)-LEN(SUBSTITUTE(A247,{"0","1","2"},"")))))))), 0), ROW(INDIRECT("1:"&amp;LEN((LEFT(A247,SUM(LEN(A247)-LEN(SUBSTITUTE(A247,{"0","1","2"},"")))))))))+1, 1) * 10^ROW(INDIRECT("1:"&amp;LEN((LEFT(A247,SUM(LEN(A247)-LEN(SUBSTITUTE(A247,{"0","1","2"},""))))))))/10))*1+1&amp;""&amp;" to "&amp;""&amp;(SUMPRODUCT(MID(0&amp;(--TRIM(RIGHT(SUBSTITUTE(LEFT(A247,_xlfn.AGGREGATE(16,6,FIND({0,1,2,3,4,5,6,7,8,9},A247,ROW(INDIRECT("1:"&amp;LEN(A247)))),1))," ",REPT(" ",LEN(A247))),LEN(A247)))), LARGE(INDEX(ISNUMBER(--MID((--TRIM(RIGHT(SUBSTITUTE(LEFT(A247,_xlfn.AGGREGATE(16,6,FIND({0,1,2,3,4,5,6,7,8,9},A247,ROW(INDIRECT("1:"&amp;LEN(A247)))),1))," ",REPT(" ",LEN(A247))),LEN(A247)))), ROW(INDIRECT("1:"&amp;LEN((--TRIM(RIGHT(SUBSTITUTE(LEFT(A247,_xlfn.AGGREGATE(16,6,FIND({0,1,2,3,4,5,6,7,8,9},A247,ROW(INDIRECT("1:"&amp;LEN(A247)))),1))," ",REPT(" ",LEN(A247))),LEN(A247))))))), 1)) * ROW(INDIRECT("1:"&amp;LEN((--TRIM(RIGHT(SUBSTITUTE(LEFT(A247,_xlfn.AGGREGATE(16,6,FIND({0,1,2,3,4,5,6,7,8,9},A247,ROW(INDIRECT("1:"&amp;LEN(A247)))),1))," ",REPT(" ",LEN(A247))),LEN(A247))))))), 0), ROW(INDIRECT("1:"&amp;LEN((--TRIM(RIGHT(SUBSTITUTE(LEFT(A247,_xlfn.AGGREGATE(16,6,FIND({0,1,2,3,4,5,6,7,8,9},A247,ROW(INDIRECT("1:"&amp;LEN(A247)))),1))," ",REPT(" ",LEN(A247))),LEN(A247))))))))+1, 1) * 10^ROW(INDIRECT("1:"&amp;LEN((--TRIM(RIGHT(SUBSTITUTE(LEFT(A247,_xlfn.AGGREGATE(16,6,FIND({0,1,2,3,4,5,6,7,8,9},A247,ROW(INDIRECT("1:"&amp;LEN(A247)))),1))," ",REPT(" ",LEN(A247))),LEN(A247)))))))/10))*1+1</f>
        <v>203 to 503</v>
      </c>
      <c r="B248" s="97"/>
      <c r="C248" s="39"/>
      <c r="D248" s="39"/>
      <c r="E248" s="39">
        <v>0</v>
      </c>
      <c r="F248" s="39">
        <f>D248+E248</f>
        <v>0</v>
      </c>
      <c r="G248" s="39">
        <v>0</v>
      </c>
      <c r="H248" s="39">
        <f>F248*(($H$226)+1)+(IF(G248&lt;101,G248,IF(G248&lt;201,G248/2,IF(G248&lt;=301,G248/3,G248/4))))</f>
        <v>0</v>
      </c>
    </row>
    <row r="249" spans="1:8" ht="31.5" hidden="1" customHeight="1" x14ac:dyDescent="0.3">
      <c r="A249" s="96" t="str">
        <f ca="1">(SUMPRODUCT(MID(0&amp;(LEFT(A248,SUM(LEN(A248)-LEN(SUBSTITUTE(A248,{"0","1","2"},""))))), LARGE(INDEX(ISNUMBER(--MID((LEFT(A248,SUM(LEN(A248)-LEN(SUBSTITUTE(A248,{"0","1","2"},""))))), ROW(INDIRECT("1:"&amp;LEN((LEFT(A248,SUM(LEN(A248)-LEN(SUBSTITUTE(A248,{"0","1","2"},"")))))))), 1)) * ROW(INDIRECT("1:"&amp;LEN((LEFT(A248,SUM(LEN(A248)-LEN(SUBSTITUTE(A248,{"0","1","2"},"")))))))), 0), ROW(INDIRECT("1:"&amp;LEN((LEFT(A248,SUM(LEN(A248)-LEN(SUBSTITUTE(A248,{"0","1","2"},"")))))))))+1, 1) * 10^ROW(INDIRECT("1:"&amp;LEN((LEFT(A248,SUM(LEN(A248)-LEN(SUBSTITUTE(A248,{"0","1","2"},""))))))))/10))*1+1&amp;""&amp;" to "&amp;""&amp;(SUMPRODUCT(MID(0&amp;(--TRIM(RIGHT(SUBSTITUTE(LEFT(A248,_xlfn.AGGREGATE(16,6,FIND({0,1,2,3,4,5,6,7,8,9},A248,ROW(INDIRECT("1:"&amp;LEN(A248)))),1))," ",REPT(" ",LEN(A248))),LEN(A248)))), LARGE(INDEX(ISNUMBER(--MID((--TRIM(RIGHT(SUBSTITUTE(LEFT(A248,_xlfn.AGGREGATE(16,6,FIND({0,1,2,3,4,5,6,7,8,9},A248,ROW(INDIRECT("1:"&amp;LEN(A248)))),1))," ",REPT(" ",LEN(A248))),LEN(A248)))), ROW(INDIRECT("1:"&amp;LEN((--TRIM(RIGHT(SUBSTITUTE(LEFT(A248,_xlfn.AGGREGATE(16,6,FIND({0,1,2,3,4,5,6,7,8,9},A248,ROW(INDIRECT("1:"&amp;LEN(A248)))),1))," ",REPT(" ",LEN(A248))),LEN(A248))))))), 1)) * ROW(INDIRECT("1:"&amp;LEN((--TRIM(RIGHT(SUBSTITUTE(LEFT(A248,_xlfn.AGGREGATE(16,6,FIND({0,1,2,3,4,5,6,7,8,9},A248,ROW(INDIRECT("1:"&amp;LEN(A248)))),1))," ",REPT(" ",LEN(A248))),LEN(A248))))))), 0), ROW(INDIRECT("1:"&amp;LEN((--TRIM(RIGHT(SUBSTITUTE(LEFT(A248,_xlfn.AGGREGATE(16,6,FIND({0,1,2,3,4,5,6,7,8,9},A248,ROW(INDIRECT("1:"&amp;LEN(A248)))),1))," ",REPT(" ",LEN(A248))),LEN(A248))))))))+1, 1) * 10^ROW(INDIRECT("1:"&amp;LEN((--TRIM(RIGHT(SUBSTITUTE(LEFT(A248,_xlfn.AGGREGATE(16,6,FIND({0,1,2,3,4,5,6,7,8,9},A248,ROW(INDIRECT("1:"&amp;LEN(A248)))),1))," ",REPT(" ",LEN(A248))),LEN(A248)))))))/10))*1+1</f>
        <v>204 to 504</v>
      </c>
      <c r="B249" s="97"/>
      <c r="C249" s="39"/>
      <c r="D249" s="39"/>
      <c r="E249" s="39">
        <v>0</v>
      </c>
      <c r="F249" s="39">
        <f>D249+E249</f>
        <v>0</v>
      </c>
      <c r="G249" s="39">
        <v>0</v>
      </c>
      <c r="H249" s="39">
        <f>F249*(($H$226)+1)+(IF(G249&lt;101,G249,IF(G249&lt;201,G249/2,IF(G249&lt;=301,G249/3,G249/4))))</f>
        <v>0</v>
      </c>
    </row>
    <row r="250" spans="1:8" hidden="1" x14ac:dyDescent="0.3">
      <c r="A250" s="96" t="str">
        <f ca="1">(SUMPRODUCT(MID(0&amp;(LEFT(A249,SUM(LEN(A249)-LEN(SUBSTITUTE(A249,{"0","1","2"},""))))), LARGE(INDEX(ISNUMBER(--MID((LEFT(A249,SUM(LEN(A249)-LEN(SUBSTITUTE(A249,{"0","1","2"},""))))), ROW(INDIRECT("1:"&amp;LEN((LEFT(A249,SUM(LEN(A249)-LEN(SUBSTITUTE(A249,{"0","1","2"},"")))))))), 1)) * ROW(INDIRECT("1:"&amp;LEN((LEFT(A249,SUM(LEN(A249)-LEN(SUBSTITUTE(A249,{"0","1","2"},"")))))))), 0), ROW(INDIRECT("1:"&amp;LEN((LEFT(A249,SUM(LEN(A249)-LEN(SUBSTITUTE(A249,{"0","1","2"},"")))))))))+1, 1) * 10^ROW(INDIRECT("1:"&amp;LEN((LEFT(A249,SUM(LEN(A249)-LEN(SUBSTITUTE(A249,{"0","1","2"},""))))))))/10))*1+1&amp;""&amp;" to "&amp;""&amp;(SUMPRODUCT(MID(0&amp;(--TRIM(RIGHT(SUBSTITUTE(LEFT(A249,_xlfn.AGGREGATE(16,6,FIND({0,1,2,3,4,5,6,7,8,9},A249,ROW(INDIRECT("1:"&amp;LEN(A249)))),1))," ",REPT(" ",LEN(A249))),LEN(A249)))), LARGE(INDEX(ISNUMBER(--MID((--TRIM(RIGHT(SUBSTITUTE(LEFT(A249,_xlfn.AGGREGATE(16,6,FIND({0,1,2,3,4,5,6,7,8,9},A249,ROW(INDIRECT("1:"&amp;LEN(A249)))),1))," ",REPT(" ",LEN(A249))),LEN(A249)))), ROW(INDIRECT("1:"&amp;LEN((--TRIM(RIGHT(SUBSTITUTE(LEFT(A249,_xlfn.AGGREGATE(16,6,FIND({0,1,2,3,4,5,6,7,8,9},A249,ROW(INDIRECT("1:"&amp;LEN(A249)))),1))," ",REPT(" ",LEN(A249))),LEN(A249))))))), 1)) * ROW(INDIRECT("1:"&amp;LEN((--TRIM(RIGHT(SUBSTITUTE(LEFT(A249,_xlfn.AGGREGATE(16,6,FIND({0,1,2,3,4,5,6,7,8,9},A249,ROW(INDIRECT("1:"&amp;LEN(A249)))),1))," ",REPT(" ",LEN(A249))),LEN(A249))))))), 0), ROW(INDIRECT("1:"&amp;LEN((--TRIM(RIGHT(SUBSTITUTE(LEFT(A249,_xlfn.AGGREGATE(16,6,FIND({0,1,2,3,4,5,6,7,8,9},A249,ROW(INDIRECT("1:"&amp;LEN(A249)))),1))," ",REPT(" ",LEN(A249))),LEN(A249))))))))+1, 1) * 10^ROW(INDIRECT("1:"&amp;LEN((--TRIM(RIGHT(SUBSTITUTE(LEFT(A249,_xlfn.AGGREGATE(16,6,FIND({0,1,2,3,4,5,6,7,8,9},A249,ROW(INDIRECT("1:"&amp;LEN(A249)))),1))," ",REPT(" ",LEN(A249))),LEN(A249)))))))/10))*1+1</f>
        <v>205 to 505</v>
      </c>
      <c r="B250" s="97"/>
      <c r="C250" s="39"/>
      <c r="D250" s="39"/>
      <c r="E250" s="39">
        <v>0</v>
      </c>
      <c r="F250" s="39">
        <f>D250+E250</f>
        <v>0</v>
      </c>
      <c r="G250" s="39">
        <v>0</v>
      </c>
      <c r="H250" s="39">
        <f>F250*(($H$226)+1)+(IF(G250&lt;101,G250,IF(G250&lt;201,G250/2,IF(G250&lt;=301,G250/3,G250/4))))</f>
        <v>0</v>
      </c>
    </row>
    <row r="251" spans="1:8" hidden="1" x14ac:dyDescent="0.3">
      <c r="A251" s="122" t="s">
        <v>143</v>
      </c>
      <c r="B251" s="123"/>
      <c r="C251" s="123"/>
      <c r="D251" s="123"/>
      <c r="E251" s="123"/>
      <c r="F251" s="123"/>
      <c r="G251" s="123"/>
      <c r="H251" s="124"/>
    </row>
    <row r="252" spans="1:8" ht="33.75" hidden="1" customHeight="1" x14ac:dyDescent="0.3">
      <c r="A252" s="96" t="str">
        <f ca="1">(SUMPRODUCT(MID(0&amp;(LEFT(A251,SUM(LEN(A251)-LEN(SUBSTITUTE(A251,{"0","1","2"},""))))), LARGE(INDEX(ISNUMBER(--MID((LEFT(A251,SUM(LEN(A251)-LEN(SUBSTITUTE(A251,{"0","1","2"},""))))), ROW(INDIRECT("1:"&amp;LEN((LEFT(A251,SUM(LEN(A251)-LEN(SUBSTITUTE(A251,{"0","1","2"},"")))))))), 1)) * ROW(INDIRECT("1:"&amp;LEN((LEFT(A251,SUM(LEN(A251)-LEN(SUBSTITUTE(A251,{"0","1","2"},"")))))))), 0), ROW(INDIRECT("1:"&amp;LEN((LEFT(A251,SUM(LEN(A251)-LEN(SUBSTITUTE(A251,{"0","1","2"},"")))))))))+1, 1) * 10^ROW(INDIRECT("1:"&amp;LEN((LEFT(A251,SUM(LEN(A251)-LEN(SUBSTITUTE(A251,{"0","1","2"},""))))))))/10))*100+1&amp;""&amp;" &amp; "&amp;""&amp;(SUMPRODUCT(MID(0&amp;(--TRIM(RIGHT(SUBSTITUTE(LEFT(A251,_xlfn.AGGREGATE(16,6,FIND({0,1,2,3,4,5,6,7,8,9},A251,ROW(INDIRECT("1:"&amp;LEN(A251)))),1))," ",REPT(" ",LEN(A251))),LEN(A251)))), LARGE(INDEX(ISNUMBER(--MID((--TRIM(RIGHT(SUBSTITUTE(LEFT(A251,_xlfn.AGGREGATE(16,6,FIND({0,1,2,3,4,5,6,7,8,9},A251,ROW(INDIRECT("1:"&amp;LEN(A251)))),1))," ",REPT(" ",LEN(A251))),LEN(A251)))), ROW(INDIRECT("1:"&amp;LEN((--TRIM(RIGHT(SUBSTITUTE(LEFT(A251,_xlfn.AGGREGATE(16,6,FIND({0,1,2,3,4,5,6,7,8,9},A251,ROW(INDIRECT("1:"&amp;LEN(A251)))),1))," ",REPT(" ",LEN(A251))),LEN(A251))))))), 1)) * ROW(INDIRECT("1:"&amp;LEN((--TRIM(RIGHT(SUBSTITUTE(LEFT(A251,_xlfn.AGGREGATE(16,6,FIND({0,1,2,3,4,5,6,7,8,9},A251,ROW(INDIRECT("1:"&amp;LEN(A251)))),1))," ",REPT(" ",LEN(A251))),LEN(A251))))))), 0), ROW(INDIRECT("1:"&amp;LEN((--TRIM(RIGHT(SUBSTITUTE(LEFT(A251,_xlfn.AGGREGATE(16,6,FIND({0,1,2,3,4,5,6,7,8,9},A251,ROW(INDIRECT("1:"&amp;LEN(A251)))),1))," ",REPT(" ",LEN(A251))),LEN(A251))))))))+1, 1) * 10^ROW(INDIRECT("1:"&amp;LEN((--TRIM(RIGHT(SUBSTITUTE(LEFT(A251,_xlfn.AGGREGATE(16,6,FIND({0,1,2,3,4,5,6,7,8,9},A251,ROW(INDIRECT("1:"&amp;LEN(A251)))),1))," ",REPT(" ",LEN(A251))),LEN(A251)))))))/10))*100+1</f>
        <v>201 &amp; 501</v>
      </c>
      <c r="B252" s="97"/>
      <c r="C252" s="39"/>
      <c r="D252" s="39"/>
      <c r="E252" s="39">
        <v>0</v>
      </c>
      <c r="F252" s="39">
        <f>D252+E252</f>
        <v>0</v>
      </c>
      <c r="G252" s="39">
        <v>0</v>
      </c>
      <c r="H252" s="39">
        <f>F252*(($H$226)+1)+(IF(G252&lt;101,G252,IF(G252&lt;201,G252/2,IF(G252&lt;=301,G252/3,G252/4))))</f>
        <v>0</v>
      </c>
    </row>
    <row r="253" spans="1:8" hidden="1" x14ac:dyDescent="0.3">
      <c r="A253" s="96" t="str">
        <f ca="1">(SUMPRODUCT(MID(0&amp;(LEFT(A252,SUM(LEN(A252)-LEN(SUBSTITUTE(A252,{"0","1","2"},""))))), LARGE(INDEX(ISNUMBER(--MID((LEFT(A252,SUM(LEN(A252)-LEN(SUBSTITUTE(A252,{"0","1","2"},""))))), ROW(INDIRECT("1:"&amp;LEN((LEFT(A252,SUM(LEN(A252)-LEN(SUBSTITUTE(A252,{"0","1","2"},"")))))))), 1)) * ROW(INDIRECT("1:"&amp;LEN((LEFT(A252,SUM(LEN(A252)-LEN(SUBSTITUTE(A252,{"0","1","2"},"")))))))), 0), ROW(INDIRECT("1:"&amp;LEN((LEFT(A252,SUM(LEN(A252)-LEN(SUBSTITUTE(A252,{"0","1","2"},"")))))))))+1, 1) * 10^ROW(INDIRECT("1:"&amp;LEN((LEFT(A252,SUM(LEN(A252)-LEN(SUBSTITUTE(A252,{"0","1","2"},""))))))))/10))*1+1&amp;""&amp;" &amp; "&amp;""&amp;(SUMPRODUCT(MID(0&amp;(--TRIM(RIGHT(SUBSTITUTE(LEFT(A252,_xlfn.AGGREGATE(16,6,FIND({0,1,2,3,4,5,6,7,8,9},A252,ROW(INDIRECT("1:"&amp;LEN(A252)))),1))," ",REPT(" ",LEN(A252))),LEN(A252)))), LARGE(INDEX(ISNUMBER(--MID((--TRIM(RIGHT(SUBSTITUTE(LEFT(A252,_xlfn.AGGREGATE(16,6,FIND({0,1,2,3,4,5,6,7,8,9},A252,ROW(INDIRECT("1:"&amp;LEN(A252)))),1))," ",REPT(" ",LEN(A252))),LEN(A252)))), ROW(INDIRECT("1:"&amp;LEN((--TRIM(RIGHT(SUBSTITUTE(LEFT(A252,_xlfn.AGGREGATE(16,6,FIND({0,1,2,3,4,5,6,7,8,9},A252,ROW(INDIRECT("1:"&amp;LEN(A252)))),1))," ",REPT(" ",LEN(A252))),LEN(A252))))))), 1)) * ROW(INDIRECT("1:"&amp;LEN((--TRIM(RIGHT(SUBSTITUTE(LEFT(A252,_xlfn.AGGREGATE(16,6,FIND({0,1,2,3,4,5,6,7,8,9},A252,ROW(INDIRECT("1:"&amp;LEN(A252)))),1))," ",REPT(" ",LEN(A252))),LEN(A252))))))), 0), ROW(INDIRECT("1:"&amp;LEN((--TRIM(RIGHT(SUBSTITUTE(LEFT(A252,_xlfn.AGGREGATE(16,6,FIND({0,1,2,3,4,5,6,7,8,9},A252,ROW(INDIRECT("1:"&amp;LEN(A252)))),1))," ",REPT(" ",LEN(A252))),LEN(A252))))))))+1, 1) * 10^ROW(INDIRECT("1:"&amp;LEN((--TRIM(RIGHT(SUBSTITUTE(LEFT(A252,_xlfn.AGGREGATE(16,6,FIND({0,1,2,3,4,5,6,7,8,9},A252,ROW(INDIRECT("1:"&amp;LEN(A252)))),1))," ",REPT(" ",LEN(A252))),LEN(A252)))))))/10))*1+1</f>
        <v>202 &amp; 502</v>
      </c>
      <c r="B253" s="97"/>
      <c r="C253" s="39"/>
      <c r="D253" s="39"/>
      <c r="E253" s="39">
        <v>0</v>
      </c>
      <c r="F253" s="39">
        <f>D253+E253</f>
        <v>0</v>
      </c>
      <c r="G253" s="39">
        <v>0</v>
      </c>
      <c r="H253" s="39">
        <f>F253*(($H$226)+1)+(IF(G253&lt;101,G253,IF(G253&lt;201,G253/2,IF(G253&lt;=301,G253/3,G253/4))))</f>
        <v>0</v>
      </c>
    </row>
    <row r="254" spans="1:8" hidden="1" x14ac:dyDescent="0.3">
      <c r="A254" s="96" t="str">
        <f ca="1">(SUMPRODUCT(MID(0&amp;(LEFT(A253,SUM(LEN(A253)-LEN(SUBSTITUTE(A253,{"0","1","2"},""))))), LARGE(INDEX(ISNUMBER(--MID((LEFT(A253,SUM(LEN(A253)-LEN(SUBSTITUTE(A253,{"0","1","2"},""))))), ROW(INDIRECT("1:"&amp;LEN((LEFT(A253,SUM(LEN(A253)-LEN(SUBSTITUTE(A253,{"0","1","2"},"")))))))), 1)) * ROW(INDIRECT("1:"&amp;LEN((LEFT(A253,SUM(LEN(A253)-LEN(SUBSTITUTE(A253,{"0","1","2"},"")))))))), 0), ROW(INDIRECT("1:"&amp;LEN((LEFT(A253,SUM(LEN(A253)-LEN(SUBSTITUTE(A253,{"0","1","2"},"")))))))))+1, 1) * 10^ROW(INDIRECT("1:"&amp;LEN((LEFT(A253,SUM(LEN(A253)-LEN(SUBSTITUTE(A253,{"0","1","2"},""))))))))/10))*1+1&amp;""&amp;" &amp; "&amp;""&amp;(SUMPRODUCT(MID(0&amp;(--TRIM(RIGHT(SUBSTITUTE(LEFT(A253,_xlfn.AGGREGATE(16,6,FIND({0,1,2,3,4,5,6,7,8,9},A253,ROW(INDIRECT("1:"&amp;LEN(A253)))),1))," ",REPT(" ",LEN(A253))),LEN(A253)))), LARGE(INDEX(ISNUMBER(--MID((--TRIM(RIGHT(SUBSTITUTE(LEFT(A253,_xlfn.AGGREGATE(16,6,FIND({0,1,2,3,4,5,6,7,8,9},A253,ROW(INDIRECT("1:"&amp;LEN(A253)))),1))," ",REPT(" ",LEN(A253))),LEN(A253)))), ROW(INDIRECT("1:"&amp;LEN((--TRIM(RIGHT(SUBSTITUTE(LEFT(A253,_xlfn.AGGREGATE(16,6,FIND({0,1,2,3,4,5,6,7,8,9},A253,ROW(INDIRECT("1:"&amp;LEN(A253)))),1))," ",REPT(" ",LEN(A253))),LEN(A253))))))), 1)) * ROW(INDIRECT("1:"&amp;LEN((--TRIM(RIGHT(SUBSTITUTE(LEFT(A253,_xlfn.AGGREGATE(16,6,FIND({0,1,2,3,4,5,6,7,8,9},A253,ROW(INDIRECT("1:"&amp;LEN(A253)))),1))," ",REPT(" ",LEN(A253))),LEN(A253))))))), 0), ROW(INDIRECT("1:"&amp;LEN((--TRIM(RIGHT(SUBSTITUTE(LEFT(A253,_xlfn.AGGREGATE(16,6,FIND({0,1,2,3,4,5,6,7,8,9},A253,ROW(INDIRECT("1:"&amp;LEN(A253)))),1))," ",REPT(" ",LEN(A253))),LEN(A253))))))))+1, 1) * 10^ROW(INDIRECT("1:"&amp;LEN((--TRIM(RIGHT(SUBSTITUTE(LEFT(A253,_xlfn.AGGREGATE(16,6,FIND({0,1,2,3,4,5,6,7,8,9},A253,ROW(INDIRECT("1:"&amp;LEN(A253)))),1))," ",REPT(" ",LEN(A253))),LEN(A253)))))))/10))*1+1</f>
        <v>203 &amp; 503</v>
      </c>
      <c r="B254" s="97"/>
      <c r="C254" s="39"/>
      <c r="D254" s="39"/>
      <c r="E254" s="39">
        <v>0</v>
      </c>
      <c r="F254" s="39">
        <f>D254+E254</f>
        <v>0</v>
      </c>
      <c r="G254" s="39">
        <v>0</v>
      </c>
      <c r="H254" s="39">
        <f>F254*(($H$226)+1)+(IF(G254&lt;101,G254,IF(G254&lt;201,G254/2,IF(G254&lt;=301,G254/3,G254/4))))</f>
        <v>0</v>
      </c>
    </row>
    <row r="255" spans="1:8" hidden="1" x14ac:dyDescent="0.3">
      <c r="A255" s="96" t="str">
        <f ca="1">(SUMPRODUCT(MID(0&amp;(LEFT(A254,SUM(LEN(A254)-LEN(SUBSTITUTE(A254,{"0","1","2"},""))))), LARGE(INDEX(ISNUMBER(--MID((LEFT(A254,SUM(LEN(A254)-LEN(SUBSTITUTE(A254,{"0","1","2"},""))))), ROW(INDIRECT("1:"&amp;LEN((LEFT(A254,SUM(LEN(A254)-LEN(SUBSTITUTE(A254,{"0","1","2"},"")))))))), 1)) * ROW(INDIRECT("1:"&amp;LEN((LEFT(A254,SUM(LEN(A254)-LEN(SUBSTITUTE(A254,{"0","1","2"},"")))))))), 0), ROW(INDIRECT("1:"&amp;LEN((LEFT(A254,SUM(LEN(A254)-LEN(SUBSTITUTE(A254,{"0","1","2"},"")))))))))+1, 1) * 10^ROW(INDIRECT("1:"&amp;LEN((LEFT(A254,SUM(LEN(A254)-LEN(SUBSTITUTE(A254,{"0","1","2"},""))))))))/10))*1+1&amp;""&amp;" &amp; "&amp;""&amp;(SUMPRODUCT(MID(0&amp;(--TRIM(RIGHT(SUBSTITUTE(LEFT(A254,_xlfn.AGGREGATE(16,6,FIND({0,1,2,3,4,5,6,7,8,9},A254,ROW(INDIRECT("1:"&amp;LEN(A254)))),1))," ",REPT(" ",LEN(A254))),LEN(A254)))), LARGE(INDEX(ISNUMBER(--MID((--TRIM(RIGHT(SUBSTITUTE(LEFT(A254,_xlfn.AGGREGATE(16,6,FIND({0,1,2,3,4,5,6,7,8,9},A254,ROW(INDIRECT("1:"&amp;LEN(A254)))),1))," ",REPT(" ",LEN(A254))),LEN(A254)))), ROW(INDIRECT("1:"&amp;LEN((--TRIM(RIGHT(SUBSTITUTE(LEFT(A254,_xlfn.AGGREGATE(16,6,FIND({0,1,2,3,4,5,6,7,8,9},A254,ROW(INDIRECT("1:"&amp;LEN(A254)))),1))," ",REPT(" ",LEN(A254))),LEN(A254))))))), 1)) * ROW(INDIRECT("1:"&amp;LEN((--TRIM(RIGHT(SUBSTITUTE(LEFT(A254,_xlfn.AGGREGATE(16,6,FIND({0,1,2,3,4,5,6,7,8,9},A254,ROW(INDIRECT("1:"&amp;LEN(A254)))),1))," ",REPT(" ",LEN(A254))),LEN(A254))))))), 0), ROW(INDIRECT("1:"&amp;LEN((--TRIM(RIGHT(SUBSTITUTE(LEFT(A254,_xlfn.AGGREGATE(16,6,FIND({0,1,2,3,4,5,6,7,8,9},A254,ROW(INDIRECT("1:"&amp;LEN(A254)))),1))," ",REPT(" ",LEN(A254))),LEN(A254))))))))+1, 1) * 10^ROW(INDIRECT("1:"&amp;LEN((--TRIM(RIGHT(SUBSTITUTE(LEFT(A254,_xlfn.AGGREGATE(16,6,FIND({0,1,2,3,4,5,6,7,8,9},A254,ROW(INDIRECT("1:"&amp;LEN(A254)))),1))," ",REPT(" ",LEN(A254))),LEN(A254)))))))/10))*1+1</f>
        <v>204 &amp; 504</v>
      </c>
      <c r="B255" s="97"/>
      <c r="C255" s="39"/>
      <c r="D255" s="39"/>
      <c r="E255" s="39">
        <v>0</v>
      </c>
      <c r="F255" s="39">
        <f>D255+E255</f>
        <v>0</v>
      </c>
      <c r="G255" s="39">
        <v>0</v>
      </c>
      <c r="H255" s="39">
        <f>F255*(($H$226)+1)+(IF(G255&lt;101,G255,IF(G255&lt;201,G255/2,IF(G255&lt;=301,G255/3,G255/4))))</f>
        <v>0</v>
      </c>
    </row>
    <row r="256" spans="1:8" hidden="1" x14ac:dyDescent="0.3">
      <c r="A256" s="96" t="str">
        <f ca="1">(SUMPRODUCT(MID(0&amp;(LEFT(A255,SUM(LEN(A255)-LEN(SUBSTITUTE(A255,{"0","1","2"},""))))), LARGE(INDEX(ISNUMBER(--MID((LEFT(A255,SUM(LEN(A255)-LEN(SUBSTITUTE(A255,{"0","1","2"},""))))), ROW(INDIRECT("1:"&amp;LEN((LEFT(A255,SUM(LEN(A255)-LEN(SUBSTITUTE(A255,{"0","1","2"},"")))))))), 1)) * ROW(INDIRECT("1:"&amp;LEN((LEFT(A255,SUM(LEN(A255)-LEN(SUBSTITUTE(A255,{"0","1","2"},"")))))))), 0), ROW(INDIRECT("1:"&amp;LEN((LEFT(A255,SUM(LEN(A255)-LEN(SUBSTITUTE(A255,{"0","1","2"},"")))))))))+1, 1) * 10^ROW(INDIRECT("1:"&amp;LEN((LEFT(A255,SUM(LEN(A255)-LEN(SUBSTITUTE(A255,{"0","1","2"},""))))))))/10))*1+1&amp;""&amp;" &amp; "&amp;""&amp;(SUMPRODUCT(MID(0&amp;(--TRIM(RIGHT(SUBSTITUTE(LEFT(A255,_xlfn.AGGREGATE(16,6,FIND({0,1,2,3,4,5,6,7,8,9},A255,ROW(INDIRECT("1:"&amp;LEN(A255)))),1))," ",REPT(" ",LEN(A255))),LEN(A255)))), LARGE(INDEX(ISNUMBER(--MID((--TRIM(RIGHT(SUBSTITUTE(LEFT(A255,_xlfn.AGGREGATE(16,6,FIND({0,1,2,3,4,5,6,7,8,9},A255,ROW(INDIRECT("1:"&amp;LEN(A255)))),1))," ",REPT(" ",LEN(A255))),LEN(A255)))), ROW(INDIRECT("1:"&amp;LEN((--TRIM(RIGHT(SUBSTITUTE(LEFT(A255,_xlfn.AGGREGATE(16,6,FIND({0,1,2,3,4,5,6,7,8,9},A255,ROW(INDIRECT("1:"&amp;LEN(A255)))),1))," ",REPT(" ",LEN(A255))),LEN(A255))))))), 1)) * ROW(INDIRECT("1:"&amp;LEN((--TRIM(RIGHT(SUBSTITUTE(LEFT(A255,_xlfn.AGGREGATE(16,6,FIND({0,1,2,3,4,5,6,7,8,9},A255,ROW(INDIRECT("1:"&amp;LEN(A255)))),1))," ",REPT(" ",LEN(A255))),LEN(A255))))))), 0), ROW(INDIRECT("1:"&amp;LEN((--TRIM(RIGHT(SUBSTITUTE(LEFT(A255,_xlfn.AGGREGATE(16,6,FIND({0,1,2,3,4,5,6,7,8,9},A255,ROW(INDIRECT("1:"&amp;LEN(A255)))),1))," ",REPT(" ",LEN(A255))),LEN(A255))))))))+1, 1) * 10^ROW(INDIRECT("1:"&amp;LEN((--TRIM(RIGHT(SUBSTITUTE(LEFT(A255,_xlfn.AGGREGATE(16,6,FIND({0,1,2,3,4,5,6,7,8,9},A255,ROW(INDIRECT("1:"&amp;LEN(A255)))),1))," ",REPT(" ",LEN(A255))),LEN(A255)))))))/10))*1+1</f>
        <v>205 &amp; 505</v>
      </c>
      <c r="B256" s="97"/>
      <c r="C256" s="39"/>
      <c r="D256" s="39"/>
      <c r="E256" s="39">
        <v>0</v>
      </c>
      <c r="F256" s="39">
        <f>D256+E256</f>
        <v>0</v>
      </c>
      <c r="G256" s="39">
        <v>0</v>
      </c>
      <c r="H256" s="39">
        <f>F256*(($H$226)+1)+(IF(G256&lt;101,G256,IF(G256&lt;201,G256/2,IF(G256&lt;=301,G256/3,G256/4))))</f>
        <v>0</v>
      </c>
    </row>
    <row r="257" spans="1:15" x14ac:dyDescent="0.3">
      <c r="A257" s="178" t="s">
        <v>64</v>
      </c>
      <c r="B257" s="178"/>
      <c r="C257" s="178"/>
      <c r="D257" s="178"/>
      <c r="E257" s="178"/>
      <c r="F257" s="178"/>
      <c r="G257" s="178"/>
      <c r="H257" s="178"/>
    </row>
    <row r="258" spans="1:15" x14ac:dyDescent="0.3">
      <c r="A258" s="41" t="s">
        <v>152</v>
      </c>
      <c r="B258" s="179" t="s">
        <v>364</v>
      </c>
      <c r="C258" s="180"/>
      <c r="D258" s="180"/>
      <c r="E258" s="180"/>
      <c r="F258" s="180"/>
      <c r="G258" s="180"/>
      <c r="H258" s="181"/>
      <c r="I258" s="179" t="s">
        <v>325</v>
      </c>
      <c r="J258" s="180"/>
      <c r="K258" s="180"/>
      <c r="L258" s="180"/>
      <c r="M258" s="180"/>
      <c r="N258" s="180"/>
      <c r="O258" s="181"/>
    </row>
    <row r="259" spans="1:15" hidden="1" x14ac:dyDescent="0.3">
      <c r="A259" s="41" t="s">
        <v>152</v>
      </c>
      <c r="B259" s="179" t="str">
        <f>(IF(H225="Saleable area Loading :","We have considered Saleable area of Flats as per our Calculation.","We considered Saleable area of Flat as per Builder area Sheet."))</f>
        <v>We have considered Saleable area of Flats as per our Calculation.</v>
      </c>
      <c r="C259" s="180"/>
      <c r="D259" s="180"/>
      <c r="E259" s="180"/>
      <c r="F259" s="180"/>
      <c r="G259" s="180"/>
      <c r="H259" s="181"/>
    </row>
    <row r="260" spans="1:15" x14ac:dyDescent="0.3">
      <c r="A260" s="41" t="s">
        <v>152</v>
      </c>
      <c r="B260" s="179" t="str">
        <f>(IF(H134="Saleable area Loading :","We have considered Saleable area of Commercial as per our Calculation.","We considered Saleable area of Commercial as per Builder area Sheet."))</f>
        <v>We have considered Saleable area of Commercial as per our Calculation.</v>
      </c>
      <c r="C260" s="180"/>
      <c r="D260" s="180"/>
      <c r="E260" s="180"/>
      <c r="F260" s="180"/>
      <c r="G260" s="180"/>
      <c r="H260" s="181"/>
    </row>
    <row r="261" spans="1:15" x14ac:dyDescent="0.3">
      <c r="A261" s="41" t="s">
        <v>152</v>
      </c>
      <c r="B261" s="88" t="s">
        <v>119</v>
      </c>
      <c r="C261" s="89"/>
      <c r="D261" s="89"/>
      <c r="E261" s="89"/>
      <c r="F261" s="89"/>
      <c r="G261" s="89"/>
      <c r="H261" s="90"/>
    </row>
    <row r="262" spans="1:15" x14ac:dyDescent="0.3">
      <c r="A262" s="41" t="s">
        <v>152</v>
      </c>
      <c r="B262" s="88" t="s">
        <v>343</v>
      </c>
      <c r="C262" s="89"/>
      <c r="D262" s="89"/>
      <c r="E262" s="89"/>
      <c r="F262" s="89"/>
      <c r="G262" s="89"/>
      <c r="H262" s="90"/>
    </row>
    <row r="263" spans="1:15" ht="31.5" hidden="1" customHeight="1" x14ac:dyDescent="0.3">
      <c r="A263" s="41" t="s">
        <v>152</v>
      </c>
      <c r="B263" s="88" t="s">
        <v>151</v>
      </c>
      <c r="C263" s="89"/>
      <c r="D263" s="89"/>
      <c r="E263" s="89"/>
      <c r="F263" s="89"/>
      <c r="G263" s="89"/>
      <c r="H263" s="90"/>
    </row>
    <row r="264" spans="1:15" x14ac:dyDescent="0.3">
      <c r="A264" s="41" t="s">
        <v>152</v>
      </c>
      <c r="B264" s="88" t="s">
        <v>120</v>
      </c>
      <c r="C264" s="89"/>
      <c r="D264" s="89"/>
      <c r="E264" s="89"/>
      <c r="F264" s="89"/>
      <c r="G264" s="89"/>
      <c r="H264" s="90"/>
    </row>
    <row r="265" spans="1:15" ht="30.75" customHeight="1" x14ac:dyDescent="0.3">
      <c r="A265" s="41" t="s">
        <v>152</v>
      </c>
      <c r="B265" s="88" t="s">
        <v>153</v>
      </c>
      <c r="C265" s="89"/>
      <c r="D265" s="89"/>
      <c r="E265" s="89"/>
      <c r="F265" s="89"/>
      <c r="G265" s="89"/>
      <c r="H265" s="90"/>
    </row>
    <row r="266" spans="1:15" x14ac:dyDescent="0.3">
      <c r="A266" s="41" t="s">
        <v>152</v>
      </c>
      <c r="B266" s="88" t="s">
        <v>121</v>
      </c>
      <c r="C266" s="89"/>
      <c r="D266" s="89"/>
      <c r="E266" s="89"/>
      <c r="F266" s="89"/>
      <c r="G266" s="89"/>
      <c r="H266" s="90"/>
    </row>
    <row r="267" spans="1:15" ht="34.5" hidden="1" customHeight="1" x14ac:dyDescent="0.3">
      <c r="A267" s="41" t="s">
        <v>152</v>
      </c>
      <c r="B267" s="195" t="s">
        <v>176</v>
      </c>
      <c r="C267" s="196"/>
      <c r="D267" s="196"/>
      <c r="E267" s="196"/>
      <c r="F267" s="196"/>
      <c r="G267" s="196"/>
      <c r="H267" s="197"/>
    </row>
    <row r="268" spans="1:15" x14ac:dyDescent="0.3">
      <c r="A268" s="41" t="s">
        <v>152</v>
      </c>
      <c r="B268" s="88" t="s">
        <v>358</v>
      </c>
      <c r="C268" s="89"/>
      <c r="D268" s="89"/>
      <c r="E268" s="89"/>
      <c r="F268" s="89"/>
      <c r="G268" s="89"/>
      <c r="H268" s="90"/>
    </row>
    <row r="269" spans="1:15" ht="32.25" customHeight="1" x14ac:dyDescent="0.3">
      <c r="A269" s="41" t="s">
        <v>152</v>
      </c>
      <c r="B269" s="175" t="s">
        <v>345</v>
      </c>
      <c r="C269" s="176"/>
      <c r="D269" s="176"/>
      <c r="E269" s="176"/>
      <c r="F269" s="176"/>
      <c r="G269" s="176"/>
      <c r="H269" s="177"/>
    </row>
    <row r="270" spans="1:15" ht="33.75" hidden="1" customHeight="1" x14ac:dyDescent="0.3">
      <c r="A270" s="67" t="s">
        <v>152</v>
      </c>
      <c r="B270" s="179" t="s">
        <v>362</v>
      </c>
      <c r="C270" s="180"/>
      <c r="D270" s="180"/>
      <c r="E270" s="180"/>
      <c r="F270" s="180"/>
      <c r="G270" s="180"/>
      <c r="H270" s="181"/>
    </row>
    <row r="271" spans="1:15" x14ac:dyDescent="0.3">
      <c r="A271" s="67" t="s">
        <v>152</v>
      </c>
      <c r="B271" s="175" t="s">
        <v>363</v>
      </c>
      <c r="C271" s="176"/>
      <c r="D271" s="176"/>
      <c r="E271" s="176"/>
      <c r="F271" s="176"/>
      <c r="G271" s="176"/>
      <c r="H271" s="177"/>
    </row>
    <row r="272" spans="1:15" x14ac:dyDescent="0.3">
      <c r="A272" s="173" t="s">
        <v>57</v>
      </c>
      <c r="B272" s="173"/>
      <c r="C272" s="173"/>
      <c r="D272" s="173"/>
      <c r="E272" s="173"/>
      <c r="F272" s="173"/>
      <c r="G272" s="173"/>
      <c r="H272" s="173"/>
    </row>
    <row r="273" spans="1:8" x14ac:dyDescent="0.3">
      <c r="A273" s="68" t="s">
        <v>58</v>
      </c>
      <c r="B273" s="68"/>
      <c r="C273" s="68"/>
      <c r="D273" s="68"/>
      <c r="E273" s="68"/>
      <c r="F273" s="68"/>
      <c r="G273" s="68"/>
      <c r="H273" s="68"/>
    </row>
    <row r="274" spans="1:8" x14ac:dyDescent="0.3">
      <c r="A274" s="174" t="s">
        <v>59</v>
      </c>
      <c r="B274" s="174"/>
      <c r="C274" s="174"/>
      <c r="D274" s="174"/>
      <c r="E274" s="174"/>
      <c r="F274" s="174"/>
      <c r="G274" s="174"/>
      <c r="H274" s="174"/>
    </row>
    <row r="275" spans="1:8" x14ac:dyDescent="0.3">
      <c r="A275" s="68" t="s">
        <v>60</v>
      </c>
      <c r="B275" s="68"/>
      <c r="C275" s="68"/>
      <c r="D275" s="68"/>
      <c r="E275" s="68"/>
      <c r="F275" s="68"/>
      <c r="G275" s="68"/>
      <c r="H275" s="68"/>
    </row>
    <row r="276" spans="1:8" x14ac:dyDescent="0.3">
      <c r="A276" s="68" t="s">
        <v>61</v>
      </c>
      <c r="B276" s="68"/>
      <c r="C276" s="68"/>
      <c r="D276" s="68"/>
      <c r="E276" s="68"/>
      <c r="F276" s="68"/>
      <c r="G276" s="68"/>
      <c r="H276" s="68"/>
    </row>
    <row r="277" spans="1:8" x14ac:dyDescent="0.3">
      <c r="A277" s="68" t="s">
        <v>122</v>
      </c>
      <c r="B277" s="68"/>
      <c r="C277" s="68"/>
      <c r="D277" s="68"/>
      <c r="E277" s="68"/>
      <c r="F277" s="68"/>
      <c r="G277" s="68"/>
      <c r="H277" s="68"/>
    </row>
    <row r="278" spans="1:8" x14ac:dyDescent="0.3">
      <c r="A278" s="113" t="s">
        <v>123</v>
      </c>
      <c r="B278" s="113"/>
      <c r="C278" s="113"/>
      <c r="D278" s="113"/>
      <c r="E278" s="113"/>
      <c r="F278" s="113"/>
      <c r="G278" s="113"/>
      <c r="H278" s="113"/>
    </row>
    <row r="279" spans="1:8" x14ac:dyDescent="0.3">
      <c r="A279" s="172" t="s">
        <v>72</v>
      </c>
      <c r="B279" s="172"/>
      <c r="C279" s="172" t="s">
        <v>324</v>
      </c>
      <c r="D279" s="172"/>
      <c r="E279" s="172" t="s">
        <v>101</v>
      </c>
      <c r="F279" s="172"/>
      <c r="G279" s="172" t="s">
        <v>365</v>
      </c>
      <c r="H279" s="172"/>
    </row>
    <row r="280" spans="1:8" x14ac:dyDescent="0.3">
      <c r="A280" s="171" t="s">
        <v>74</v>
      </c>
      <c r="B280" s="171"/>
      <c r="C280" s="171"/>
      <c r="D280" s="171"/>
      <c r="E280" s="171"/>
      <c r="F280" s="171"/>
      <c r="G280" s="171"/>
      <c r="H280" s="171"/>
    </row>
    <row r="281" spans="1:8" x14ac:dyDescent="0.3">
      <c r="A281" s="171"/>
      <c r="B281" s="171"/>
      <c r="C281" s="171"/>
      <c r="D281" s="171"/>
      <c r="E281" s="171"/>
      <c r="F281" s="171"/>
      <c r="G281" s="171"/>
      <c r="H281" s="171"/>
    </row>
    <row r="282" spans="1:8" x14ac:dyDescent="0.3">
      <c r="A282" s="171"/>
      <c r="B282" s="171"/>
      <c r="C282" s="171"/>
      <c r="D282" s="171"/>
      <c r="E282" s="171"/>
      <c r="F282" s="171"/>
      <c r="G282" s="171"/>
      <c r="H282" s="171"/>
    </row>
    <row r="283" spans="1:8" x14ac:dyDescent="0.3">
      <c r="A283" s="171"/>
      <c r="B283" s="171"/>
      <c r="C283" s="171"/>
      <c r="D283" s="171"/>
      <c r="E283" s="171"/>
      <c r="F283" s="171"/>
      <c r="G283" s="171"/>
      <c r="H283" s="171"/>
    </row>
    <row r="284" spans="1:8" x14ac:dyDescent="0.3">
      <c r="A284" s="35" t="s">
        <v>62</v>
      </c>
      <c r="B284" s="36"/>
      <c r="C284" s="36"/>
      <c r="D284" s="35" t="str">
        <f>E9</f>
        <v>Jai Bhavani Chs Ltd SRA Project</v>
      </c>
      <c r="F284" s="36"/>
      <c r="G284" s="36"/>
      <c r="H284" s="36"/>
    </row>
    <row r="285" spans="1:8" x14ac:dyDescent="0.3">
      <c r="A285" s="36"/>
      <c r="B285" s="36"/>
      <c r="C285" s="36"/>
      <c r="D285" s="36"/>
      <c r="E285" s="36"/>
      <c r="F285" s="36"/>
      <c r="G285" s="36"/>
      <c r="H285" s="36"/>
    </row>
    <row r="286" spans="1:8" x14ac:dyDescent="0.3">
      <c r="A286" s="36"/>
      <c r="B286" s="36"/>
      <c r="C286" s="36"/>
      <c r="D286" s="36"/>
      <c r="E286" s="36"/>
      <c r="F286" s="36"/>
      <c r="G286" s="36"/>
      <c r="H286" s="36"/>
    </row>
    <row r="326" spans="1:1" x14ac:dyDescent="0.3">
      <c r="A326" s="38" t="s">
        <v>163</v>
      </c>
    </row>
    <row r="339" spans="6:6" x14ac:dyDescent="0.3">
      <c r="F339" s="55"/>
    </row>
    <row r="368" spans="1:1" x14ac:dyDescent="0.3">
      <c r="A368" s="38" t="s">
        <v>63</v>
      </c>
    </row>
  </sheetData>
  <mergeCells count="374">
    <mergeCell ref="I258:O258"/>
    <mergeCell ref="A43:D43"/>
    <mergeCell ref="A224:H224"/>
    <mergeCell ref="A210:H210"/>
    <mergeCell ref="B217:H217"/>
    <mergeCell ref="A50:B50"/>
    <mergeCell ref="C50:E50"/>
    <mergeCell ref="G50:H50"/>
    <mergeCell ref="A87:B87"/>
    <mergeCell ref="C87:H87"/>
    <mergeCell ref="A89:B89"/>
    <mergeCell ref="C89:H89"/>
    <mergeCell ref="A90:B90"/>
    <mergeCell ref="E90:F90"/>
    <mergeCell ref="G90:H90"/>
    <mergeCell ref="A91:B91"/>
    <mergeCell ref="E91:F100"/>
    <mergeCell ref="G91:H100"/>
    <mergeCell ref="A92:B92"/>
    <mergeCell ref="A96:B96"/>
    <mergeCell ref="A97:B97"/>
    <mergeCell ref="A98:B98"/>
    <mergeCell ref="A109:E109"/>
    <mergeCell ref="F109:H109"/>
    <mergeCell ref="A111:E111"/>
    <mergeCell ref="F106:H106"/>
    <mergeCell ref="A110:E110"/>
    <mergeCell ref="F104:H104"/>
    <mergeCell ref="A108:E108"/>
    <mergeCell ref="A99:B99"/>
    <mergeCell ref="A100:B100"/>
    <mergeCell ref="A101:B102"/>
    <mergeCell ref="C101:D102"/>
    <mergeCell ref="E101:F102"/>
    <mergeCell ref="G101:H102"/>
    <mergeCell ref="I15:P15"/>
    <mergeCell ref="F113:H113"/>
    <mergeCell ref="F111:H111"/>
    <mergeCell ref="A133:H133"/>
    <mergeCell ref="G117:H117"/>
    <mergeCell ref="A112:E112"/>
    <mergeCell ref="A60:B60"/>
    <mergeCell ref="C60:E60"/>
    <mergeCell ref="D62:H62"/>
    <mergeCell ref="F112:H112"/>
    <mergeCell ref="E117:F117"/>
    <mergeCell ref="A117:B117"/>
    <mergeCell ref="A119:B119"/>
    <mergeCell ref="C127:D127"/>
    <mergeCell ref="D70:H70"/>
    <mergeCell ref="E43:H43"/>
    <mergeCell ref="G118:H118"/>
    <mergeCell ref="F110:H110"/>
    <mergeCell ref="C117:D117"/>
    <mergeCell ref="C130:D130"/>
    <mergeCell ref="A127:B127"/>
    <mergeCell ref="A93:B93"/>
    <mergeCell ref="A94:B94"/>
    <mergeCell ref="A95:B95"/>
    <mergeCell ref="C56:E56"/>
    <mergeCell ref="G56:H56"/>
    <mergeCell ref="A58:B59"/>
    <mergeCell ref="C58:E58"/>
    <mergeCell ref="A228:H228"/>
    <mergeCell ref="A243:B243"/>
    <mergeCell ref="A240:B240"/>
    <mergeCell ref="B267:H267"/>
    <mergeCell ref="A131:B131"/>
    <mergeCell ref="A170:H170"/>
    <mergeCell ref="A183:H183"/>
    <mergeCell ref="A197:H197"/>
    <mergeCell ref="A196:H196"/>
    <mergeCell ref="A227:H227"/>
    <mergeCell ref="A250:B250"/>
    <mergeCell ref="A241:B241"/>
    <mergeCell ref="A137:H137"/>
    <mergeCell ref="B164:H164"/>
    <mergeCell ref="A244:B244"/>
    <mergeCell ref="A245:H245"/>
    <mergeCell ref="A242:B242"/>
    <mergeCell ref="A239:H239"/>
    <mergeCell ref="A233:H233"/>
    <mergeCell ref="A125:B125"/>
    <mergeCell ref="B271:H271"/>
    <mergeCell ref="B268:H268"/>
    <mergeCell ref="A249:B249"/>
    <mergeCell ref="B270:H270"/>
    <mergeCell ref="G58:H58"/>
    <mergeCell ref="G51:H51"/>
    <mergeCell ref="A52:B53"/>
    <mergeCell ref="C53:H53"/>
    <mergeCell ref="C52:E52"/>
    <mergeCell ref="A65:C65"/>
    <mergeCell ref="D65:H65"/>
    <mergeCell ref="C51:E51"/>
    <mergeCell ref="A71:C71"/>
    <mergeCell ref="G52:H52"/>
    <mergeCell ref="A51:B51"/>
    <mergeCell ref="A61:H61"/>
    <mergeCell ref="A62:C62"/>
    <mergeCell ref="A63:C63"/>
    <mergeCell ref="D63:H63"/>
    <mergeCell ref="G60:H60"/>
    <mergeCell ref="A54:B55"/>
    <mergeCell ref="C54:E54"/>
    <mergeCell ref="G54:H54"/>
    <mergeCell ref="A56:B57"/>
    <mergeCell ref="B269:H269"/>
    <mergeCell ref="B265:H265"/>
    <mergeCell ref="A248:B248"/>
    <mergeCell ref="B262:H262"/>
    <mergeCell ref="A257:H257"/>
    <mergeCell ref="B266:H266"/>
    <mergeCell ref="B264:H264"/>
    <mergeCell ref="B260:H260"/>
    <mergeCell ref="A254:B254"/>
    <mergeCell ref="A251:H251"/>
    <mergeCell ref="A252:B252"/>
    <mergeCell ref="A253:B253"/>
    <mergeCell ref="A256:B256"/>
    <mergeCell ref="A255:B255"/>
    <mergeCell ref="B258:H258"/>
    <mergeCell ref="B259:H259"/>
    <mergeCell ref="B261:H261"/>
    <mergeCell ref="A280:H283"/>
    <mergeCell ref="A279:B279"/>
    <mergeCell ref="E279:F279"/>
    <mergeCell ref="C279:D279"/>
    <mergeCell ref="G279:H279"/>
    <mergeCell ref="A275:H275"/>
    <mergeCell ref="A278:H278"/>
    <mergeCell ref="A276:H276"/>
    <mergeCell ref="A272:H272"/>
    <mergeCell ref="A277:H277"/>
    <mergeCell ref="A274:H274"/>
    <mergeCell ref="A273:H273"/>
    <mergeCell ref="C134:C135"/>
    <mergeCell ref="B225:B226"/>
    <mergeCell ref="A237:B237"/>
    <mergeCell ref="A222:H222"/>
    <mergeCell ref="A154:H154"/>
    <mergeCell ref="A157:H157"/>
    <mergeCell ref="A218:H218"/>
    <mergeCell ref="A121:H121"/>
    <mergeCell ref="C122:D122"/>
    <mergeCell ref="E122:F122"/>
    <mergeCell ref="C131:D131"/>
    <mergeCell ref="E131:F131"/>
    <mergeCell ref="A229:B229"/>
    <mergeCell ref="A225:A226"/>
    <mergeCell ref="F225:F226"/>
    <mergeCell ref="A234:B234"/>
    <mergeCell ref="D225:D226"/>
    <mergeCell ref="E225:E226"/>
    <mergeCell ref="A132:H132"/>
    <mergeCell ref="A130:B130"/>
    <mergeCell ref="E130:F130"/>
    <mergeCell ref="A223:H223"/>
    <mergeCell ref="E127:F127"/>
    <mergeCell ref="E76:F76"/>
    <mergeCell ref="A69:C69"/>
    <mergeCell ref="D69:H69"/>
    <mergeCell ref="A72:C72"/>
    <mergeCell ref="D72:H72"/>
    <mergeCell ref="A70:C70"/>
    <mergeCell ref="D71:H71"/>
    <mergeCell ref="A77:B77"/>
    <mergeCell ref="G76:H76"/>
    <mergeCell ref="E77:F86"/>
    <mergeCell ref="G77:H86"/>
    <mergeCell ref="A85:B85"/>
    <mergeCell ref="A86:B86"/>
    <mergeCell ref="A83:B83"/>
    <mergeCell ref="A76:B76"/>
    <mergeCell ref="A82:B82"/>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A38:H38"/>
    <mergeCell ref="A37:B37"/>
    <mergeCell ref="C37:E37"/>
    <mergeCell ref="A42:D42"/>
    <mergeCell ref="E42:H42"/>
    <mergeCell ref="A41:H41"/>
    <mergeCell ref="A66:C66"/>
    <mergeCell ref="A67:C67"/>
    <mergeCell ref="D66:H66"/>
    <mergeCell ref="D67:H67"/>
    <mergeCell ref="A44:D44"/>
    <mergeCell ref="E44:H44"/>
    <mergeCell ref="E45:H45"/>
    <mergeCell ref="E46:H46"/>
    <mergeCell ref="E47:H47"/>
    <mergeCell ref="C57:H57"/>
    <mergeCell ref="C59:H59"/>
    <mergeCell ref="A39:B39"/>
    <mergeCell ref="C39:H39"/>
    <mergeCell ref="A46:D46"/>
    <mergeCell ref="A47:D47"/>
    <mergeCell ref="A48:H48"/>
    <mergeCell ref="D64:H64"/>
    <mergeCell ref="A64:C64"/>
    <mergeCell ref="L136:M136"/>
    <mergeCell ref="L135:M135"/>
    <mergeCell ref="L134:M134"/>
    <mergeCell ref="L133:M133"/>
    <mergeCell ref="A84:B84"/>
    <mergeCell ref="C128:D128"/>
    <mergeCell ref="E128:F128"/>
    <mergeCell ref="G128:H128"/>
    <mergeCell ref="A104:E104"/>
    <mergeCell ref="A136:H136"/>
    <mergeCell ref="E134:E135"/>
    <mergeCell ref="G122:H122"/>
    <mergeCell ref="C123:D123"/>
    <mergeCell ref="E123:F123"/>
    <mergeCell ref="G123:H123"/>
    <mergeCell ref="C125:D125"/>
    <mergeCell ref="E125:F125"/>
    <mergeCell ref="G125:H125"/>
    <mergeCell ref="A124:B124"/>
    <mergeCell ref="C124:D124"/>
    <mergeCell ref="E124:F124"/>
    <mergeCell ref="G124:H124"/>
    <mergeCell ref="F103:H103"/>
    <mergeCell ref="F108:H108"/>
    <mergeCell ref="A45:D45"/>
    <mergeCell ref="L145:M145"/>
    <mergeCell ref="A238:B238"/>
    <mergeCell ref="A235:B235"/>
    <mergeCell ref="A236:B236"/>
    <mergeCell ref="A246:B246"/>
    <mergeCell ref="A40:B40"/>
    <mergeCell ref="C40:H40"/>
    <mergeCell ref="F134:F135"/>
    <mergeCell ref="C118:D118"/>
    <mergeCell ref="E118:F118"/>
    <mergeCell ref="B134:B135"/>
    <mergeCell ref="A134:A135"/>
    <mergeCell ref="C225:C226"/>
    <mergeCell ref="G225:G226"/>
    <mergeCell ref="L144:M144"/>
    <mergeCell ref="L141:M141"/>
    <mergeCell ref="A230:B230"/>
    <mergeCell ref="G131:H131"/>
    <mergeCell ref="L142:M142"/>
    <mergeCell ref="A231:B231"/>
    <mergeCell ref="L143:M143"/>
    <mergeCell ref="C55:H55"/>
    <mergeCell ref="A232:B232"/>
    <mergeCell ref="A49:B49"/>
    <mergeCell ref="C49:H49"/>
    <mergeCell ref="B263:H263"/>
    <mergeCell ref="A122:B122"/>
    <mergeCell ref="A123:B123"/>
    <mergeCell ref="F105:H105"/>
    <mergeCell ref="A105:E105"/>
    <mergeCell ref="D134:D135"/>
    <mergeCell ref="A107:E107"/>
    <mergeCell ref="A106:E106"/>
    <mergeCell ref="A103:E103"/>
    <mergeCell ref="F107:H107"/>
    <mergeCell ref="G134:G135"/>
    <mergeCell ref="A247:B247"/>
    <mergeCell ref="A79:B79"/>
    <mergeCell ref="A75:B75"/>
    <mergeCell ref="A73:B73"/>
    <mergeCell ref="C73:H73"/>
    <mergeCell ref="A81:B81"/>
    <mergeCell ref="A68:C68"/>
    <mergeCell ref="D68:H68"/>
    <mergeCell ref="C75:H75"/>
    <mergeCell ref="A78:B78"/>
    <mergeCell ref="A80:B80"/>
    <mergeCell ref="A113:E113"/>
    <mergeCell ref="G130:H130"/>
    <mergeCell ref="C119:D119"/>
    <mergeCell ref="E119:F119"/>
    <mergeCell ref="G119:H119"/>
    <mergeCell ref="A120:B120"/>
    <mergeCell ref="C120:D120"/>
    <mergeCell ref="E120:F120"/>
    <mergeCell ref="G120:H120"/>
    <mergeCell ref="A129:B129"/>
    <mergeCell ref="C129:D129"/>
    <mergeCell ref="E129:F129"/>
    <mergeCell ref="G129:H129"/>
    <mergeCell ref="A116:H116"/>
    <mergeCell ref="A114:E114"/>
    <mergeCell ref="F114:H114"/>
    <mergeCell ref="A115:E115"/>
    <mergeCell ref="F115:H115"/>
    <mergeCell ref="A128:B128"/>
    <mergeCell ref="A118:B118"/>
    <mergeCell ref="A126:H126"/>
    <mergeCell ref="G127:H127"/>
  </mergeCells>
  <dataValidations count="16">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34:E135" xr:uid="{00000000-0002-0000-0000-000003000000}">
      <formula1>"Attached Loft area,Attached Otla area,Attached Mezzanine area"</formula1>
    </dataValidation>
    <dataValidation type="list" allowBlank="1" showInputMessage="1" showErrorMessage="1" sqref="G279:H279" xr:uid="{00000000-0002-0000-0000-000004000000}">
      <formula1>"Kunal Kadam,Pranita Mhatre,Shruti Fule,Pooja Kawale,Mansee Mohite,Shruti Tathare, Hitakshi Mhatre, Sachin Sawant"</formula1>
    </dataValidation>
    <dataValidation type="list" allowBlank="1" showInputMessage="1" showErrorMessage="1" sqref="F114:H114" xr:uid="{00000000-0002-0000-0000-000005000000}">
      <formula1>OFFSET($S$103,1,MATCH($G20,$S$103:$W$103,0)-1,15,1)</formula1>
    </dataValidation>
    <dataValidation type="list" allowBlank="1" showInputMessage="1" showErrorMessage="1" sqref="B134:B135" xr:uid="{00000000-0002-0000-0000-000006000000}">
      <formula1>"Shop No. (Sale Plan),Sale / Rehab,Sale / Mhada"</formula1>
    </dataValidation>
    <dataValidation type="list" allowBlank="1" showInputMessage="1" showErrorMessage="1" sqref="B225:B226" xr:uid="{00000000-0002-0000-0000-000007000000}">
      <formula1>"Flat No. (Sale Plan),Sale / Rehab,Sale / Mhada"</formula1>
    </dataValidation>
    <dataValidation type="list" allowBlank="1" showInputMessage="1" showErrorMessage="1" sqref="C21:D21" xr:uid="{00000000-0002-0000-0000-000008000000}">
      <formula1>OFFSET($S$13,1,MATCH($G20,$S$13:$W$13,0)-1,15,1)</formula1>
    </dataValidation>
    <dataValidation type="list" allowBlank="1" showInputMessage="1" showErrorMessage="1" sqref="Y13" xr:uid="{00000000-0002-0000-0000-000009000000}">
      <formula1>$D$5:$H$5</formula1>
    </dataValidation>
    <dataValidation type="list" allowBlank="1" showInputMessage="1" showErrorMessage="1" sqref="E225:E226" xr:uid="{00000000-0002-0000-0000-00000A000000}">
      <formula1>"Fungible area,Balcony Area,Chajja Area,Cornice Area,AP Area,WS Area"</formula1>
    </dataValidation>
    <dataValidation type="list" allowBlank="1" showInputMessage="1" showErrorMessage="1" sqref="H135 H226" xr:uid="{00000000-0002-0000-0000-00000B000000}">
      <formula1>".45,.50,.55,.60"</formula1>
    </dataValidation>
    <dataValidation type="list" allowBlank="1" showInputMessage="1" showErrorMessage="1" sqref="E4:H4" xr:uid="{00000000-0002-0000-0000-00000C000000}">
      <formula1>$L$3:$P$3</formula1>
    </dataValidation>
    <dataValidation type="list" allowBlank="1" showInputMessage="1" showErrorMessage="1" sqref="C49:H49" xr:uid="{00000000-0002-0000-0000-00000D000000}">
      <formula1>OFFSET($S$49,1,MATCH($G20,$S$49:$W$49,0)-1,15,1)</formula1>
    </dataValidation>
    <dataValidation type="whole" allowBlank="1" showInputMessage="1" showErrorMessage="1" sqref="C82 C96" xr:uid="{00000000-0002-0000-0000-00000E000000}">
      <formula1>0</formula1>
      <formula2>H74</formula2>
    </dataValidation>
    <dataValidation type="list" allowBlank="1" showInputMessage="1" showErrorMessage="1" sqref="F103:H103" xr:uid="{00000000-0002-0000-0000-00000F000000}">
      <formula1>"On Saleable Area,On Builtup Area,On Carpet Area,On Plot Area"</formula1>
    </dataValidation>
  </dataValidations>
  <hyperlinks>
    <hyperlink ref="C40" r:id="rId1" xr:uid="{00000000-0004-0000-0000-000000000000}"/>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72" max="16383" man="1"/>
    <brk id="283" max="7" man="1"/>
    <brk id="325" max="7" man="1"/>
    <brk id="367"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B15" sqref="B15"/>
    </sheetView>
  </sheetViews>
  <sheetFormatPr defaultColWidth="8.6640625" defaultRowHeight="14.4" x14ac:dyDescent="0.3"/>
  <cols>
    <col min="1" max="1" width="8.6640625" style="1"/>
    <col min="2" max="2" width="22.109375" style="1" customWidth="1"/>
    <col min="3" max="3" width="37" style="1" customWidth="1"/>
    <col min="4" max="5" width="11.44140625" style="1" customWidth="1"/>
    <col min="6" max="6" width="14" style="1" customWidth="1"/>
    <col min="7" max="7" width="20" style="1" customWidth="1"/>
    <col min="8" max="8" width="16.44140625" style="1" customWidth="1"/>
    <col min="9" max="16384" width="8.6640625" style="1"/>
  </cols>
  <sheetData>
    <row r="1" spans="1:9" ht="15" customHeight="1" x14ac:dyDescent="0.3"/>
    <row r="2" spans="1:9" ht="15" customHeight="1" x14ac:dyDescent="0.3">
      <c r="A2" s="2"/>
      <c r="B2" s="2"/>
      <c r="C2" s="2"/>
      <c r="D2" s="2"/>
      <c r="E2" s="2"/>
      <c r="F2" s="2"/>
      <c r="G2" s="2"/>
      <c r="H2" s="2"/>
    </row>
    <row r="3" spans="1:9" ht="15.75" customHeight="1" x14ac:dyDescent="0.3">
      <c r="A3" s="2"/>
      <c r="B3" s="214" t="s">
        <v>102</v>
      </c>
      <c r="C3" s="214"/>
      <c r="D3" s="214"/>
      <c r="E3" s="214"/>
      <c r="F3" s="214"/>
      <c r="G3" s="214"/>
      <c r="H3" s="214"/>
    </row>
    <row r="4" spans="1:9" x14ac:dyDescent="0.3">
      <c r="A4" s="2"/>
      <c r="B4" s="3" t="s">
        <v>103</v>
      </c>
      <c r="C4" s="3" t="s">
        <v>104</v>
      </c>
      <c r="D4" s="3" t="s">
        <v>65</v>
      </c>
      <c r="E4" s="3" t="s">
        <v>105</v>
      </c>
      <c r="F4" s="3" t="s">
        <v>111</v>
      </c>
      <c r="G4" s="3" t="s">
        <v>112</v>
      </c>
      <c r="H4" s="3" t="s">
        <v>106</v>
      </c>
    </row>
    <row r="5" spans="1:9" ht="15" customHeight="1" x14ac:dyDescent="0.3">
      <c r="A5" s="2"/>
      <c r="B5" s="5" t="s">
        <v>107</v>
      </c>
      <c r="C5" s="6"/>
      <c r="D5" s="5"/>
      <c r="E5" s="5"/>
      <c r="F5" s="7">
        <f>E5*1.6</f>
        <v>0</v>
      </c>
      <c r="G5" s="7" t="e">
        <f>H5/F5</f>
        <v>#DIV/0!</v>
      </c>
      <c r="H5" s="8"/>
    </row>
    <row r="6" spans="1:9" x14ac:dyDescent="0.3">
      <c r="A6" s="2"/>
      <c r="B6" s="5" t="s">
        <v>107</v>
      </c>
      <c r="C6" s="9"/>
      <c r="D6" s="5"/>
      <c r="E6" s="5"/>
      <c r="F6" s="7">
        <f t="shared" ref="F6:F11" si="0">E6*1.6</f>
        <v>0</v>
      </c>
      <c r="G6" s="7" t="e">
        <f t="shared" ref="G6:G11" si="1">H6/F6</f>
        <v>#DIV/0!</v>
      </c>
      <c r="H6" s="8"/>
    </row>
    <row r="7" spans="1:9" ht="15" customHeight="1" x14ac:dyDescent="0.3">
      <c r="A7" s="2"/>
      <c r="B7" s="5" t="s">
        <v>107</v>
      </c>
      <c r="C7" s="6"/>
      <c r="D7" s="5"/>
      <c r="E7" s="5"/>
      <c r="F7" s="7">
        <f t="shared" si="0"/>
        <v>0</v>
      </c>
      <c r="G7" s="7" t="e">
        <f t="shared" si="1"/>
        <v>#DIV/0!</v>
      </c>
      <c r="H7" s="8"/>
    </row>
    <row r="8" spans="1:9" x14ac:dyDescent="0.3">
      <c r="A8" s="2"/>
      <c r="B8" s="5" t="s">
        <v>107</v>
      </c>
      <c r="C8" s="9"/>
      <c r="D8" s="5"/>
      <c r="E8" s="5"/>
      <c r="F8" s="7">
        <f t="shared" si="0"/>
        <v>0</v>
      </c>
      <c r="G8" s="7" t="e">
        <f t="shared" si="1"/>
        <v>#DIV/0!</v>
      </c>
      <c r="H8" s="8"/>
    </row>
    <row r="9" spans="1:9" ht="15" customHeight="1" x14ac:dyDescent="0.3">
      <c r="A9" s="2"/>
      <c r="B9" s="5" t="s">
        <v>107</v>
      </c>
      <c r="C9" s="9"/>
      <c r="D9" s="5"/>
      <c r="E9" s="5"/>
      <c r="F9" s="7">
        <f t="shared" si="0"/>
        <v>0</v>
      </c>
      <c r="G9" s="7" t="e">
        <f t="shared" si="1"/>
        <v>#DIV/0!</v>
      </c>
      <c r="H9" s="8"/>
    </row>
    <row r="10" spans="1:9" ht="15" customHeight="1" x14ac:dyDescent="0.3">
      <c r="A10" s="2"/>
      <c r="B10" s="5" t="s">
        <v>108</v>
      </c>
      <c r="C10" s="6"/>
      <c r="D10" s="5"/>
      <c r="E10" s="5"/>
      <c r="F10" s="7">
        <f t="shared" si="0"/>
        <v>0</v>
      </c>
      <c r="G10" s="7" t="e">
        <f t="shared" si="1"/>
        <v>#DIV/0!</v>
      </c>
      <c r="H10" s="8"/>
    </row>
    <row r="11" spans="1:9" ht="15" customHeight="1" x14ac:dyDescent="0.3">
      <c r="A11" s="2"/>
      <c r="B11" s="5" t="s">
        <v>108</v>
      </c>
      <c r="C11" s="6"/>
      <c r="D11" s="5"/>
      <c r="E11" s="5"/>
      <c r="F11" s="7">
        <f t="shared" si="0"/>
        <v>0</v>
      </c>
      <c r="G11" s="7" t="e">
        <f t="shared" si="1"/>
        <v>#DIV/0!</v>
      </c>
      <c r="H11" s="8"/>
    </row>
    <row r="12" spans="1:9" ht="15" customHeight="1" x14ac:dyDescent="0.3">
      <c r="A12" s="2"/>
      <c r="B12" s="10" t="s">
        <v>109</v>
      </c>
      <c r="C12" s="5"/>
      <c r="D12" s="5"/>
      <c r="E12" s="5"/>
      <c r="F12" s="5"/>
      <c r="G12" s="11" t="e">
        <f>AVERAGE(G5:G11)</f>
        <v>#DIV/0!</v>
      </c>
      <c r="H12" s="5"/>
    </row>
    <row r="13" spans="1:9" ht="15" customHeight="1" x14ac:dyDescent="0.3">
      <c r="B13" s="10" t="s">
        <v>110</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4.4" x14ac:dyDescent="0.3"/>
  <cols>
    <col min="4" max="4" width="13.88671875" bestFit="1" customWidth="1"/>
    <col min="5" max="5" width="10.44140625" bestFit="1" customWidth="1"/>
    <col min="6" max="6" width="12.44140625" bestFit="1" customWidth="1"/>
    <col min="7" max="7" width="18.109375" customWidth="1"/>
    <col min="8" max="8" width="10.5546875" bestFit="1" customWidth="1"/>
  </cols>
  <sheetData>
    <row r="3" spans="2:11" x14ac:dyDescent="0.3">
      <c r="J3">
        <v>1</v>
      </c>
      <c r="K3">
        <v>2</v>
      </c>
    </row>
    <row r="4" spans="2:11" x14ac:dyDescent="0.3">
      <c r="B4" s="47"/>
      <c r="C4" s="47" t="s">
        <v>10</v>
      </c>
      <c r="D4" s="48" t="s">
        <v>177</v>
      </c>
      <c r="E4" s="48" t="s">
        <v>187</v>
      </c>
      <c r="F4" s="48" t="s">
        <v>172</v>
      </c>
      <c r="G4" s="48" t="s">
        <v>192</v>
      </c>
      <c r="H4" s="48" t="s">
        <v>210</v>
      </c>
      <c r="J4" t="s">
        <v>192</v>
      </c>
      <c r="K4" t="s">
        <v>208</v>
      </c>
    </row>
    <row r="5" spans="2:11" x14ac:dyDescent="0.3">
      <c r="B5" s="47"/>
      <c r="C5" s="47"/>
      <c r="D5" s="48" t="s">
        <v>178</v>
      </c>
      <c r="E5" s="48" t="s">
        <v>185</v>
      </c>
      <c r="F5" s="48" t="s">
        <v>207</v>
      </c>
      <c r="G5" s="48" t="s">
        <v>193</v>
      </c>
      <c r="H5" s="48" t="s">
        <v>211</v>
      </c>
    </row>
    <row r="6" spans="2:11" x14ac:dyDescent="0.3">
      <c r="B6" s="47"/>
      <c r="C6" s="47"/>
      <c r="D6" s="48" t="s">
        <v>179</v>
      </c>
      <c r="E6" s="48" t="s">
        <v>186</v>
      </c>
      <c r="F6" s="48" t="s">
        <v>208</v>
      </c>
      <c r="G6" s="48" t="s">
        <v>194</v>
      </c>
      <c r="H6" s="48" t="s">
        <v>224</v>
      </c>
    </row>
    <row r="7" spans="2:11" x14ac:dyDescent="0.3">
      <c r="B7" s="47"/>
      <c r="C7" s="47"/>
      <c r="D7" s="48" t="s">
        <v>180</v>
      </c>
      <c r="E7" s="48" t="s">
        <v>188</v>
      </c>
      <c r="F7" s="48" t="s">
        <v>209</v>
      </c>
      <c r="G7" s="48" t="s">
        <v>195</v>
      </c>
      <c r="H7" s="48" t="s">
        <v>212</v>
      </c>
    </row>
    <row r="8" spans="2:11" x14ac:dyDescent="0.3">
      <c r="B8" s="47"/>
      <c r="C8" s="47"/>
      <c r="D8" s="48" t="s">
        <v>181</v>
      </c>
      <c r="E8" s="48" t="s">
        <v>189</v>
      </c>
      <c r="F8" s="48"/>
      <c r="G8" s="48" t="s">
        <v>196</v>
      </c>
      <c r="H8" s="48" t="s">
        <v>213</v>
      </c>
    </row>
    <row r="9" spans="2:11" x14ac:dyDescent="0.3">
      <c r="B9" s="47"/>
      <c r="C9" s="47"/>
      <c r="D9" s="48" t="s">
        <v>182</v>
      </c>
      <c r="E9" s="48" t="s">
        <v>187</v>
      </c>
      <c r="F9" s="48"/>
      <c r="G9" s="48" t="s">
        <v>197</v>
      </c>
      <c r="H9" s="48" t="s">
        <v>214</v>
      </c>
    </row>
    <row r="10" spans="2:11" x14ac:dyDescent="0.3">
      <c r="B10" s="47"/>
      <c r="C10" s="47"/>
      <c r="D10" s="48" t="s">
        <v>183</v>
      </c>
      <c r="E10" s="48" t="s">
        <v>190</v>
      </c>
      <c r="F10" s="48"/>
      <c r="G10" s="48" t="s">
        <v>198</v>
      </c>
      <c r="H10" s="48" t="s">
        <v>215</v>
      </c>
    </row>
    <row r="11" spans="2:11" x14ac:dyDescent="0.3">
      <c r="B11" s="47"/>
      <c r="C11" s="47"/>
      <c r="D11" s="48" t="s">
        <v>184</v>
      </c>
      <c r="E11" s="48" t="s">
        <v>191</v>
      </c>
      <c r="F11" s="48"/>
      <c r="G11" s="48" t="s">
        <v>199</v>
      </c>
      <c r="H11" s="48" t="s">
        <v>216</v>
      </c>
    </row>
    <row r="12" spans="2:11" x14ac:dyDescent="0.3">
      <c r="B12" s="47"/>
      <c r="C12" s="47"/>
      <c r="D12" s="48"/>
      <c r="E12" s="48"/>
      <c r="F12" s="48"/>
      <c r="G12" s="48" t="s">
        <v>200</v>
      </c>
      <c r="H12" s="48" t="s">
        <v>217</v>
      </c>
    </row>
    <row r="13" spans="2:11" x14ac:dyDescent="0.3">
      <c r="B13" s="47"/>
      <c r="C13" s="47"/>
      <c r="D13" s="48"/>
      <c r="E13" s="48"/>
      <c r="F13" s="48"/>
      <c r="G13" s="48" t="s">
        <v>201</v>
      </c>
      <c r="H13" s="48" t="s">
        <v>218</v>
      </c>
    </row>
    <row r="14" spans="2:11" x14ac:dyDescent="0.3">
      <c r="B14" s="47"/>
      <c r="C14" s="47"/>
      <c r="D14" s="48"/>
      <c r="E14" s="48"/>
      <c r="F14" s="48"/>
      <c r="G14" s="48" t="s">
        <v>202</v>
      </c>
      <c r="H14" s="48" t="s">
        <v>219</v>
      </c>
    </row>
    <row r="15" spans="2:11" x14ac:dyDescent="0.3">
      <c r="B15" s="47"/>
      <c r="C15" s="47"/>
      <c r="D15" s="48"/>
      <c r="E15" s="48"/>
      <c r="F15" s="48"/>
      <c r="G15" s="48" t="s">
        <v>203</v>
      </c>
      <c r="H15" s="48" t="s">
        <v>220</v>
      </c>
    </row>
    <row r="16" spans="2:11" x14ac:dyDescent="0.3">
      <c r="B16" s="47"/>
      <c r="C16" s="47"/>
      <c r="D16" s="48"/>
      <c r="E16" s="48"/>
      <c r="F16" s="48"/>
      <c r="G16" s="48" t="s">
        <v>204</v>
      </c>
      <c r="H16" s="48" t="s">
        <v>221</v>
      </c>
    </row>
    <row r="17" spans="2:8" x14ac:dyDescent="0.3">
      <c r="B17" s="47"/>
      <c r="C17" s="47"/>
      <c r="D17" s="48"/>
      <c r="E17" s="48"/>
      <c r="F17" s="48"/>
      <c r="G17" s="48" t="s">
        <v>205</v>
      </c>
      <c r="H17" s="48" t="s">
        <v>222</v>
      </c>
    </row>
    <row r="18" spans="2:8" x14ac:dyDescent="0.3">
      <c r="B18" s="47"/>
      <c r="C18" s="47"/>
      <c r="D18" s="48"/>
      <c r="E18" s="48"/>
      <c r="F18" s="48"/>
      <c r="G18" s="48" t="s">
        <v>206</v>
      </c>
      <c r="H18" s="48" t="s">
        <v>223</v>
      </c>
    </row>
    <row r="24" spans="2:8" x14ac:dyDescent="0.3">
      <c r="C24" t="s">
        <v>169</v>
      </c>
    </row>
    <row r="25" spans="2:8" x14ac:dyDescent="0.3">
      <c r="C25" t="s">
        <v>225</v>
      </c>
    </row>
    <row r="26" spans="2:8" x14ac:dyDescent="0.3">
      <c r="C26" t="s">
        <v>226</v>
      </c>
    </row>
    <row r="27" spans="2:8" x14ac:dyDescent="0.3">
      <c r="C27" t="s">
        <v>227</v>
      </c>
    </row>
    <row r="28" spans="2:8" x14ac:dyDescent="0.3">
      <c r="C28" t="s">
        <v>228</v>
      </c>
    </row>
    <row r="29" spans="2:8" x14ac:dyDescent="0.3">
      <c r="C29" t="s">
        <v>229</v>
      </c>
    </row>
    <row r="30" spans="2:8" x14ac:dyDescent="0.3">
      <c r="C30" t="s">
        <v>169</v>
      </c>
    </row>
    <row r="33" spans="3:11" x14ac:dyDescent="0.3">
      <c r="J33">
        <v>1</v>
      </c>
      <c r="K33">
        <v>2</v>
      </c>
    </row>
    <row r="34" spans="3:11" x14ac:dyDescent="0.3">
      <c r="C34" s="51" t="s">
        <v>235</v>
      </c>
      <c r="D34" s="48" t="s">
        <v>233</v>
      </c>
      <c r="E34" s="48" t="s">
        <v>238</v>
      </c>
      <c r="F34" s="48" t="s">
        <v>236</v>
      </c>
      <c r="G34" s="48" t="s">
        <v>237</v>
      </c>
      <c r="H34" s="48" t="s">
        <v>239</v>
      </c>
      <c r="J34" t="s">
        <v>192</v>
      </c>
      <c r="K34" t="s">
        <v>208</v>
      </c>
    </row>
    <row r="35" spans="3:11" x14ac:dyDescent="0.3">
      <c r="C35" s="47" t="s">
        <v>234</v>
      </c>
      <c r="D35" s="48" t="s">
        <v>170</v>
      </c>
      <c r="E35" s="48" t="s">
        <v>243</v>
      </c>
      <c r="F35" s="48" t="s">
        <v>245</v>
      </c>
      <c r="G35" s="48" t="s">
        <v>247</v>
      </c>
      <c r="H35" s="48"/>
    </row>
    <row r="36" spans="3:11" x14ac:dyDescent="0.3">
      <c r="C36" s="47"/>
      <c r="D36" s="48" t="s">
        <v>240</v>
      </c>
      <c r="E36" s="48" t="s">
        <v>244</v>
      </c>
      <c r="F36" s="48" t="s">
        <v>246</v>
      </c>
      <c r="G36" s="48" t="s">
        <v>248</v>
      </c>
      <c r="H36" s="48"/>
    </row>
    <row r="37" spans="3:11" x14ac:dyDescent="0.3">
      <c r="C37" s="47"/>
      <c r="D37" s="48" t="s">
        <v>241</v>
      </c>
      <c r="E37" s="48"/>
      <c r="F37" s="48"/>
      <c r="G37" s="48" t="s">
        <v>249</v>
      </c>
      <c r="H37" s="48"/>
    </row>
    <row r="38" spans="3:11" x14ac:dyDescent="0.3">
      <c r="C38" s="47"/>
      <c r="D38" s="48" t="s">
        <v>242</v>
      </c>
      <c r="E38" s="48"/>
      <c r="F38" s="48"/>
      <c r="G38" s="48" t="s">
        <v>249</v>
      </c>
      <c r="H38" s="48"/>
    </row>
    <row r="39" spans="3:11" x14ac:dyDescent="0.3">
      <c r="C39" s="47"/>
      <c r="D39" s="48"/>
      <c r="E39" s="48"/>
      <c r="F39" s="48"/>
      <c r="G39" s="48" t="s">
        <v>250</v>
      </c>
      <c r="H39" s="48"/>
    </row>
    <row r="40" spans="3:11" x14ac:dyDescent="0.3">
      <c r="C40" s="47"/>
      <c r="D40" s="48"/>
      <c r="E40" s="48"/>
      <c r="F40" s="48"/>
      <c r="G40" s="48" t="s">
        <v>251</v>
      </c>
      <c r="H40" s="48"/>
    </row>
    <row r="41" spans="3:11" x14ac:dyDescent="0.3">
      <c r="C41" s="47"/>
      <c r="D41" s="48"/>
      <c r="E41" s="48"/>
      <c r="F41" s="48"/>
      <c r="G41" s="48"/>
      <c r="H41" s="48"/>
    </row>
    <row r="43" spans="3:11" x14ac:dyDescent="0.3">
      <c r="C43" t="s">
        <v>252</v>
      </c>
    </row>
    <row r="44" spans="3:11" x14ac:dyDescent="0.3">
      <c r="C44" t="s">
        <v>172</v>
      </c>
      <c r="D44" t="s">
        <v>253</v>
      </c>
    </row>
    <row r="45" spans="3:11" x14ac:dyDescent="0.3">
      <c r="D45" t="s">
        <v>254</v>
      </c>
    </row>
    <row r="46" spans="3:11" x14ac:dyDescent="0.3">
      <c r="D46" t="s">
        <v>255</v>
      </c>
    </row>
    <row r="47" spans="3:11" x14ac:dyDescent="0.3">
      <c r="D47" t="s">
        <v>256</v>
      </c>
    </row>
    <row r="48" spans="3:11" x14ac:dyDescent="0.3">
      <c r="D48" t="s">
        <v>257</v>
      </c>
    </row>
    <row r="49" spans="3:4" x14ac:dyDescent="0.3">
      <c r="C49" t="s">
        <v>177</v>
      </c>
      <c r="D49" t="s">
        <v>258</v>
      </c>
    </row>
    <row r="50" spans="3:4" x14ac:dyDescent="0.3">
      <c r="D50" t="s">
        <v>259</v>
      </c>
    </row>
    <row r="51" spans="3:4" x14ac:dyDescent="0.3">
      <c r="D51" t="s">
        <v>260</v>
      </c>
    </row>
    <row r="52" spans="3:4" x14ac:dyDescent="0.3">
      <c r="D52" t="s">
        <v>263</v>
      </c>
    </row>
    <row r="53" spans="3:4" x14ac:dyDescent="0.3">
      <c r="D53" t="s">
        <v>261</v>
      </c>
    </row>
    <row r="54" spans="3:4" x14ac:dyDescent="0.3">
      <c r="D54" t="s">
        <v>262</v>
      </c>
    </row>
    <row r="55" spans="3:4" x14ac:dyDescent="0.3">
      <c r="D55" t="s">
        <v>264</v>
      </c>
    </row>
    <row r="56" spans="3:4" x14ac:dyDescent="0.3">
      <c r="D56" t="s">
        <v>265</v>
      </c>
    </row>
    <row r="57" spans="3:4" x14ac:dyDescent="0.3">
      <c r="D57" t="s">
        <v>266</v>
      </c>
    </row>
    <row r="58" spans="3:4" x14ac:dyDescent="0.3">
      <c r="D58" t="s">
        <v>268</v>
      </c>
    </row>
    <row r="59" spans="3:4" x14ac:dyDescent="0.3">
      <c r="D59" t="s">
        <v>277</v>
      </c>
    </row>
    <row r="60" spans="3:4" x14ac:dyDescent="0.3">
      <c r="C60" t="s">
        <v>192</v>
      </c>
      <c r="D60" t="s">
        <v>269</v>
      </c>
    </row>
    <row r="61" spans="3:4" x14ac:dyDescent="0.3">
      <c r="D61" t="s">
        <v>267</v>
      </c>
    </row>
    <row r="62" spans="3:4" x14ac:dyDescent="0.3">
      <c r="D62" t="s">
        <v>257</v>
      </c>
    </row>
    <row r="63" spans="3:4" x14ac:dyDescent="0.3">
      <c r="D63" t="s">
        <v>270</v>
      </c>
    </row>
    <row r="64" spans="3:4" x14ac:dyDescent="0.3">
      <c r="D64" t="s">
        <v>271</v>
      </c>
    </row>
    <row r="65" spans="3:4" x14ac:dyDescent="0.3">
      <c r="D65" t="s">
        <v>272</v>
      </c>
    </row>
    <row r="66" spans="3:4" x14ac:dyDescent="0.3">
      <c r="D66" t="s">
        <v>273</v>
      </c>
    </row>
    <row r="67" spans="3:4" x14ac:dyDescent="0.3">
      <c r="C67" t="s">
        <v>187</v>
      </c>
      <c r="D67" t="s">
        <v>274</v>
      </c>
    </row>
    <row r="68" spans="3:4" x14ac:dyDescent="0.3">
      <c r="D68" t="s">
        <v>275</v>
      </c>
    </row>
    <row r="69" spans="3:4" x14ac:dyDescent="0.3">
      <c r="D69" t="s">
        <v>276</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16"/>
  <sheetViews>
    <sheetView workbookViewId="0">
      <selection activeCell="C22" sqref="C22"/>
    </sheetView>
  </sheetViews>
  <sheetFormatPr defaultRowHeight="14.4" x14ac:dyDescent="0.3"/>
  <cols>
    <col min="2" max="2" width="3" bestFit="1" customWidth="1"/>
    <col min="3" max="3" width="130" customWidth="1"/>
  </cols>
  <sheetData>
    <row r="2" spans="2:3" ht="15" customHeight="1" x14ac:dyDescent="0.3">
      <c r="B2" s="52">
        <v>1</v>
      </c>
      <c r="C2" s="54" t="s">
        <v>283</v>
      </c>
    </row>
    <row r="3" spans="2:3" x14ac:dyDescent="0.3">
      <c r="B3" s="52">
        <v>2</v>
      </c>
      <c r="C3" s="53" t="s">
        <v>284</v>
      </c>
    </row>
    <row r="4" spans="2:3" x14ac:dyDescent="0.3">
      <c r="B4" s="52">
        <v>3</v>
      </c>
      <c r="C4" s="52" t="s">
        <v>285</v>
      </c>
    </row>
    <row r="5" spans="2:3" x14ac:dyDescent="0.3">
      <c r="B5" s="52">
        <v>4</v>
      </c>
      <c r="C5" s="53" t="s">
        <v>286</v>
      </c>
    </row>
    <row r="6" spans="2:3" x14ac:dyDescent="0.3">
      <c r="B6" s="52">
        <v>5</v>
      </c>
      <c r="C6" s="52" t="s">
        <v>287</v>
      </c>
    </row>
    <row r="7" spans="2:3" ht="28.8" x14ac:dyDescent="0.3">
      <c r="B7" s="52">
        <v>6</v>
      </c>
      <c r="C7" s="53" t="s">
        <v>288</v>
      </c>
    </row>
    <row r="8" spans="2:3" ht="72" x14ac:dyDescent="0.3">
      <c r="B8" s="52">
        <v>7</v>
      </c>
      <c r="C8" s="53" t="s">
        <v>289</v>
      </c>
    </row>
    <row r="9" spans="2:3" x14ac:dyDescent="0.3">
      <c r="B9" s="52">
        <v>8</v>
      </c>
      <c r="C9" s="52" t="s">
        <v>290</v>
      </c>
    </row>
    <row r="10" spans="2:3" x14ac:dyDescent="0.3">
      <c r="B10" s="52">
        <v>9</v>
      </c>
      <c r="C10" s="52" t="s">
        <v>291</v>
      </c>
    </row>
    <row r="11" spans="2:3" x14ac:dyDescent="0.3">
      <c r="B11" s="52">
        <v>10</v>
      </c>
      <c r="C11" s="52" t="s">
        <v>292</v>
      </c>
    </row>
    <row r="12" spans="2:3" x14ac:dyDescent="0.3">
      <c r="B12" s="52">
        <v>11</v>
      </c>
      <c r="C12" s="52" t="s">
        <v>293</v>
      </c>
    </row>
    <row r="13" spans="2:3" x14ac:dyDescent="0.3">
      <c r="B13" s="52">
        <v>12</v>
      </c>
      <c r="C13" s="52" t="s">
        <v>294</v>
      </c>
    </row>
    <row r="14" spans="2:3" x14ac:dyDescent="0.3">
      <c r="B14" s="52">
        <v>13</v>
      </c>
      <c r="C14" s="52" t="s">
        <v>295</v>
      </c>
    </row>
    <row r="15" spans="2:3" x14ac:dyDescent="0.3">
      <c r="B15" s="52">
        <v>14</v>
      </c>
      <c r="C15" s="52"/>
    </row>
    <row r="16" spans="2:3" x14ac:dyDescent="0.3">
      <c r="B16" s="52">
        <v>15</v>
      </c>
      <c r="C16" s="52"/>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Kunal Kadam</cp:lastModifiedBy>
  <cp:lastPrinted>2025-07-09T13:06:47Z</cp:lastPrinted>
  <dcterms:created xsi:type="dcterms:W3CDTF">2019-07-16T09:29:46Z</dcterms:created>
  <dcterms:modified xsi:type="dcterms:W3CDTF">2025-07-09T13:07:44Z</dcterms:modified>
</cp:coreProperties>
</file>