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0F8FEBDE-3D6F-4D78-B40D-5090BB6EA39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Report!$A$1:$H$268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62" i="1" l="1"/>
  <c r="E161" i="1"/>
  <c r="C75" i="1"/>
  <c r="C61" i="1"/>
  <c r="H76" i="1"/>
  <c r="H62" i="1"/>
  <c r="D87" i="1" l="1"/>
  <c r="D83" i="1"/>
  <c r="K79" i="1"/>
  <c r="K78" i="1"/>
  <c r="D86" i="1"/>
  <c r="D82" i="1"/>
  <c r="D84" i="1"/>
  <c r="K81" i="1"/>
  <c r="D85" i="1"/>
  <c r="D81" i="1"/>
  <c r="D88" i="1"/>
  <c r="K80" i="1"/>
  <c r="D67" i="1"/>
  <c r="K66" i="1"/>
  <c r="D71" i="1"/>
  <c r="D73" i="1"/>
  <c r="D69" i="1"/>
  <c r="K64" i="1"/>
  <c r="K65" i="1"/>
  <c r="D70" i="1"/>
  <c r="D72" i="1"/>
  <c r="D68" i="1"/>
  <c r="K67" i="1"/>
  <c r="K68" i="1" s="1"/>
  <c r="D74" i="1"/>
  <c r="K82" i="1" l="1"/>
  <c r="K83" i="1" s="1"/>
  <c r="K84" i="1" s="1"/>
  <c r="K85" i="1" s="1"/>
  <c r="K86" i="1" s="1"/>
  <c r="D79" i="1"/>
  <c r="K69" i="1"/>
  <c r="K70" i="1" s="1"/>
  <c r="K71" i="1" s="1"/>
  <c r="K72" i="1" s="1"/>
  <c r="D65" i="1"/>
  <c r="K87" i="1" l="1"/>
  <c r="K88" i="1" s="1"/>
  <c r="K73" i="1"/>
  <c r="K74" i="1" s="1"/>
  <c r="D80" i="1" l="1"/>
  <c r="G79" i="1"/>
  <c r="I75" i="1"/>
  <c r="C77" i="1" s="1"/>
  <c r="E79" i="1" s="1"/>
  <c r="D66" i="1"/>
  <c r="I61" i="1"/>
  <c r="C63" i="1" s="1"/>
  <c r="E65" i="1" s="1"/>
  <c r="G65" i="1"/>
  <c r="D60" i="1" l="1"/>
  <c r="F89" i="1"/>
  <c r="D153" i="1" l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N149" i="1"/>
  <c r="N150" i="1" s="1"/>
  <c r="N151" i="1" s="1"/>
  <c r="N152" i="1" s="1"/>
  <c r="N153" i="1" s="1"/>
  <c r="G148" i="1"/>
  <c r="O147" i="1"/>
  <c r="D162" i="1"/>
  <c r="F162" i="1" s="1"/>
  <c r="I162" i="1" s="1"/>
  <c r="D161" i="1"/>
  <c r="F161" i="1" s="1"/>
  <c r="N162" i="1"/>
  <c r="G161" i="1"/>
  <c r="O160" i="1"/>
  <c r="D146" i="1"/>
  <c r="F146" i="1" s="1"/>
  <c r="D145" i="1"/>
  <c r="F145" i="1" s="1"/>
  <c r="D144" i="1"/>
  <c r="F144" i="1" s="1"/>
  <c r="D143" i="1"/>
  <c r="F143" i="1" s="1"/>
  <c r="N142" i="1"/>
  <c r="N143" i="1" s="1"/>
  <c r="N144" i="1" s="1"/>
  <c r="N145" i="1" s="1"/>
  <c r="N146" i="1" s="1"/>
  <c r="D142" i="1"/>
  <c r="F142" i="1" s="1"/>
  <c r="G141" i="1"/>
  <c r="D141" i="1"/>
  <c r="F141" i="1" s="1"/>
  <c r="O140" i="1"/>
  <c r="E159" i="1"/>
  <c r="E158" i="1"/>
  <c r="D159" i="1"/>
  <c r="D158" i="1"/>
  <c r="O157" i="1"/>
  <c r="O133" i="1"/>
  <c r="N159" i="1"/>
  <c r="G158" i="1"/>
  <c r="D125" i="1"/>
  <c r="F125" i="1" s="1"/>
  <c r="D124" i="1"/>
  <c r="F124" i="1" s="1"/>
  <c r="D123" i="1"/>
  <c r="F123" i="1" s="1"/>
  <c r="D122" i="1"/>
  <c r="F122" i="1" s="1"/>
  <c r="D121" i="1"/>
  <c r="F121" i="1" s="1"/>
  <c r="D120" i="1"/>
  <c r="F120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18" i="1"/>
  <c r="D117" i="1"/>
  <c r="D116" i="1"/>
  <c r="D115" i="1"/>
  <c r="D137" i="1"/>
  <c r="D136" i="1"/>
  <c r="D138" i="1"/>
  <c r="D139" i="1"/>
  <c r="D135" i="1"/>
  <c r="D134" i="1"/>
  <c r="N128" i="1"/>
  <c r="N129" i="1" s="1"/>
  <c r="N130" i="1" s="1"/>
  <c r="N131" i="1" s="1"/>
  <c r="N132" i="1" s="1"/>
  <c r="P127" i="1"/>
  <c r="G127" i="1"/>
  <c r="G128" i="1" s="1"/>
  <c r="G129" i="1" s="1"/>
  <c r="G130" i="1" s="1"/>
  <c r="G131" i="1" s="1"/>
  <c r="G132" i="1" s="1"/>
  <c r="N121" i="1"/>
  <c r="N122" i="1" s="1"/>
  <c r="N123" i="1" s="1"/>
  <c r="N124" i="1" s="1"/>
  <c r="N125" i="1" s="1"/>
  <c r="P120" i="1"/>
  <c r="G120" i="1"/>
  <c r="G121" i="1" s="1"/>
  <c r="G122" i="1" s="1"/>
  <c r="G123" i="1" s="1"/>
  <c r="G124" i="1" s="1"/>
  <c r="G125" i="1" s="1"/>
  <c r="O120" i="1"/>
  <c r="P140" i="1"/>
  <c r="P157" i="1"/>
  <c r="P160" i="1"/>
  <c r="O141" i="1"/>
  <c r="P147" i="1"/>
  <c r="O148" i="1"/>
  <c r="O158" i="1"/>
  <c r="O161" i="1"/>
  <c r="O127" i="1"/>
  <c r="E107" i="1" l="1"/>
  <c r="C107" i="1"/>
  <c r="E106" i="1"/>
  <c r="C106" i="1"/>
  <c r="I161" i="1"/>
  <c r="F159" i="1"/>
  <c r="I159" i="1" s="1"/>
  <c r="O149" i="1"/>
  <c r="O162" i="1"/>
  <c r="O142" i="1"/>
  <c r="F158" i="1"/>
  <c r="I158" i="1" s="1"/>
  <c r="O159" i="1"/>
  <c r="O128" i="1"/>
  <c r="L127" i="1"/>
  <c r="A127" i="1" s="1"/>
  <c r="O121" i="1"/>
  <c r="L120" i="1"/>
  <c r="A120" i="1" s="1"/>
  <c r="F6" i="5"/>
  <c r="F5" i="5"/>
  <c r="P158" i="1"/>
  <c r="P141" i="1"/>
  <c r="P161" i="1"/>
  <c r="P148" i="1"/>
  <c r="C108" i="1" l="1"/>
  <c r="G107" i="1"/>
  <c r="E108" i="1"/>
  <c r="P149" i="1"/>
  <c r="P150" i="1" s="1"/>
  <c r="P151" i="1" s="1"/>
  <c r="P152" i="1" s="1"/>
  <c r="P153" i="1" s="1"/>
  <c r="L148" i="1"/>
  <c r="A148" i="1" s="1"/>
  <c r="O150" i="1"/>
  <c r="P162" i="1"/>
  <c r="L162" i="1" s="1"/>
  <c r="A162" i="1" s="1"/>
  <c r="L161" i="1"/>
  <c r="A161" i="1" s="1"/>
  <c r="P142" i="1"/>
  <c r="P143" i="1" s="1"/>
  <c r="P144" i="1" s="1"/>
  <c r="P145" i="1" s="1"/>
  <c r="P146" i="1" s="1"/>
  <c r="L141" i="1"/>
  <c r="A141" i="1" s="1"/>
  <c r="O143" i="1"/>
  <c r="P159" i="1"/>
  <c r="L159" i="1" s="1"/>
  <c r="A159" i="1" s="1"/>
  <c r="L158" i="1"/>
  <c r="A158" i="1" s="1"/>
  <c r="O129" i="1"/>
  <c r="L128" i="1"/>
  <c r="A128" i="1" s="1"/>
  <c r="O122" i="1"/>
  <c r="L121" i="1"/>
  <c r="A121" i="1" s="1"/>
  <c r="P133" i="1"/>
  <c r="L149" i="1" l="1"/>
  <c r="A149" i="1" s="1"/>
  <c r="L150" i="1"/>
  <c r="A150" i="1" s="1"/>
  <c r="O151" i="1"/>
  <c r="L142" i="1"/>
  <c r="A142" i="1" s="1"/>
  <c r="O144" i="1"/>
  <c r="L143" i="1"/>
  <c r="A143" i="1" s="1"/>
  <c r="O130" i="1"/>
  <c r="L129" i="1"/>
  <c r="A129" i="1" s="1"/>
  <c r="O123" i="1"/>
  <c r="L122" i="1"/>
  <c r="A122" i="1" s="1"/>
  <c r="O152" i="1" l="1"/>
  <c r="L151" i="1"/>
  <c r="A151" i="1" s="1"/>
  <c r="O145" i="1"/>
  <c r="L144" i="1"/>
  <c r="A144" i="1" s="1"/>
  <c r="O131" i="1"/>
  <c r="L130" i="1"/>
  <c r="A130" i="1" s="1"/>
  <c r="L123" i="1"/>
  <c r="A123" i="1" s="1"/>
  <c r="O124" i="1"/>
  <c r="E12" i="7"/>
  <c r="C12" i="7"/>
  <c r="E27" i="7"/>
  <c r="C27" i="7"/>
  <c r="O153" i="1" l="1"/>
  <c r="L153" i="1" s="1"/>
  <c r="A153" i="1" s="1"/>
  <c r="L152" i="1"/>
  <c r="A152" i="1" s="1"/>
  <c r="L145" i="1"/>
  <c r="A145" i="1" s="1"/>
  <c r="O146" i="1"/>
  <c r="L146" i="1" s="1"/>
  <c r="A146" i="1" s="1"/>
  <c r="O132" i="1"/>
  <c r="L132" i="1" s="1"/>
  <c r="A132" i="1" s="1"/>
  <c r="L131" i="1"/>
  <c r="A131" i="1" s="1"/>
  <c r="O125" i="1"/>
  <c r="L125" i="1" s="1"/>
  <c r="A125" i="1" s="1"/>
  <c r="L124" i="1"/>
  <c r="A124" i="1" s="1"/>
  <c r="F10" i="7"/>
  <c r="F8" i="7"/>
  <c r="F7" i="7"/>
  <c r="F5" i="7"/>
  <c r="F9" i="7" s="1"/>
  <c r="F11" i="7" l="1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H40" i="7" l="1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D21" i="7" s="1"/>
  <c r="D22" i="7" s="1"/>
  <c r="D23" i="7" s="1"/>
  <c r="H26" i="7"/>
  <c r="B21" i="7" l="1"/>
  <c r="B22" i="7"/>
  <c r="B23" i="7"/>
  <c r="H41" i="7"/>
  <c r="B38" i="7"/>
  <c r="B39" i="7" s="1"/>
  <c r="B40" i="7" s="1"/>
  <c r="I44" i="7"/>
  <c r="H12" i="7"/>
  <c r="H44" i="7"/>
  <c r="H24" i="7"/>
  <c r="I24" i="7"/>
  <c r="I27" i="7" s="1"/>
  <c r="B41" i="7" l="1"/>
  <c r="B42" i="7" s="1"/>
  <c r="D24" i="7"/>
  <c r="D25" i="7" s="1"/>
  <c r="B24" i="7"/>
  <c r="B25" i="7" s="1"/>
  <c r="H27" i="7"/>
  <c r="E40" i="1" l="1"/>
  <c r="E41" i="1" s="1"/>
  <c r="F139" i="1" l="1"/>
  <c r="F138" i="1"/>
  <c r="F137" i="1"/>
  <c r="F136" i="1"/>
  <c r="F135" i="1"/>
  <c r="F134" i="1"/>
  <c r="F116" i="1"/>
  <c r="F117" i="1"/>
  <c r="F118" i="1"/>
  <c r="F115" i="1"/>
  <c r="E3" i="1"/>
  <c r="O134" i="1"/>
  <c r="G106" i="1" l="1"/>
  <c r="G108" i="1" s="1"/>
  <c r="D58" i="1"/>
  <c r="N135" i="1"/>
  <c r="N136" i="1" s="1"/>
  <c r="N137" i="1" s="1"/>
  <c r="N138" i="1" s="1"/>
  <c r="N139" i="1" s="1"/>
  <c r="O135" i="1"/>
  <c r="P134" i="1"/>
  <c r="L134" i="1" l="1"/>
  <c r="A134" i="1" s="1"/>
  <c r="P135" i="1"/>
  <c r="P136" i="1" s="1"/>
  <c r="P137" i="1" s="1"/>
  <c r="P138" i="1" s="1"/>
  <c r="P139" i="1" s="1"/>
  <c r="O136" i="1"/>
  <c r="N116" i="1"/>
  <c r="N117" i="1" s="1"/>
  <c r="N118" i="1" s="1"/>
  <c r="G134" i="1"/>
  <c r="P115" i="1"/>
  <c r="G115" i="1"/>
  <c r="G116" i="1" s="1"/>
  <c r="G117" i="1" s="1"/>
  <c r="G118" i="1" s="1"/>
  <c r="E24" i="1"/>
  <c r="E22" i="1"/>
  <c r="O115" i="1"/>
  <c r="L136" i="1" l="1"/>
  <c r="A136" i="1" s="1"/>
  <c r="L135" i="1"/>
  <c r="A135" i="1" s="1"/>
  <c r="O137" i="1"/>
  <c r="L137" i="1" s="1"/>
  <c r="L115" i="1"/>
  <c r="A115" i="1" s="1"/>
  <c r="O116" i="1"/>
  <c r="L116" i="1" s="1"/>
  <c r="A116" i="1" s="1"/>
  <c r="G6" i="5"/>
  <c r="G5" i="5"/>
  <c r="A137" i="1" l="1"/>
  <c r="O138" i="1"/>
  <c r="L138" i="1" s="1"/>
  <c r="O117" i="1"/>
  <c r="L117" i="1" s="1"/>
  <c r="A117" i="1" s="1"/>
  <c r="G7" i="5"/>
  <c r="A138" i="1" l="1"/>
  <c r="O139" i="1"/>
  <c r="L139" i="1" s="1"/>
  <c r="O118" i="1"/>
  <c r="L118" i="1" s="1"/>
  <c r="A118" i="1" s="1"/>
  <c r="A139" i="1" l="1"/>
  <c r="E7" i="1" l="1"/>
  <c r="D185" i="1" l="1"/>
  <c r="F103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4" authorId="0" shapeId="0" xr:uid="{00000000-0006-0000-0100-000001000000}">
      <text>
        <r>
          <rPr>
            <sz val="10"/>
            <rFont val="Arial"/>
            <family val="2"/>
          </rPr>
          <t>No of habitable floors</t>
        </r>
      </text>
    </comment>
    <comment ref="F6" authorId="0" shapeId="0" xr:uid="{00000000-0006-0000-0100-000002000000}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 xr:uid="{00000000-0006-0000-0100-000003000000}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 xr:uid="{00000000-0006-0000-0100-000004000000}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 xr:uid="{00000000-0006-0000-0100-000005000000}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 xr:uid="{00000000-0006-0000-0100-000006000000}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 xr:uid="{00000000-0006-0000-0100-000007000000}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 xr:uid="{00000000-0006-0000-0100-000008000000}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 xr:uid="{00000000-0006-0000-0100-000009000000}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<sst xmlns="http://schemas.openxmlformats.org/spreadsheetml/2006/main" count="449" uniqueCount="257">
  <si>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</si>
  <si>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</si>
  <si>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</si>
  <si>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</si>
  <si>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</si>
  <si>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</si>
  <si>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</si>
  <si>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</si>
  <si>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</si>
  <si>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</si>
  <si>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</si>
  <si>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</si>
  <si>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</si>
  <si>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</si>
  <si>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</si>
  <si>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</si>
  <si>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</si>
  <si>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</si>
  <si>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</si>
  <si>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</si>
  <si>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</si>
  <si>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</si>
  <si>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</si>
  <si>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</si>
  <si>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</si>
  <si>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</si>
  <si>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</si>
  <si>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</si>
  <si>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</si>
  <si>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</si>
  <si>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</si>
  <si>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</si>
  <si>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</si>
  <si>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</si>
  <si>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</si>
  <si>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</si>
  <si>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</si>
  <si>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</si>
  <si>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</si>
  <si>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</si>
  <si>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</si>
  <si>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</si>
  <si>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</si>
  <si>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</si>
  <si>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</si>
  <si>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</si>
  <si>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</si>
  <si>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</si>
  <si>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</si>
  <si>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</si>
  <si>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</si>
  <si>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</si>
  <si>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</si>
  <si>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</si>
  <si>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</si>
  <si>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</si>
  <si>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</si>
  <si>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</si>
  <si>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</si>
  <si>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</si>
  <si>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</si>
  <si>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</si>
  <si>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</si>
  <si>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</si>
  <si>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</si>
  <si>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</si>
  <si>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</si>
  <si>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</si>
  <si>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</si>
  <si>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</si>
  <si>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</si>
  <si>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</si>
  <si>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</si>
  <si>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</si>
  <si>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</si>
  <si>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</si>
  <si>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</si>
  <si>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</si>
  <si>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</si>
  <si>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</si>
  <si>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</si>
  <si>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</si>
  <si>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</si>
  <si>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</si>
  <si>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</si>
  <si>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</si>
  <si>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</si>
  <si>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</si>
  <si>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</si>
  <si>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</si>
  <si>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</si>
  <si>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</si>
  <si>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</si>
  <si>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</si>
  <si>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</si>
  <si>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</si>
  <si>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</si>
  <si>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</si>
  <si>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</si>
  <si>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</si>
  <si>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</si>
  <si>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</si>
  <si>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</si>
  <si>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</si>
  <si>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</si>
  <si>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</si>
  <si>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</si>
  <si>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</si>
  <si>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</si>
  <si>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</si>
  <si>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</si>
  <si>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</si>
  <si>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</si>
  <si>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</si>
  <si>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</si>
  <si>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</si>
  <si>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</si>
  <si>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</si>
  <si>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</si>
  <si>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</si>
  <si>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</si>
  <si>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</si>
  <si>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</si>
  <si>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</si>
  <si>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</si>
  <si>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</si>
  <si>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</si>
  <si>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</si>
  <si>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</si>
  <si>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</si>
  <si>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</si>
  <si>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</si>
  <si>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</si>
  <si>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</si>
  <si>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</si>
  <si>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</si>
  <si>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</si>
  <si>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</si>
  <si>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</si>
  <si>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</si>
  <si>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</si>
  <si>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</si>
  <si>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</si>
  <si>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</si>
  <si>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</si>
  <si>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</si>
  <si>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</si>
  <si>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3BHK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</si>
  <si>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</si>
  <si>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</si>
  <si>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</si>
  <si>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</si>
  <si>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</si>
  <si>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</si>
  <si>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</si>
  <si>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</si>
  <si>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</si>
  <si>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</si>
  <si>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</si>
  <si>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 xml:space="preserve"> to 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</si>
  <si>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</si>
  <si>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</si>
  <si>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</si>
  <si>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</si>
  <si>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</si>
  <si>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</si>
  <si>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</si>
  <si>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</si>
  <si>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</si>
  <si>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</si>
  <si>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</si>
  <si>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</si>
  <si>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</si>
  <si>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</si>
  <si>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</si>
  <si>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</si>
  <si>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</si>
  <si>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</si>
  <si>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</si>
  <si>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</si>
  <si>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</si>
  <si>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</si>
  <si>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</si>
  <si>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</si>
  <si>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</si>
  <si>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</si>
  <si>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</si>
  <si>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</si>
  <si>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External Plaster &amp; Plumbing &amp; Painting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</si>
  <si>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</si>
  <si>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</si>
  <si>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</si>
  <si>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</si>
  <si>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</si>
  <si>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C Wing = G + 5th Floor</t>
  </si>
  <si>
    <t>Axis Sanpada</t>
  </si>
  <si>
    <t>M/s.Omkar Enterprises</t>
  </si>
  <si>
    <t>Omkar Planet</t>
  </si>
  <si>
    <t xml:space="preserve">P51700029084
</t>
  </si>
  <si>
    <t>Plot No</t>
  </si>
  <si>
    <t>Nerul</t>
  </si>
  <si>
    <t>Locality</t>
  </si>
  <si>
    <t>Thane</t>
  </si>
  <si>
    <t>MSEDCL Office</t>
  </si>
  <si>
    <t>Sector 6 Nerul Road</t>
  </si>
  <si>
    <t>NMMP/NRV/SSNR/B.P./P.K.20201CNMMC16977/3284/2020.</t>
  </si>
  <si>
    <t>20201CNMMC16677/NRV/A/3284</t>
  </si>
  <si>
    <t>housing</t>
  </si>
  <si>
    <t>2BHK</t>
  </si>
  <si>
    <t>On Site, we meet Mr.Sakharam - 9970167955.</t>
  </si>
  <si>
    <t>Approved Plans, CC, Sale Plans</t>
  </si>
  <si>
    <t>Residential</t>
  </si>
  <si>
    <t>02 Wings</t>
  </si>
  <si>
    <t>Flats - 162</t>
  </si>
  <si>
    <t>1st Floor</t>
  </si>
  <si>
    <t>1BHK</t>
  </si>
  <si>
    <t>3rd Floor</t>
  </si>
  <si>
    <t>A Wing - Rehab Wing</t>
  </si>
  <si>
    <t>4th, 6th, 8th, 10th, 12th, 14th &amp; 16th Floor</t>
  </si>
  <si>
    <t>B Wing - Sale Wing</t>
  </si>
  <si>
    <t>5th, 7th, 9th, 11th, 13th, 15th Floor</t>
  </si>
  <si>
    <t>17th to 23rd Floor</t>
  </si>
  <si>
    <t>We considered  Saleable area  as per our calculation.</t>
  </si>
  <si>
    <t>We considered Gross carpet area = Net carpet + Enclose balcony.</t>
  </si>
  <si>
    <t>1st &amp; 2nd Floor for Parking</t>
  </si>
  <si>
    <t>3rd Floor for Amenites</t>
  </si>
  <si>
    <t>A Wing-Rehab</t>
  </si>
  <si>
    <t>B Wing-Sale</t>
  </si>
  <si>
    <t>16 &amp; Sector No.6</t>
  </si>
  <si>
    <t>Basement</t>
  </si>
  <si>
    <t>Piling Work in process</t>
  </si>
  <si>
    <t>Basement 1</t>
  </si>
  <si>
    <t>Basement 2</t>
  </si>
  <si>
    <t>Basement 3</t>
  </si>
  <si>
    <t>Basement 4</t>
  </si>
  <si>
    <t>7,00,000/-</t>
  </si>
  <si>
    <t>Wing A (Rehab) &amp; Wing B (Sale)</t>
  </si>
  <si>
    <t>Sagardeep Chs Ltd</t>
  </si>
  <si>
    <t>Shivam Chs Ltd</t>
  </si>
  <si>
    <t>Varuna Chs Ltd</t>
  </si>
  <si>
    <t>Himalaya Chs Ltd</t>
  </si>
  <si>
    <t>1.7Km from Nerul Railway Station</t>
  </si>
  <si>
    <t>Wing A (Rehab) = B + Gr + 23rd Floor</t>
  </si>
  <si>
    <t>Wing A (Rehab) = B + Gr + 23rd Floor
Wing B (Sale) = B + Gr + 16th Floor</t>
  </si>
  <si>
    <t>Wing B (Sale) = B + Gr + 16th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</si>
  <si>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</si>
  <si>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https://goo.gl/maps/cWQVWaJRvXvHtNBT9</t>
  </si>
  <si>
    <t>Location Link</t>
  </si>
  <si>
    <t>Valid Up to: Wing A (Rehab) = B + Gr + 23rd Floor
Wing B (Sale) = B + Gr + 16th Floor</t>
  </si>
  <si>
    <t>Latitude,Longitude</t>
  </si>
  <si>
    <t>19.0420138,73.0102479</t>
  </si>
  <si>
    <t>Mr. Mayur Ranvare</t>
  </si>
  <si>
    <t>As per RERA, completion period of project is expired on 08/12/2024 but still project is under construction.</t>
  </si>
  <si>
    <t>Construction work is in process at the time of Visit (Slow speed).</t>
  </si>
  <si>
    <t>As per RERA - 30/06/2027</t>
  </si>
  <si>
    <t>Kunal Kadam</t>
  </si>
  <si>
    <t>The project has received first CC on 09/12/2020, But construction work is not yet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</si>
</sst>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1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0" xfId="0" applyNumberFormat="1" applyFont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167" fontId="8" fillId="0" borderId="0" xfId="1" applyNumberFormat="1" applyFont="1"/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25" fillId="4" borderId="25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 applyProtection="1">
      <alignment horizontal="center" vertical="center" wrapText="1"/>
      <protection locked="0"/>
    </xf>
    <xf numFmtId="164" fontId="25" fillId="5" borderId="25" xfId="0" applyNumberFormat="1" applyFont="1" applyFill="1" applyBorder="1" applyAlignment="1">
      <alignment horizontal="center" vertical="center" wrapText="1"/>
    </xf>
    <xf numFmtId="0" fontId="25" fillId="6" borderId="25" xfId="0" applyFont="1" applyFill="1" applyBorder="1" applyAlignment="1" applyProtection="1">
      <alignment horizontal="center" vertical="center" wrapText="1"/>
      <protection locked="0"/>
    </xf>
    <xf numFmtId="0" fontId="25" fillId="7" borderId="25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1" fontId="25" fillId="8" borderId="25" xfId="0" applyNumberFormat="1" applyFont="1" applyFill="1" applyBorder="1" applyAlignment="1">
      <alignment horizontal="center" vertical="center" wrapText="1"/>
    </xf>
    <xf numFmtId="0" fontId="18" fillId="0" borderId="13" xfId="0" applyFont="1" applyBorder="1" applyProtection="1">
      <protection hidden="1"/>
    </xf>
    <xf numFmtId="1" fontId="25" fillId="5" borderId="25" xfId="0" applyNumberFormat="1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left" vertical="top" wrapText="1"/>
    </xf>
    <xf numFmtId="0" fontId="25" fillId="5" borderId="25" xfId="0" applyFont="1" applyFill="1" applyBorder="1" applyAlignment="1">
      <alignment horizontal="center" vertical="top" wrapText="1"/>
    </xf>
    <xf numFmtId="0" fontId="25" fillId="5" borderId="25" xfId="0" applyFont="1" applyFill="1" applyBorder="1" applyAlignment="1" applyProtection="1">
      <alignment horizontal="center" vertical="top" wrapText="1"/>
      <protection locked="0"/>
    </xf>
    <xf numFmtId="164" fontId="25" fillId="5" borderId="25" xfId="0" applyNumberFormat="1" applyFont="1" applyFill="1" applyBorder="1" applyAlignment="1">
      <alignment horizontal="center" vertical="top" wrapText="1"/>
    </xf>
    <xf numFmtId="0" fontId="26" fillId="4" borderId="25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1" fontId="0" fillId="0" borderId="13" xfId="0" applyNumberFormat="1" applyBorder="1"/>
    <xf numFmtId="1" fontId="0" fillId="0" borderId="0" xfId="0" applyNumberFormat="1"/>
    <xf numFmtId="164" fontId="0" fillId="0" borderId="0" xfId="0" applyNumberFormat="1"/>
    <xf numFmtId="1" fontId="0" fillId="0" borderId="13" xfId="0" applyNumberFormat="1" applyBorder="1" applyAlignment="1">
      <alignment horizontal="right"/>
    </xf>
    <xf numFmtId="0" fontId="0" fillId="0" borderId="13" xfId="0" applyBorder="1"/>
    <xf numFmtId="0" fontId="18" fillId="0" borderId="14" xfId="0" applyFont="1" applyBorder="1" applyProtection="1">
      <protection hidden="1"/>
    </xf>
    <xf numFmtId="9" fontId="18" fillId="0" borderId="14" xfId="0" applyNumberFormat="1" applyFont="1" applyBorder="1" applyProtection="1">
      <protection hidden="1"/>
    </xf>
    <xf numFmtId="1" fontId="0" fillId="0" borderId="15" xfId="0" applyNumberFormat="1" applyBorder="1"/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4" fillId="0" borderId="28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9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8" xfId="1" applyFont="1" applyBorder="1" applyAlignment="1" applyProtection="1">
      <alignment horizontal="center" vertical="top" wrapText="1"/>
      <protection locked="0"/>
    </xf>
    <xf numFmtId="0" fontId="9" fillId="0" borderId="18" xfId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29" xfId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6" fillId="0" borderId="22" xfId="1" applyFont="1" applyBorder="1" applyAlignment="1" applyProtection="1">
      <alignment horizontal="left" vertical="top"/>
      <protection locked="0"/>
    </xf>
    <xf numFmtId="0" fontId="16" fillId="0" borderId="2" xfId="1" applyFont="1" applyBorder="1" applyAlignment="1" applyProtection="1">
      <alignment horizontal="left" vertical="top"/>
      <protection locked="0"/>
    </xf>
    <xf numFmtId="0" fontId="16" fillId="0" borderId="23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167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28" fillId="0" borderId="9" xfId="9" applyBorder="1" applyAlignment="1" applyProtection="1">
      <alignment horizontal="left"/>
      <protection locked="0"/>
    </xf>
    <xf numFmtId="0" fontId="28" fillId="0" borderId="24" xfId="9" applyBorder="1" applyAlignment="1" applyProtection="1">
      <alignment horizontal="left"/>
      <protection locked="0"/>
    </xf>
    <xf numFmtId="0" fontId="28" fillId="0" borderId="10" xfId="9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31" xfId="1" applyNumberFormat="1" applyFont="1" applyBorder="1" applyAlignment="1" applyProtection="1">
      <alignment horizontal="center" vertical="center" wrapText="1"/>
      <protection locked="0"/>
    </xf>
    <xf numFmtId="1" fontId="7" fillId="0" borderId="32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center" vertical="top"/>
      <protection locked="0"/>
    </xf>
    <xf numFmtId="0" fontId="9" fillId="0" borderId="24" xfId="1" applyFont="1" applyBorder="1" applyAlignment="1" applyProtection="1">
      <alignment horizontal="center" vertical="top"/>
      <protection locked="0"/>
    </xf>
    <xf numFmtId="0" fontId="9" fillId="0" borderId="10" xfId="1" applyFont="1" applyBorder="1" applyAlignment="1" applyProtection="1">
      <alignment horizontal="center" vertical="top"/>
      <protection locked="0"/>
    </xf>
    <xf numFmtId="1" fontId="29" fillId="0" borderId="9" xfId="0" applyNumberFormat="1" applyFont="1" applyBorder="1" applyAlignment="1" applyProtection="1">
      <alignment vertical="top" wrapText="1"/>
      <protection locked="0"/>
    </xf>
    <xf numFmtId="1" fontId="29" fillId="0" borderId="24" xfId="0" applyNumberFormat="1" applyFont="1" applyBorder="1" applyAlignment="1" applyProtection="1">
      <alignment vertical="top" wrapText="1"/>
      <protection locked="0"/>
    </xf>
    <xf numFmtId="1" fontId="29" fillId="0" borderId="10" xfId="0" applyNumberFormat="1" applyFont="1" applyBorder="1" applyAlignment="1" applyProtection="1">
      <alignment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24" fillId="4" borderId="25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/>
    </xf>
    <xf numFmtId="0" fontId="27" fillId="3" borderId="24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247</xdr:row>
      <xdr:rowOff>141846</xdr:rowOff>
    </xdr:from>
    <xdr:to>
      <xdr:col>7</xdr:col>
      <xdr:colOff>275722</xdr:colOff>
      <xdr:row>265</xdr:row>
      <xdr:rowOff>111140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65" y="50299375"/>
          <a:ext cx="581142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504266</xdr:colOff>
      <xdr:row>229</xdr:row>
      <xdr:rowOff>11206</xdr:rowOff>
    </xdr:from>
    <xdr:to>
      <xdr:col>7</xdr:col>
      <xdr:colOff>275723</xdr:colOff>
      <xdr:row>246</xdr:row>
      <xdr:rowOff>182206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266" y="46538030"/>
          <a:ext cx="581142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1076325</xdr:colOff>
      <xdr:row>180</xdr:row>
      <xdr:rowOff>119063</xdr:rowOff>
    </xdr:from>
    <xdr:to>
      <xdr:col>21</xdr:col>
      <xdr:colOff>505339</xdr:colOff>
      <xdr:row>216</xdr:row>
      <xdr:rowOff>197849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690485" y="37167503"/>
          <a:ext cx="5464054" cy="7203486"/>
          <a:chOff x="542925" y="37971413"/>
          <a:chExt cx="5313559" cy="7270161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542925" y="37980938"/>
            <a:ext cx="5313559" cy="7260636"/>
            <a:chOff x="542925" y="37980938"/>
            <a:chExt cx="5313559" cy="7260636"/>
          </a:xfrm>
        </xdr:grpSpPr>
        <xdr:pic>
          <xdr:nvPicPr>
            <xdr:cNvPr id="20" name="Picture 19" descr="https://vsjcllp.vsjadon.com/upload/insp-226087-1525.jpg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86275" y="43414949"/>
              <a:ext cx="1370209" cy="18218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 descr="https://vsjcllp.vsjadon.com/upload/insp-226087-843.jpg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00300" y="41181338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26087-845.jpg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05275" y="41181338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26087-844.jp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76275" y="41181338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 descr="https://vsjcllp.vsjadon.com/upload/insp-226087-849.jpg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2925" y="43418124"/>
              <a:ext cx="2416825" cy="18218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26087-860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57550" y="37980938"/>
              <a:ext cx="2352675" cy="31281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26087-940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9150" y="37980938"/>
              <a:ext cx="2352675" cy="31281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26087-880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38475" y="43419711"/>
              <a:ext cx="1364499" cy="18218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4" name="TextBox 161">
            <a:extLst>
              <a:ext uri="{FF2B5EF4-FFF2-40B4-BE49-F238E27FC236}">
                <a16:creationId xmlns:a16="http://schemas.microsoft.com/office/drawing/2014/main" id="{DE55D3BC-4982-4C32-B8A7-CBD2AC668F67}"/>
              </a:ext>
            </a:extLst>
          </xdr:cNvPr>
          <xdr:cNvSpPr txBox="1"/>
        </xdr:nvSpPr>
        <xdr:spPr>
          <a:xfrm>
            <a:off x="2200275" y="37971413"/>
            <a:ext cx="928459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>
                <a:solidFill>
                  <a:sysClr val="windowText" lastClr="000000"/>
                </a:solidFill>
              </a:rPr>
              <a:t> </a:t>
            </a:r>
            <a:r>
              <a:rPr lang="en-US" sz="1600" b="1">
                <a:solidFill>
                  <a:sysClr val="windowText" lastClr="000000"/>
                </a:solidFill>
              </a:rPr>
              <a:t>Wing A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5" name="TextBox 161">
            <a:extLst>
              <a:ext uri="{FF2B5EF4-FFF2-40B4-BE49-F238E27FC236}">
                <a16:creationId xmlns:a16="http://schemas.microsoft.com/office/drawing/2014/main" id="{DE55D3BC-4982-4C32-B8A7-CBD2AC668F67}"/>
              </a:ext>
            </a:extLst>
          </xdr:cNvPr>
          <xdr:cNvSpPr txBox="1"/>
        </xdr:nvSpPr>
        <xdr:spPr>
          <a:xfrm>
            <a:off x="4267200" y="37980938"/>
            <a:ext cx="928459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>
                <a:solidFill>
                  <a:sysClr val="windowText" lastClr="000000"/>
                </a:solidFill>
              </a:rPr>
              <a:t> </a:t>
            </a:r>
            <a:r>
              <a:rPr lang="en-US" sz="1600" b="1">
                <a:solidFill>
                  <a:sysClr val="windowText" lastClr="000000"/>
                </a:solidFill>
              </a:rPr>
              <a:t>Wing B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342900</xdr:colOff>
      <xdr:row>186</xdr:row>
      <xdr:rowOff>0</xdr:rowOff>
    </xdr:from>
    <xdr:to>
      <xdr:col>7</xdr:col>
      <xdr:colOff>647700</xdr:colOff>
      <xdr:row>221</xdr:row>
      <xdr:rowOff>60960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294A7F1-E3B5-91A5-8FC4-7F31EECC2FF4}"/>
            </a:ext>
          </a:extLst>
        </xdr:cNvPr>
        <xdr:cNvGrpSpPr/>
      </xdr:nvGrpSpPr>
      <xdr:grpSpPr>
        <a:xfrm>
          <a:off x="342900" y="38237160"/>
          <a:ext cx="6065520" cy="6987540"/>
          <a:chOff x="279918" y="258083"/>
          <a:chExt cx="6043058" cy="7669034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DA11CF0-DD01-D185-6A91-FC96DB48E930}"/>
              </a:ext>
            </a:extLst>
          </xdr:cNvPr>
          <xdr:cNvGrpSpPr/>
        </xdr:nvGrpSpPr>
        <xdr:grpSpPr>
          <a:xfrm>
            <a:off x="699882" y="5765123"/>
            <a:ext cx="5203130" cy="2161994"/>
            <a:chOff x="270277" y="5765123"/>
            <a:chExt cx="5203130" cy="2161994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DB13A14B-841E-CB0F-29E2-08B24CF112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62686" y="576711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9B5FEDFB-F68A-794C-F8E3-519E464D51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48345" y="5765123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A2DAAFD8-5E62-40C9-2654-22F48F6F39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0277" y="5765123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5ECA0E5E-1BF9-B67D-E775-2C3EEF640488}"/>
              </a:ext>
            </a:extLst>
          </xdr:cNvPr>
          <xdr:cNvGrpSpPr/>
        </xdr:nvGrpSpPr>
        <xdr:grpSpPr>
          <a:xfrm>
            <a:off x="597570" y="3011603"/>
            <a:ext cx="5407755" cy="2520997"/>
            <a:chOff x="336496" y="3011603"/>
            <a:chExt cx="5407755" cy="2520997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5CE637B-C192-FCB0-FD95-C4B318C169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6496" y="3012600"/>
              <a:ext cx="334450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1938F3B4-BB00-42BE-F05A-0571F3E8DC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48345" y="30116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A8A8FCE3-D2D1-03FD-0109-8F75E14EBA89}"/>
              </a:ext>
            </a:extLst>
          </xdr:cNvPr>
          <xdr:cNvGrpSpPr/>
        </xdr:nvGrpSpPr>
        <xdr:grpSpPr>
          <a:xfrm>
            <a:off x="279918" y="258083"/>
            <a:ext cx="6043058" cy="2520000"/>
            <a:chOff x="289560" y="258083"/>
            <a:chExt cx="6043058" cy="25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D5A24EE-F7E5-FB12-610B-EC7FB0671D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436712" y="2580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6D868E49-776B-36CD-05A9-68838E1B87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63136" y="2580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3A861CDB-5071-3C31-7650-C332787244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9560" y="2580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5" name="TextBox 21">
              <a:extLst>
                <a:ext uri="{FF2B5EF4-FFF2-40B4-BE49-F238E27FC236}">
                  <a16:creationId xmlns:a16="http://schemas.microsoft.com/office/drawing/2014/main" id="{8182B359-BF94-6BC1-1578-A2FC5AC3B43F}"/>
                </a:ext>
              </a:extLst>
            </xdr:cNvPr>
            <xdr:cNvSpPr txBox="1"/>
          </xdr:nvSpPr>
          <xdr:spPr>
            <a:xfrm>
              <a:off x="1371600" y="341376"/>
              <a:ext cx="760144" cy="3231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500" b="1"/>
                <a:t>A Wing</a:t>
              </a:r>
            </a:p>
          </xdr:txBody>
        </xdr:sp>
        <xdr:sp macro="" textlink="">
          <xdr:nvSpPr>
            <xdr:cNvPr id="16" name="TextBox 22">
              <a:extLst>
                <a:ext uri="{FF2B5EF4-FFF2-40B4-BE49-F238E27FC236}">
                  <a16:creationId xmlns:a16="http://schemas.microsoft.com/office/drawing/2014/main" id="{47E27A72-952A-C82F-2D10-4F756701820E}"/>
                </a:ext>
              </a:extLst>
            </xdr:cNvPr>
            <xdr:cNvSpPr txBox="1"/>
          </xdr:nvSpPr>
          <xdr:spPr>
            <a:xfrm>
              <a:off x="4548560" y="2410096"/>
              <a:ext cx="760144" cy="323165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500" b="1"/>
                <a:t>B Wing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669</xdr:colOff>
      <xdr:row>27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29</xdr:row>
      <xdr:rowOff>21132</xdr:rowOff>
    </xdr:from>
    <xdr:to>
      <xdr:col>6</xdr:col>
      <xdr:colOff>669</xdr:colOff>
      <xdr:row>48</xdr:row>
      <xdr:rowOff>1632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50641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WQVWaJRvXvHtNBT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28"/>
  <sheetViews>
    <sheetView tabSelected="1" view="pageBreakPreview" zoomScaleNormal="100" zoomScaleSheetLayoutView="100" zoomScalePageLayoutView="85" workbookViewId="0">
      <selection activeCell="I6" sqref="I6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2.88671875" style="16" customWidth="1"/>
    <col min="5" max="7" width="11.6640625" style="16" customWidth="1"/>
    <col min="8" max="8" width="12.44140625" style="16" customWidth="1"/>
    <col min="9" max="9" width="20.44140625" style="8" customWidth="1"/>
    <col min="10" max="10" width="11.44140625" style="8" customWidth="1"/>
    <col min="11" max="11" width="10.5546875" style="8" bestFit="1" customWidth="1"/>
    <col min="12" max="12" width="12.88671875" style="8" hidden="1" customWidth="1"/>
    <col min="13" max="14" width="9.109375" style="8" hidden="1" customWidth="1"/>
    <col min="15" max="15" width="10.6640625" style="8" hidden="1" customWidth="1"/>
    <col min="16" max="16" width="13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63" t="s">
        <v>245</v>
      </c>
      <c r="B1" s="163"/>
      <c r="C1" s="163"/>
      <c r="D1" s="163"/>
      <c r="E1" s="163"/>
      <c r="F1" s="163"/>
      <c r="G1" s="163"/>
      <c r="H1" s="163"/>
    </row>
    <row r="2" spans="1:8" ht="16.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</row>
    <row r="3" spans="1:8" x14ac:dyDescent="0.3">
      <c r="A3" s="82" t="s">
        <v>1</v>
      </c>
      <c r="B3" s="82"/>
      <c r="C3" s="82"/>
      <c r="D3" s="82"/>
      <c r="E3" s="164" t="str">
        <f ca="1">TEXT(TODAY(),"DD/MM/YYYY")</f>
        <v>14/07/2025</v>
      </c>
      <c r="F3" s="164"/>
      <c r="G3" s="164"/>
      <c r="H3" s="164"/>
    </row>
    <row r="4" spans="1:8" ht="15" customHeight="1" x14ac:dyDescent="0.3">
      <c r="A4" s="82" t="s">
        <v>2</v>
      </c>
      <c r="B4" s="82"/>
      <c r="C4" s="82"/>
      <c r="D4" s="82"/>
      <c r="E4" s="165" t="s">
        <v>195</v>
      </c>
      <c r="F4" s="165"/>
      <c r="G4" s="165"/>
      <c r="H4" s="165"/>
    </row>
    <row r="5" spans="1:8" x14ac:dyDescent="0.3">
      <c r="A5" s="82" t="s">
        <v>3</v>
      </c>
      <c r="B5" s="82"/>
      <c r="C5" s="82"/>
      <c r="D5" s="82"/>
      <c r="E5" s="166">
        <v>45849</v>
      </c>
      <c r="F5" s="166"/>
      <c r="G5" s="166"/>
      <c r="H5" s="166"/>
    </row>
    <row r="6" spans="1:8" ht="16.5" customHeight="1" x14ac:dyDescent="0.3">
      <c r="A6" s="82" t="s">
        <v>4</v>
      </c>
      <c r="B6" s="82"/>
      <c r="C6" s="82"/>
      <c r="D6" s="82"/>
      <c r="E6" s="102" t="s">
        <v>196</v>
      </c>
      <c r="F6" s="102"/>
      <c r="G6" s="102"/>
      <c r="H6" s="102"/>
    </row>
    <row r="7" spans="1:8" ht="15" customHeight="1" x14ac:dyDescent="0.3">
      <c r="A7" s="82" t="s">
        <v>5</v>
      </c>
      <c r="B7" s="82"/>
      <c r="C7" s="82"/>
      <c r="D7" s="82"/>
      <c r="E7" s="102" t="str">
        <f>E6</f>
        <v>M/s.Omkar Enterprises</v>
      </c>
      <c r="F7" s="102"/>
      <c r="G7" s="102"/>
      <c r="H7" s="102"/>
    </row>
    <row r="8" spans="1:8" x14ac:dyDescent="0.3">
      <c r="A8" s="82" t="s">
        <v>6</v>
      </c>
      <c r="B8" s="82"/>
      <c r="C8" s="82"/>
      <c r="D8" s="82"/>
      <c r="E8" s="91" t="s">
        <v>197</v>
      </c>
      <c r="F8" s="91"/>
      <c r="G8" s="91"/>
      <c r="H8" s="91"/>
    </row>
    <row r="9" spans="1:8" x14ac:dyDescent="0.3">
      <c r="A9" s="82" t="s">
        <v>160</v>
      </c>
      <c r="B9" s="82"/>
      <c r="C9" s="82"/>
      <c r="D9" s="82"/>
      <c r="E9" s="82">
        <v>7710046990</v>
      </c>
      <c r="F9" s="82"/>
      <c r="G9" s="82"/>
      <c r="H9" s="82"/>
    </row>
    <row r="10" spans="1:8" x14ac:dyDescent="0.3">
      <c r="A10" s="153" t="s">
        <v>7</v>
      </c>
      <c r="B10" s="153"/>
      <c r="C10" s="153"/>
      <c r="D10" s="153"/>
      <c r="E10" s="153" t="s">
        <v>236</v>
      </c>
      <c r="F10" s="153"/>
      <c r="G10" s="153"/>
      <c r="H10" s="153"/>
    </row>
    <row r="11" spans="1:8" x14ac:dyDescent="0.3">
      <c r="A11" s="82" t="s">
        <v>8</v>
      </c>
      <c r="B11" s="82"/>
      <c r="C11" s="82"/>
      <c r="D11" s="82"/>
      <c r="E11" s="87" t="s">
        <v>210</v>
      </c>
      <c r="F11" s="87"/>
      <c r="G11" s="87"/>
      <c r="H11" s="87"/>
    </row>
    <row r="12" spans="1:8" x14ac:dyDescent="0.3">
      <c r="A12" s="82" t="s">
        <v>9</v>
      </c>
      <c r="B12" s="82"/>
      <c r="C12" s="82"/>
      <c r="D12" s="82"/>
      <c r="E12" s="87" t="s">
        <v>198</v>
      </c>
      <c r="F12" s="153"/>
      <c r="G12" s="153"/>
      <c r="H12" s="153"/>
    </row>
    <row r="13" spans="1:8" ht="34.5" customHeight="1" x14ac:dyDescent="0.3">
      <c r="A13" s="102" t="s">
        <v>10</v>
      </c>
      <c r="B13" s="102"/>
      <c r="C13" s="10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",(IF(OR(G16="",G16="NA"),"",G16)),", ",(IF(OR(G17="",G17="NA"),"",G17)),".")</f>
        <v>Omkar Planet, Plot No.16 &amp; Sector No.6, near MSEDCL Office, Sector 6 Nerul Road, Nerul, Nerul, Thane, Thane, 400706.</v>
      </c>
      <c r="D13" s="102"/>
      <c r="E13" s="102"/>
      <c r="F13" s="102"/>
      <c r="G13" s="102"/>
      <c r="H13" s="102"/>
    </row>
    <row r="14" spans="1:8" x14ac:dyDescent="0.3">
      <c r="A14" s="87" t="s">
        <v>199</v>
      </c>
      <c r="B14" s="87"/>
      <c r="C14" s="87" t="s">
        <v>228</v>
      </c>
      <c r="D14" s="87"/>
      <c r="E14" s="87"/>
      <c r="F14" s="87"/>
      <c r="G14" s="87"/>
      <c r="H14" s="87"/>
    </row>
    <row r="15" spans="1:8" ht="15.75" customHeight="1" x14ac:dyDescent="0.3">
      <c r="A15" s="102" t="s">
        <v>11</v>
      </c>
      <c r="B15" s="102"/>
      <c r="C15" s="153" t="s">
        <v>204</v>
      </c>
      <c r="D15" s="153"/>
      <c r="E15" s="102" t="s">
        <v>201</v>
      </c>
      <c r="F15" s="102"/>
      <c r="G15" s="87" t="s">
        <v>200</v>
      </c>
      <c r="H15" s="87"/>
    </row>
    <row r="16" spans="1:8" x14ac:dyDescent="0.3">
      <c r="A16" s="82" t="s">
        <v>13</v>
      </c>
      <c r="B16" s="82"/>
      <c r="C16" s="87" t="s">
        <v>200</v>
      </c>
      <c r="D16" s="87"/>
      <c r="E16" s="102" t="s">
        <v>12</v>
      </c>
      <c r="F16" s="102"/>
      <c r="G16" s="167" t="s">
        <v>202</v>
      </c>
      <c r="H16" s="167"/>
    </row>
    <row r="17" spans="1:8" x14ac:dyDescent="0.3">
      <c r="A17" s="82" t="s">
        <v>102</v>
      </c>
      <c r="B17" s="82"/>
      <c r="C17" s="87" t="s">
        <v>202</v>
      </c>
      <c r="D17" s="87"/>
      <c r="E17" s="102" t="s">
        <v>14</v>
      </c>
      <c r="F17" s="102"/>
      <c r="G17" s="87">
        <v>400706</v>
      </c>
      <c r="H17" s="87"/>
    </row>
    <row r="18" spans="1:8" ht="32.25" customHeight="1" x14ac:dyDescent="0.3">
      <c r="A18" s="82" t="s">
        <v>161</v>
      </c>
      <c r="B18" s="82"/>
      <c r="C18" s="174" t="s">
        <v>203</v>
      </c>
      <c r="D18" s="174"/>
      <c r="E18" s="102" t="s">
        <v>15</v>
      </c>
      <c r="F18" s="102"/>
      <c r="G18" s="87" t="s">
        <v>241</v>
      </c>
      <c r="H18" s="87"/>
    </row>
    <row r="19" spans="1:8" ht="15" customHeight="1" x14ac:dyDescent="0.3">
      <c r="A19" s="102" t="s">
        <v>106</v>
      </c>
      <c r="B19" s="102"/>
      <c r="C19" s="102"/>
      <c r="D19" s="102"/>
      <c r="E19" s="153" t="s">
        <v>16</v>
      </c>
      <c r="F19" s="153"/>
      <c r="G19" s="153"/>
      <c r="H19" s="153"/>
    </row>
    <row r="20" spans="1:8" ht="18.75" customHeight="1" x14ac:dyDescent="0.3">
      <c r="A20" s="102"/>
      <c r="B20" s="102"/>
      <c r="C20" s="102"/>
      <c r="D20" s="102"/>
      <c r="E20" s="153"/>
      <c r="F20" s="153"/>
      <c r="G20" s="153"/>
      <c r="H20" s="153"/>
    </row>
    <row r="21" spans="1:8" ht="15" customHeight="1" x14ac:dyDescent="0.3">
      <c r="A21" s="102" t="s">
        <v>17</v>
      </c>
      <c r="B21" s="102"/>
      <c r="C21" s="102"/>
      <c r="D21" s="102"/>
      <c r="E21" s="87" t="s">
        <v>18</v>
      </c>
      <c r="F21" s="87"/>
      <c r="G21" s="87"/>
      <c r="H21" s="87"/>
    </row>
    <row r="22" spans="1:8" ht="15" customHeight="1" x14ac:dyDescent="0.3">
      <c r="A22" s="82" t="s">
        <v>19</v>
      </c>
      <c r="B22" s="82"/>
      <c r="C22" s="82"/>
      <c r="D22" s="82"/>
      <c r="E22" s="87" t="str">
        <f>IF(AND(G16="Mumbai"),"Upper Class","Middle Class")</f>
        <v>Middle Class</v>
      </c>
      <c r="F22" s="87"/>
      <c r="G22" s="87"/>
      <c r="H22" s="87"/>
    </row>
    <row r="23" spans="1:8" x14ac:dyDescent="0.3">
      <c r="A23" s="82" t="s">
        <v>20</v>
      </c>
      <c r="B23" s="82"/>
      <c r="C23" s="82"/>
      <c r="D23" s="82"/>
      <c r="E23" s="87" t="s">
        <v>21</v>
      </c>
      <c r="F23" s="87"/>
      <c r="G23" s="87"/>
      <c r="H23" s="87"/>
    </row>
    <row r="24" spans="1:8" ht="15.75" customHeight="1" x14ac:dyDescent="0.3">
      <c r="A24" s="82" t="s">
        <v>22</v>
      </c>
      <c r="B24" s="82"/>
      <c r="C24" s="82"/>
      <c r="D24" s="82"/>
      <c r="E24" s="87" t="str">
        <f>IF(AND(G16="Mumbai"),"Developed","Developing")</f>
        <v>Developing</v>
      </c>
      <c r="F24" s="87"/>
      <c r="G24" s="87"/>
      <c r="H24" s="87"/>
    </row>
    <row r="25" spans="1:8" x14ac:dyDescent="0.3">
      <c r="A25" s="82" t="s">
        <v>23</v>
      </c>
      <c r="B25" s="82"/>
      <c r="C25" s="82"/>
      <c r="D25" s="82"/>
      <c r="E25" s="87" t="s">
        <v>24</v>
      </c>
      <c r="F25" s="87"/>
      <c r="G25" s="87"/>
      <c r="H25" s="87"/>
    </row>
    <row r="26" spans="1:8" x14ac:dyDescent="0.3">
      <c r="A26" s="82" t="s">
        <v>111</v>
      </c>
      <c r="B26" s="82"/>
      <c r="C26" s="82"/>
      <c r="D26" s="82"/>
      <c r="E26" s="87" t="s">
        <v>112</v>
      </c>
      <c r="F26" s="87"/>
      <c r="G26" s="87"/>
      <c r="H26" s="87"/>
    </row>
    <row r="27" spans="1:8" ht="15" customHeight="1" x14ac:dyDescent="0.3">
      <c r="A27" s="102" t="s">
        <v>33</v>
      </c>
      <c r="B27" s="102"/>
      <c r="C27" s="102"/>
      <c r="D27" s="102"/>
      <c r="E27" s="165" t="s">
        <v>211</v>
      </c>
      <c r="F27" s="165"/>
      <c r="G27" s="165"/>
      <c r="H27" s="165"/>
    </row>
    <row r="28" spans="1:8" x14ac:dyDescent="0.3">
      <c r="A28" s="102" t="s">
        <v>123</v>
      </c>
      <c r="B28" s="102"/>
      <c r="C28" s="102"/>
      <c r="D28" s="102"/>
      <c r="E28" s="102" t="s">
        <v>34</v>
      </c>
      <c r="F28" s="102"/>
      <c r="G28" s="102"/>
      <c r="H28" s="102"/>
    </row>
    <row r="29" spans="1:8" s="11" customFormat="1" x14ac:dyDescent="0.3">
      <c r="A29" s="178" t="s">
        <v>124</v>
      </c>
      <c r="B29" s="178"/>
      <c r="C29" s="177" t="s">
        <v>29</v>
      </c>
      <c r="D29" s="177"/>
      <c r="E29" s="177"/>
      <c r="F29" s="177" t="s">
        <v>31</v>
      </c>
      <c r="G29" s="177"/>
      <c r="H29" s="177"/>
    </row>
    <row r="30" spans="1:8" s="11" customFormat="1" x14ac:dyDescent="0.3">
      <c r="A30" s="175" t="s">
        <v>25</v>
      </c>
      <c r="B30" s="175" t="s">
        <v>30</v>
      </c>
      <c r="C30" s="176" t="s">
        <v>30</v>
      </c>
      <c r="D30" s="176"/>
      <c r="E30" s="176"/>
      <c r="F30" s="176" t="s">
        <v>240</v>
      </c>
      <c r="G30" s="176"/>
      <c r="H30" s="176"/>
    </row>
    <row r="31" spans="1:8" x14ac:dyDescent="0.3">
      <c r="A31" s="175" t="s">
        <v>26</v>
      </c>
      <c r="B31" s="175" t="s">
        <v>30</v>
      </c>
      <c r="C31" s="176" t="s">
        <v>30</v>
      </c>
      <c r="D31" s="176"/>
      <c r="E31" s="176"/>
      <c r="F31" s="176" t="s">
        <v>237</v>
      </c>
      <c r="G31" s="176"/>
      <c r="H31" s="176"/>
    </row>
    <row r="32" spans="1:8" s="11" customFormat="1" x14ac:dyDescent="0.3">
      <c r="A32" s="175" t="s">
        <v>28</v>
      </c>
      <c r="B32" s="175" t="s">
        <v>30</v>
      </c>
      <c r="C32" s="176" t="s">
        <v>30</v>
      </c>
      <c r="D32" s="176"/>
      <c r="E32" s="176"/>
      <c r="F32" s="176" t="s">
        <v>239</v>
      </c>
      <c r="G32" s="176"/>
      <c r="H32" s="176"/>
    </row>
    <row r="33" spans="1:8" x14ac:dyDescent="0.3">
      <c r="A33" s="175" t="s">
        <v>27</v>
      </c>
      <c r="B33" s="175" t="s">
        <v>30</v>
      </c>
      <c r="C33" s="176" t="s">
        <v>30</v>
      </c>
      <c r="D33" s="176"/>
      <c r="E33" s="176"/>
      <c r="F33" s="176" t="s">
        <v>238</v>
      </c>
      <c r="G33" s="176"/>
      <c r="H33" s="176"/>
    </row>
    <row r="34" spans="1:8" x14ac:dyDescent="0.3">
      <c r="A34" s="82" t="s">
        <v>32</v>
      </c>
      <c r="B34" s="82"/>
      <c r="C34" s="82"/>
      <c r="D34" s="82"/>
      <c r="E34" s="82"/>
      <c r="F34" s="82"/>
      <c r="G34" s="82"/>
      <c r="H34" s="82"/>
    </row>
    <row r="35" spans="1:8" ht="15.75" customHeight="1" x14ac:dyDescent="0.3">
      <c r="A35" s="82" t="s">
        <v>249</v>
      </c>
      <c r="B35" s="82"/>
      <c r="C35" s="171" t="s">
        <v>250</v>
      </c>
      <c r="D35" s="172"/>
      <c r="E35" s="172"/>
      <c r="F35" s="172"/>
      <c r="G35" s="172"/>
      <c r="H35" s="173"/>
    </row>
    <row r="36" spans="1:8" ht="15.75" customHeight="1" x14ac:dyDescent="0.3">
      <c r="A36" s="82" t="s">
        <v>247</v>
      </c>
      <c r="B36" s="82"/>
      <c r="C36" s="168" t="s">
        <v>246</v>
      </c>
      <c r="D36" s="169"/>
      <c r="E36" s="169"/>
      <c r="F36" s="169"/>
      <c r="G36" s="169"/>
      <c r="H36" s="170"/>
    </row>
    <row r="37" spans="1:8" x14ac:dyDescent="0.3">
      <c r="A37" s="91" t="s">
        <v>35</v>
      </c>
      <c r="B37" s="91"/>
      <c r="C37" s="91"/>
      <c r="D37" s="91"/>
      <c r="E37" s="91"/>
      <c r="F37" s="91"/>
      <c r="G37" s="91"/>
      <c r="H37" s="91"/>
    </row>
    <row r="38" spans="1:8" x14ac:dyDescent="0.3">
      <c r="A38" s="82" t="s">
        <v>36</v>
      </c>
      <c r="B38" s="82"/>
      <c r="C38" s="82"/>
      <c r="D38" s="82"/>
      <c r="E38" s="179">
        <v>2360</v>
      </c>
      <c r="F38" s="179"/>
      <c r="G38" s="179"/>
      <c r="H38" s="179"/>
    </row>
    <row r="39" spans="1:8" x14ac:dyDescent="0.3">
      <c r="A39" s="82" t="s">
        <v>37</v>
      </c>
      <c r="B39" s="82"/>
      <c r="C39" s="82"/>
      <c r="D39" s="82"/>
      <c r="E39" s="81">
        <v>2.5</v>
      </c>
      <c r="F39" s="81"/>
      <c r="G39" s="81"/>
      <c r="H39" s="81"/>
    </row>
    <row r="40" spans="1:8" x14ac:dyDescent="0.3">
      <c r="A40" s="82" t="s">
        <v>38</v>
      </c>
      <c r="B40" s="82"/>
      <c r="C40" s="82"/>
      <c r="D40" s="82"/>
      <c r="E40" s="81">
        <f>E42/E38-E39</f>
        <v>-2.0655508474576312E-2</v>
      </c>
      <c r="F40" s="81"/>
      <c r="G40" s="81"/>
      <c r="H40" s="81"/>
    </row>
    <row r="41" spans="1:8" x14ac:dyDescent="0.3">
      <c r="A41" s="82" t="s">
        <v>39</v>
      </c>
      <c r="B41" s="82"/>
      <c r="C41" s="82"/>
      <c r="D41" s="82"/>
      <c r="E41" s="81">
        <f>E39+E40</f>
        <v>2.4793444915254237</v>
      </c>
      <c r="F41" s="81"/>
      <c r="G41" s="81"/>
      <c r="H41" s="81"/>
    </row>
    <row r="42" spans="1:8" x14ac:dyDescent="0.3">
      <c r="A42" s="82" t="s">
        <v>122</v>
      </c>
      <c r="B42" s="82"/>
      <c r="C42" s="82"/>
      <c r="D42" s="82"/>
      <c r="E42" s="180">
        <v>5851.2529999999997</v>
      </c>
      <c r="F42" s="180"/>
      <c r="G42" s="180"/>
      <c r="H42" s="180"/>
    </row>
    <row r="43" spans="1:8" x14ac:dyDescent="0.3">
      <c r="A43" s="153" t="s">
        <v>40</v>
      </c>
      <c r="B43" s="153"/>
      <c r="C43" s="153"/>
      <c r="D43" s="153"/>
      <c r="E43" s="153" t="s">
        <v>212</v>
      </c>
      <c r="F43" s="153"/>
      <c r="G43" s="153"/>
      <c r="H43" s="153"/>
    </row>
    <row r="44" spans="1:8" x14ac:dyDescent="0.3">
      <c r="A44" s="91" t="s">
        <v>41</v>
      </c>
      <c r="B44" s="91"/>
      <c r="C44" s="91"/>
      <c r="D44" s="91"/>
      <c r="E44" s="91"/>
      <c r="F44" s="91"/>
      <c r="G44" s="91"/>
      <c r="H44" s="91"/>
    </row>
    <row r="45" spans="1:8" x14ac:dyDescent="0.3">
      <c r="A45" s="102" t="s">
        <v>42</v>
      </c>
      <c r="B45" s="102"/>
      <c r="C45" s="90" t="s">
        <v>206</v>
      </c>
      <c r="D45" s="90"/>
      <c r="E45" s="90"/>
      <c r="F45" s="63" t="s">
        <v>43</v>
      </c>
      <c r="G45" s="86">
        <v>44174</v>
      </c>
      <c r="H45" s="86"/>
    </row>
    <row r="46" spans="1:8" x14ac:dyDescent="0.3">
      <c r="A46" s="82" t="s">
        <v>44</v>
      </c>
      <c r="B46" s="82"/>
      <c r="C46" s="90" t="str">
        <f>C45</f>
        <v>20201CNMMC16677/NRV/A/3284</v>
      </c>
      <c r="D46" s="90"/>
      <c r="E46" s="90"/>
      <c r="F46" s="63" t="s">
        <v>43</v>
      </c>
      <c r="G46" s="86">
        <v>44174</v>
      </c>
      <c r="H46" s="86"/>
    </row>
    <row r="47" spans="1:8" s="10" customFormat="1" ht="33" customHeight="1" x14ac:dyDescent="0.3">
      <c r="A47" s="87" t="s">
        <v>45</v>
      </c>
      <c r="B47" s="87"/>
      <c r="C47" s="90" t="s">
        <v>205</v>
      </c>
      <c r="D47" s="92"/>
      <c r="E47" s="92"/>
      <c r="F47" s="13" t="s">
        <v>43</v>
      </c>
      <c r="G47" s="86">
        <v>44174</v>
      </c>
      <c r="H47" s="86"/>
    </row>
    <row r="48" spans="1:8" s="10" customFormat="1" ht="34.5" customHeight="1" x14ac:dyDescent="0.3">
      <c r="A48" s="87"/>
      <c r="B48" s="87"/>
      <c r="C48" s="146" t="s">
        <v>248</v>
      </c>
      <c r="D48" s="147"/>
      <c r="E48" s="147"/>
      <c r="F48" s="147"/>
      <c r="G48" s="147"/>
      <c r="H48" s="148"/>
    </row>
    <row r="49" spans="1:11" x14ac:dyDescent="0.3">
      <c r="A49" s="157" t="s">
        <v>46</v>
      </c>
      <c r="B49" s="157"/>
      <c r="C49" s="158" t="s">
        <v>140</v>
      </c>
      <c r="D49" s="159"/>
      <c r="E49" s="159" t="s">
        <v>47</v>
      </c>
      <c r="F49" s="64" t="s">
        <v>43</v>
      </c>
      <c r="G49" s="160" t="s">
        <v>30</v>
      </c>
      <c r="H49" s="160"/>
    </row>
    <row r="50" spans="1:11" x14ac:dyDescent="0.3">
      <c r="A50" s="104" t="s">
        <v>49</v>
      </c>
      <c r="B50" s="104"/>
      <c r="C50" s="104"/>
      <c r="D50" s="104"/>
      <c r="E50" s="104"/>
      <c r="F50" s="104"/>
      <c r="G50" s="104"/>
      <c r="H50" s="104"/>
    </row>
    <row r="51" spans="1:11" x14ac:dyDescent="0.3">
      <c r="A51" s="102" t="s">
        <v>121</v>
      </c>
      <c r="B51" s="102"/>
      <c r="C51" s="102"/>
      <c r="D51" s="82">
        <f>E42</f>
        <v>5851.2529999999997</v>
      </c>
      <c r="E51" s="82"/>
      <c r="F51" s="82"/>
      <c r="G51" s="82"/>
      <c r="H51" s="82"/>
    </row>
    <row r="52" spans="1:11" x14ac:dyDescent="0.3">
      <c r="A52" s="87" t="s">
        <v>50</v>
      </c>
      <c r="B52" s="153"/>
      <c r="C52" s="153"/>
      <c r="D52" s="153" t="s">
        <v>213</v>
      </c>
      <c r="E52" s="153"/>
      <c r="F52" s="153"/>
      <c r="G52" s="153"/>
      <c r="H52" s="153"/>
      <c r="I52" s="41"/>
    </row>
    <row r="53" spans="1:11" ht="35.25" customHeight="1" x14ac:dyDescent="0.3">
      <c r="A53" s="83" t="s">
        <v>51</v>
      </c>
      <c r="B53" s="84"/>
      <c r="C53" s="85"/>
      <c r="D53" s="161" t="s">
        <v>243</v>
      </c>
      <c r="E53" s="162"/>
      <c r="F53" s="162"/>
      <c r="G53" s="162"/>
      <c r="H53" s="162"/>
    </row>
    <row r="54" spans="1:11" ht="15.75" customHeight="1" x14ac:dyDescent="0.3">
      <c r="A54" s="83" t="s">
        <v>119</v>
      </c>
      <c r="B54" s="84"/>
      <c r="C54" s="84"/>
      <c r="D54" s="153" t="s">
        <v>242</v>
      </c>
      <c r="E54" s="153"/>
      <c r="F54" s="153"/>
      <c r="G54" s="153"/>
      <c r="H54" s="153"/>
    </row>
    <row r="55" spans="1:11" ht="15.75" customHeight="1" x14ac:dyDescent="0.3">
      <c r="A55" s="149"/>
      <c r="B55" s="150"/>
      <c r="C55" s="150"/>
      <c r="D55" s="153" t="s">
        <v>244</v>
      </c>
      <c r="E55" s="153"/>
      <c r="F55" s="153"/>
      <c r="G55" s="153"/>
      <c r="H55" s="153"/>
    </row>
    <row r="56" spans="1:11" ht="15.75" hidden="1" customHeight="1" x14ac:dyDescent="0.3">
      <c r="A56" s="151"/>
      <c r="B56" s="152"/>
      <c r="C56" s="152"/>
      <c r="D56" s="154" t="s">
        <v>194</v>
      </c>
      <c r="E56" s="155"/>
      <c r="F56" s="155"/>
      <c r="G56" s="155"/>
      <c r="H56" s="156"/>
    </row>
    <row r="57" spans="1:11" ht="15.75" customHeight="1" x14ac:dyDescent="0.3">
      <c r="A57" s="82" t="s">
        <v>48</v>
      </c>
      <c r="B57" s="82"/>
      <c r="C57" s="82"/>
      <c r="D57" s="102" t="s">
        <v>254</v>
      </c>
      <c r="E57" s="102"/>
      <c r="F57" s="102"/>
      <c r="G57" s="102"/>
      <c r="H57" s="102"/>
      <c r="I57" s="40"/>
      <c r="J57" s="40"/>
      <c r="K57" s="41"/>
    </row>
    <row r="58" spans="1:11" ht="15.75" customHeight="1" x14ac:dyDescent="0.3">
      <c r="A58" s="82" t="s">
        <v>117</v>
      </c>
      <c r="B58" s="82"/>
      <c r="C58" s="82"/>
      <c r="D58" s="102" t="str">
        <f>(IF(G49="NA","60 Years After Completion",IF(G49&lt;&gt;"NA",""&amp;ROUNDUP((E3-G49)/360,0)&amp;" Years"," ")))</f>
        <v>60 Years After Completion</v>
      </c>
      <c r="E58" s="102"/>
      <c r="F58" s="102"/>
      <c r="G58" s="102"/>
      <c r="H58" s="102"/>
      <c r="I58" s="39"/>
    </row>
    <row r="59" spans="1:11" ht="15.75" customHeight="1" x14ac:dyDescent="0.3">
      <c r="A59" s="82" t="s">
        <v>118</v>
      </c>
      <c r="B59" s="82"/>
      <c r="C59" s="82"/>
      <c r="D59" s="102" t="s">
        <v>24</v>
      </c>
      <c r="E59" s="102"/>
      <c r="F59" s="102"/>
      <c r="G59" s="102"/>
      <c r="H59" s="102"/>
      <c r="J59" s="18"/>
      <c r="K59" s="18"/>
    </row>
    <row r="60" spans="1:11" ht="15.75" customHeight="1" thickBot="1" x14ac:dyDescent="0.35">
      <c r="A60" s="194" t="s">
        <v>116</v>
      </c>
      <c r="B60" s="194"/>
      <c r="C60" s="194"/>
      <c r="D60" s="161" t="str">
        <f ca="1">(IF(G65&gt;95%,"Nothing",IF(G65&gt;0%,"Cement, Aggregate, Steel, etc",IF(G65=0%,"Work not yet Started"))))</f>
        <v>Cement, Aggregate, Steel, etc</v>
      </c>
      <c r="E60" s="161"/>
      <c r="F60" s="161"/>
      <c r="G60" s="161"/>
      <c r="H60" s="161"/>
      <c r="J60" s="18"/>
      <c r="K60" s="18"/>
    </row>
    <row r="61" spans="1:11" ht="15.75" customHeight="1" x14ac:dyDescent="0.3">
      <c r="A61" s="141" t="s">
        <v>193</v>
      </c>
      <c r="B61" s="142"/>
      <c r="C61" s="143" t="str">
        <f>D54</f>
        <v>Wing A (Rehab) = B + Gr + 23rd Floor</v>
      </c>
      <c r="D61" s="144"/>
      <c r="E61" s="144"/>
      <c r="F61" s="144"/>
      <c r="G61" s="144"/>
      <c r="H61" s="145"/>
      <c r="I61" s="20" t="str">
        <f ca="1">(IF(C65=0,"Work not yet Started.",IF(D65=25%,"Piling work in process",IF(D65=50%,"Excavation work in process",IF(D65=100%,"Excavation work completed, ","0")))&amp;(IF(C66=0%,"",IF(C66=K67,"Footing work is process",IF(C66=K68,"Footing work Completed",IF(C66=K69,"1st Basement Completed",IF(C66=K70,"1st &amp; 2nd Basement Completed",IF(C66=K71,"1st to 3rd Basement Completed",IF(C66=K72,"1st to 4th Basement Completed",IF(C66=K73,"Plinth work is process",IF(C66=K74,"Plinth work completed","0")))))))))))&amp;(IF(C67&gt;0,", RCC upto "&amp;C67&amp;" Slab completed",""))&amp;(IF(C68&gt;0,", Brickwork upto "&amp;C68&amp;" Floor completed"," "))&amp;(IF(C69&gt;0,", Internal Plaster upto "&amp;C69&amp;" Floor completed"," "))&amp;(IF(C70&gt;0,", External Plaster upto "&amp;C70&amp;" Floor completed"," "))&amp;(IF(C71&gt;0,", Flooring upto "&amp;C71&amp;" Floor completed"," "))&amp;(IF(C72&gt;0,", Painting upto "&amp;C72&amp;" Floor completed"," "))&amp;(IF(C73&gt;0,", Finishing upto "&amp;C73&amp;" Floor completed"," ")))</f>
        <v xml:space="preserve">Excavation work completed, Plinth work completed, RCC upto 19 Slab completed, Brickwork upto 15 Floor completed, Internal Plaster upto 12 Floor completed    </v>
      </c>
      <c r="J61" s="20"/>
      <c r="K61" s="21"/>
    </row>
    <row r="62" spans="1:11" x14ac:dyDescent="0.3">
      <c r="A62" s="65" t="s">
        <v>229</v>
      </c>
      <c r="B62" s="62">
        <v>1</v>
      </c>
      <c r="C62" s="62" t="s">
        <v>101</v>
      </c>
      <c r="D62" s="62">
        <v>1</v>
      </c>
      <c r="E62" s="62" t="s">
        <v>100</v>
      </c>
      <c r="F62" s="62">
        <v>0</v>
      </c>
      <c r="G62" s="62" t="s">
        <v>110</v>
      </c>
      <c r="H62" s="66">
        <f ca="1">--TRIM(RIGHT(SUBSTITUTE(LEFT(C61,_xlfn.AGGREGATE(16,6,FIND({0,1,2,3,4,5,6,7,8,9},C61,ROW(INDIRECT("1:"&amp;LEN(C61)))),1))," ",REPT(" ",LEN(C61))),LEN(C61)))</f>
        <v>23</v>
      </c>
      <c r="I62" s="18" t="s">
        <v>152</v>
      </c>
      <c r="J62" s="18"/>
      <c r="K62" s="22"/>
    </row>
    <row r="63" spans="1:11" ht="46.5" customHeight="1" x14ac:dyDescent="0.3">
      <c r="A63" s="131" t="s">
        <v>120</v>
      </c>
      <c r="B63" s="132"/>
      <c r="C63" s="133" t="str">
        <f ca="1">I61</f>
        <v xml:space="preserve">Excavation work completed, Plinth work completed, RCC upto 19 Slab completed, Brickwork upto 15 Floor completed, Internal Plaster upto 12 Floor completed    </v>
      </c>
      <c r="D63" s="133"/>
      <c r="E63" s="133"/>
      <c r="F63" s="133"/>
      <c r="G63" s="133"/>
      <c r="H63" s="134"/>
      <c r="I63" s="18" t="s">
        <v>139</v>
      </c>
      <c r="J63" s="18"/>
      <c r="K63" s="22"/>
    </row>
    <row r="64" spans="1:11" ht="31.2" x14ac:dyDescent="0.3">
      <c r="A64" s="120" t="s">
        <v>52</v>
      </c>
      <c r="B64" s="121"/>
      <c r="C64" s="75" t="s">
        <v>192</v>
      </c>
      <c r="D64" s="75" t="s">
        <v>113</v>
      </c>
      <c r="E64" s="121" t="s">
        <v>115</v>
      </c>
      <c r="F64" s="121"/>
      <c r="G64" s="121" t="s">
        <v>114</v>
      </c>
      <c r="H64" s="130"/>
      <c r="I64" s="38" t="s">
        <v>230</v>
      </c>
      <c r="K64" s="23">
        <f ca="1">H62*25%</f>
        <v>5.75</v>
      </c>
    </row>
    <row r="65" spans="1:11" x14ac:dyDescent="0.3">
      <c r="A65" s="120" t="s">
        <v>176</v>
      </c>
      <c r="B65" s="121"/>
      <c r="C65" s="78">
        <v>23</v>
      </c>
      <c r="D65" s="77">
        <f ca="1">((100/H62)*C65)/100</f>
        <v>1</v>
      </c>
      <c r="E65" s="135">
        <f ca="1">(IF(C63=I62,"100%",IF(C63=I63,"100%",(((C66/H62*10)+(40/(B62+D62+F62+H62)*C67)+(7.5/(H62)*C68)+(7.5/(H62)*C69)+(10/H62*C70)+(10/H62*C71)+(5/H62*C72)+(5/H62*C73)+(5/H62*C74))/100))))</f>
        <v>0.49204347826086958</v>
      </c>
      <c r="F65" s="135"/>
      <c r="G65" s="135">
        <f ca="1">((((C65/H62)*20)+((C66/H62)*25)+(30/(B62+H62+F62+D62)*C67)+(5/H62*C68)+(5/H62*C69)+(5/H62*C70)+(5/H62*C71)+(0/H62*C72)+(0/H62*C73)+(5/H62*C74))/100)</f>
        <v>0.73669565217391297</v>
      </c>
      <c r="H65" s="139"/>
      <c r="I65" s="38" t="s">
        <v>133</v>
      </c>
      <c r="J65" s="24"/>
      <c r="K65" s="52">
        <f ca="1">H62*50%</f>
        <v>11.5</v>
      </c>
    </row>
    <row r="66" spans="1:11" x14ac:dyDescent="0.3">
      <c r="A66" s="120" t="s">
        <v>53</v>
      </c>
      <c r="B66" s="121"/>
      <c r="C66" s="78">
        <v>23</v>
      </c>
      <c r="D66" s="77">
        <f ca="1">((100/H62)*C66)/100</f>
        <v>1</v>
      </c>
      <c r="E66" s="135"/>
      <c r="F66" s="135"/>
      <c r="G66" s="135"/>
      <c r="H66" s="139"/>
      <c r="I66" s="38" t="s">
        <v>134</v>
      </c>
      <c r="J66" s="24"/>
      <c r="K66" s="52">
        <f ca="1">H62</f>
        <v>23</v>
      </c>
    </row>
    <row r="67" spans="1:11" ht="15.75" customHeight="1" x14ac:dyDescent="0.3">
      <c r="A67" s="120" t="s">
        <v>177</v>
      </c>
      <c r="B67" s="121"/>
      <c r="C67" s="78">
        <v>19</v>
      </c>
      <c r="D67" s="77">
        <f ca="1">((100/(B62+D62+F62+H62))*C67)/100</f>
        <v>0.76</v>
      </c>
      <c r="E67" s="135"/>
      <c r="F67" s="135"/>
      <c r="G67" s="135"/>
      <c r="H67" s="139"/>
      <c r="I67" s="38" t="s">
        <v>135</v>
      </c>
      <c r="J67" s="24"/>
      <c r="K67" s="67">
        <f ca="1">(IF(B62=0,H62/4,(H62/(B62+4))))</f>
        <v>4.5999999999999996</v>
      </c>
    </row>
    <row r="68" spans="1:11" x14ac:dyDescent="0.3">
      <c r="A68" s="120" t="s">
        <v>185</v>
      </c>
      <c r="B68" s="121" t="s">
        <v>178</v>
      </c>
      <c r="C68" s="76">
        <v>15</v>
      </c>
      <c r="D68" s="77">
        <f ca="1">((100/H62)*C68)/100</f>
        <v>0.65217391304347827</v>
      </c>
      <c r="E68" s="135"/>
      <c r="F68" s="135"/>
      <c r="G68" s="135"/>
      <c r="H68" s="139"/>
      <c r="I68" s="38" t="s">
        <v>136</v>
      </c>
      <c r="J68" s="24"/>
      <c r="K68" s="67">
        <f ca="1">(IF(B62=0,H62/4+K67,(H62/(B62+4)+K67)))</f>
        <v>9.1999999999999993</v>
      </c>
    </row>
    <row r="69" spans="1:11" ht="15.75" customHeight="1" x14ac:dyDescent="0.3">
      <c r="A69" s="120" t="s">
        <v>186</v>
      </c>
      <c r="B69" s="121" t="s">
        <v>178</v>
      </c>
      <c r="C69" s="76">
        <v>12</v>
      </c>
      <c r="D69" s="77">
        <f ca="1">((100/H62)*C69)/100</f>
        <v>0.52173913043478259</v>
      </c>
      <c r="E69" s="135"/>
      <c r="F69" s="135"/>
      <c r="G69" s="135"/>
      <c r="H69" s="139"/>
      <c r="I69" s="38" t="s">
        <v>231</v>
      </c>
      <c r="J69" s="68"/>
      <c r="K69" s="67">
        <f ca="1">(IF(B62=0,0,(H62/(B62+4)+K68)))</f>
        <v>13.799999999999999</v>
      </c>
    </row>
    <row r="70" spans="1:11" ht="15" customHeight="1" x14ac:dyDescent="0.3">
      <c r="A70" s="120" t="s">
        <v>184</v>
      </c>
      <c r="B70" s="121" t="s">
        <v>180</v>
      </c>
      <c r="C70" s="76">
        <v>0</v>
      </c>
      <c r="D70" s="77">
        <f ca="1">((100/(H62))*C70)/100</f>
        <v>0</v>
      </c>
      <c r="E70" s="135"/>
      <c r="F70" s="135"/>
      <c r="G70" s="135"/>
      <c r="H70" s="139"/>
      <c r="I70" s="38" t="s">
        <v>232</v>
      </c>
      <c r="J70" s="68"/>
      <c r="K70" s="67">
        <f>(IF(B62&gt;1,(H62/(B62+4)+K69),0))</f>
        <v>0</v>
      </c>
    </row>
    <row r="71" spans="1:11" ht="15.75" customHeight="1" x14ac:dyDescent="0.3">
      <c r="A71" s="120" t="s">
        <v>179</v>
      </c>
      <c r="B71" s="121" t="s">
        <v>179</v>
      </c>
      <c r="C71" s="76">
        <v>0</v>
      </c>
      <c r="D71" s="77">
        <f ca="1">((100/H62)*C71)/100</f>
        <v>0</v>
      </c>
      <c r="E71" s="135"/>
      <c r="F71" s="135"/>
      <c r="G71" s="135"/>
      <c r="H71" s="139"/>
      <c r="I71" s="38" t="s">
        <v>233</v>
      </c>
      <c r="J71" s="69"/>
      <c r="K71" s="70">
        <f>(IF(B62&gt;2,(H62/(B62+4)+K70),0))</f>
        <v>0</v>
      </c>
    </row>
    <row r="72" spans="1:11" ht="15.75" customHeight="1" x14ac:dyDescent="0.3">
      <c r="A72" s="120" t="s">
        <v>187</v>
      </c>
      <c r="B72" s="121"/>
      <c r="C72" s="76">
        <v>0</v>
      </c>
      <c r="D72" s="77">
        <f ca="1">((100/H62)*C72)/100</f>
        <v>0</v>
      </c>
      <c r="E72" s="135"/>
      <c r="F72" s="135"/>
      <c r="G72" s="135"/>
      <c r="H72" s="139"/>
      <c r="I72" s="38" t="s">
        <v>234</v>
      </c>
      <c r="J72"/>
      <c r="K72" s="71">
        <f>(IF(B62&gt;3,(H62/(B62+4)+K71),0))</f>
        <v>0</v>
      </c>
    </row>
    <row r="73" spans="1:11" ht="15.75" customHeight="1" x14ac:dyDescent="0.3">
      <c r="A73" s="120" t="s">
        <v>181</v>
      </c>
      <c r="B73" s="121" t="s">
        <v>181</v>
      </c>
      <c r="C73" s="76">
        <v>0</v>
      </c>
      <c r="D73" s="77">
        <f ca="1">((100/(H62))*C73)/100</f>
        <v>0</v>
      </c>
      <c r="E73" s="135"/>
      <c r="F73" s="135"/>
      <c r="G73" s="135"/>
      <c r="H73" s="139"/>
      <c r="I73" s="38" t="s">
        <v>137</v>
      </c>
      <c r="J73" s="24"/>
      <c r="K73" s="67">
        <f ca="1">(IF(B62=0,H62/4+K68,(H62/(B62+4)+K68+MAX(0,K69-K68)+MAX(0,K70-K69)+MAX(0,K71-K70)+MAX(0,K72-K71))))</f>
        <v>18.399999999999999</v>
      </c>
    </row>
    <row r="74" spans="1:11" ht="15.75" customHeight="1" thickBot="1" x14ac:dyDescent="0.35">
      <c r="A74" s="137" t="s">
        <v>182</v>
      </c>
      <c r="B74" s="138"/>
      <c r="C74" s="79">
        <v>0</v>
      </c>
      <c r="D74" s="80">
        <f ca="1">((100/(H62))*C74)/100</f>
        <v>0</v>
      </c>
      <c r="E74" s="136"/>
      <c r="F74" s="136"/>
      <c r="G74" s="136"/>
      <c r="H74" s="140"/>
      <c r="I74" s="72" t="s">
        <v>138</v>
      </c>
      <c r="J74" s="73"/>
      <c r="K74" s="74">
        <f ca="1">(IF(B62=0,H62/4+K73,(H62/(B62+4)+K73)))</f>
        <v>23</v>
      </c>
    </row>
    <row r="75" spans="1:11" ht="15.75" customHeight="1" x14ac:dyDescent="0.3">
      <c r="A75" s="125" t="s">
        <v>193</v>
      </c>
      <c r="B75" s="126"/>
      <c r="C75" s="127" t="str">
        <f>D55</f>
        <v>Wing B (Sale) = B + Gr + 16th Floor</v>
      </c>
      <c r="D75" s="128"/>
      <c r="E75" s="128"/>
      <c r="F75" s="128"/>
      <c r="G75" s="128"/>
      <c r="H75" s="129"/>
      <c r="I75" s="20" t="str">
        <f ca="1">(IF(C79=0,"Work not yet Started.",IF(D79=25%,"Piling work in process",IF(D79=50%,"Excavation work in process",IF(D79=100%,"Excavation work completed, ","0")))&amp;(IF(C80=0%,"",IF(C80=K81,"Footing work is process",IF(C80=K82,"Footing work Completed",IF(C80=K83,"1st Basement Completed",IF(C80=K84,"1st &amp; 2nd Basement Completed",IF(C80=K85,"1st to 3rd Basement Completed",IF(C80=K86,"1st to 4th Basement Completed",IF(C80=K87,"Plinth work is process",IF(C80=K88,"Plinth work completed","0")))))))))))&amp;(IF(C81&gt;0,", RCC upto "&amp;C81&amp;" Slab completed",""))&amp;(IF(C82&gt;0,", Brickwork upto "&amp;C82&amp;" Floor completed"," "))&amp;(IF(C83&gt;0,", Internal Plaster upto "&amp;C83&amp;" Floor completed"," "))&amp;(IF(C84&gt;0,", External Plaster upto "&amp;C84&amp;" Floor completed"," "))&amp;(IF(C85&gt;0,", Flooring upto "&amp;C85&amp;" Floor completed"," "))&amp;(IF(C86&gt;0,", Painting upto "&amp;C86&amp;" Floor completed"," "))&amp;(IF(C87&gt;0,", Finishing upto "&amp;C87&amp;" Floor completed"," ")))</f>
        <v xml:space="preserve">Excavation work completed, Plinth work completed, RCC upto 16 Slab completed, Brickwork upto 13 Floor completed, Internal Plaster upto 9 Floor completed    </v>
      </c>
      <c r="J75" s="20"/>
      <c r="K75" s="21"/>
    </row>
    <row r="76" spans="1:11" x14ac:dyDescent="0.3">
      <c r="A76" s="65" t="s">
        <v>229</v>
      </c>
      <c r="B76" s="62">
        <v>1</v>
      </c>
      <c r="C76" s="62" t="s">
        <v>101</v>
      </c>
      <c r="D76" s="62">
        <v>1</v>
      </c>
      <c r="E76" s="62" t="s">
        <v>100</v>
      </c>
      <c r="F76" s="62">
        <v>0</v>
      </c>
      <c r="G76" s="62" t="s">
        <v>110</v>
      </c>
      <c r="H76" s="66">
        <f ca="1">--TRIM(RIGHT(SUBSTITUTE(LEFT(C75,_xlfn.AGGREGATE(16,6,FIND({0,1,2,3,4,5,6,7,8,9},C75,ROW(INDIRECT("1:"&amp;LEN(C75)))),1))," ",REPT(" ",LEN(C75))),LEN(C75)))</f>
        <v>16</v>
      </c>
      <c r="I76" s="18" t="s">
        <v>152</v>
      </c>
      <c r="J76" s="18"/>
      <c r="K76" s="22"/>
    </row>
    <row r="77" spans="1:11" ht="46.5" customHeight="1" x14ac:dyDescent="0.3">
      <c r="A77" s="131" t="s">
        <v>120</v>
      </c>
      <c r="B77" s="132"/>
      <c r="C77" s="133" t="str">
        <f ca="1">I75</f>
        <v xml:space="preserve">Excavation work completed, Plinth work completed, RCC upto 16 Slab completed, Brickwork upto 13 Floor completed, Internal Plaster upto 9 Floor completed    </v>
      </c>
      <c r="D77" s="133"/>
      <c r="E77" s="133"/>
      <c r="F77" s="133"/>
      <c r="G77" s="133"/>
      <c r="H77" s="134"/>
      <c r="I77" s="18" t="s">
        <v>139</v>
      </c>
      <c r="J77" s="18"/>
      <c r="K77" s="22"/>
    </row>
    <row r="78" spans="1:11" ht="31.2" x14ac:dyDescent="0.3">
      <c r="A78" s="120" t="s">
        <v>52</v>
      </c>
      <c r="B78" s="121"/>
      <c r="C78" s="75" t="s">
        <v>192</v>
      </c>
      <c r="D78" s="75" t="s">
        <v>113</v>
      </c>
      <c r="E78" s="121" t="s">
        <v>115</v>
      </c>
      <c r="F78" s="121"/>
      <c r="G78" s="121" t="s">
        <v>114</v>
      </c>
      <c r="H78" s="130"/>
      <c r="I78" s="38" t="s">
        <v>230</v>
      </c>
      <c r="K78" s="23">
        <f ca="1">H76*25%</f>
        <v>4</v>
      </c>
    </row>
    <row r="79" spans="1:11" x14ac:dyDescent="0.3">
      <c r="A79" s="120" t="s">
        <v>176</v>
      </c>
      <c r="B79" s="121"/>
      <c r="C79" s="76">
        <v>16</v>
      </c>
      <c r="D79" s="77">
        <f ca="1">((100/H76)*C79)/100</f>
        <v>1</v>
      </c>
      <c r="E79" s="135">
        <f ca="1">(IF(C77=I76,"100%",IF(C77=I77,"100%",(((C80/H76*10)+(40/(B76+D76+F76+H76)*C81)+(7.5/(H76)*C82)+(7.5/(H76)*C83)+(10/H76*C84)+(10/H76*C85)+(5/H76*C86)+(5/H76*C87)+(5/H76*C88))/100))))</f>
        <v>0.55868055555555562</v>
      </c>
      <c r="F79" s="135"/>
      <c r="G79" s="135">
        <f ca="1">((((C79/H76)*20)+((C80/H76)*25)+(30/(B76+H76+F76+D76)*C81)+(5/H76*C82)+(5/H76*C83)+(5/H76*C84)+(5/H76*C85)+(0/H76*C86)+(0/H76*C87)+(5/H76*C88))/100)</f>
        <v>0.78541666666666676</v>
      </c>
      <c r="H79" s="139"/>
      <c r="I79" s="38" t="s">
        <v>133</v>
      </c>
      <c r="J79" s="24"/>
      <c r="K79" s="52">
        <f ca="1">H76*50%</f>
        <v>8</v>
      </c>
    </row>
    <row r="80" spans="1:11" x14ac:dyDescent="0.3">
      <c r="A80" s="120" t="s">
        <v>53</v>
      </c>
      <c r="B80" s="121"/>
      <c r="C80" s="78">
        <v>16</v>
      </c>
      <c r="D80" s="77">
        <f ca="1">((100/H76)*C80)/100</f>
        <v>1</v>
      </c>
      <c r="E80" s="135"/>
      <c r="F80" s="135"/>
      <c r="G80" s="135"/>
      <c r="H80" s="139"/>
      <c r="I80" s="38" t="s">
        <v>134</v>
      </c>
      <c r="J80" s="24"/>
      <c r="K80" s="52">
        <f ca="1">H76</f>
        <v>16</v>
      </c>
    </row>
    <row r="81" spans="1:11" ht="15.75" customHeight="1" x14ac:dyDescent="0.3">
      <c r="A81" s="120" t="s">
        <v>177</v>
      </c>
      <c r="B81" s="121"/>
      <c r="C81" s="78">
        <v>16</v>
      </c>
      <c r="D81" s="77">
        <f ca="1">((100/(B76+D76+F76+H76))*C81)/100</f>
        <v>0.88888888888888884</v>
      </c>
      <c r="E81" s="135"/>
      <c r="F81" s="135"/>
      <c r="G81" s="135"/>
      <c r="H81" s="139"/>
      <c r="I81" s="38" t="s">
        <v>135</v>
      </c>
      <c r="J81" s="24"/>
      <c r="K81" s="67">
        <f ca="1">(IF(B76=0,H76/4,(H76/(B76+4))))</f>
        <v>3.2</v>
      </c>
    </row>
    <row r="82" spans="1:11" ht="15.75" customHeight="1" x14ac:dyDescent="0.3">
      <c r="A82" s="120" t="s">
        <v>185</v>
      </c>
      <c r="B82" s="121" t="s">
        <v>178</v>
      </c>
      <c r="C82" s="76">
        <v>13</v>
      </c>
      <c r="D82" s="77">
        <f ca="1">((100/H76)*C82)/100</f>
        <v>0.8125</v>
      </c>
      <c r="E82" s="135"/>
      <c r="F82" s="135"/>
      <c r="G82" s="135"/>
      <c r="H82" s="139"/>
      <c r="I82" s="38" t="s">
        <v>136</v>
      </c>
      <c r="J82" s="24"/>
      <c r="K82" s="67">
        <f ca="1">(IF(B76=0,H76/4+K81,(H76/(B76+4)+K81)))</f>
        <v>6.4</v>
      </c>
    </row>
    <row r="83" spans="1:11" ht="15.75" customHeight="1" x14ac:dyDescent="0.3">
      <c r="A83" s="120" t="s">
        <v>186</v>
      </c>
      <c r="B83" s="121" t="s">
        <v>178</v>
      </c>
      <c r="C83" s="76">
        <v>9</v>
      </c>
      <c r="D83" s="77">
        <f ca="1">((100/H76)*C83)/100</f>
        <v>0.5625</v>
      </c>
      <c r="E83" s="135"/>
      <c r="F83" s="135"/>
      <c r="G83" s="135"/>
      <c r="H83" s="139"/>
      <c r="I83" s="38" t="s">
        <v>231</v>
      </c>
      <c r="J83" s="68"/>
      <c r="K83" s="67">
        <f ca="1">(IF(B76=0,0,(H76/(B76+4)+K82)))</f>
        <v>9.6000000000000014</v>
      </c>
    </row>
    <row r="84" spans="1:11" ht="15" customHeight="1" x14ac:dyDescent="0.3">
      <c r="A84" s="120" t="s">
        <v>184</v>
      </c>
      <c r="B84" s="121" t="s">
        <v>180</v>
      </c>
      <c r="C84" s="76">
        <v>0</v>
      </c>
      <c r="D84" s="77">
        <f ca="1">((100/(H76))*C84)/100</f>
        <v>0</v>
      </c>
      <c r="E84" s="135"/>
      <c r="F84" s="135"/>
      <c r="G84" s="135"/>
      <c r="H84" s="139"/>
      <c r="I84" s="38" t="s">
        <v>232</v>
      </c>
      <c r="J84" s="68"/>
      <c r="K84" s="67">
        <f>(IF(B76&gt;1,(H76/(B76+4)+K83),0))</f>
        <v>0</v>
      </c>
    </row>
    <row r="85" spans="1:11" ht="15.75" customHeight="1" x14ac:dyDescent="0.3">
      <c r="A85" s="120" t="s">
        <v>179</v>
      </c>
      <c r="B85" s="121" t="s">
        <v>179</v>
      </c>
      <c r="C85" s="76">
        <v>0</v>
      </c>
      <c r="D85" s="77">
        <f ca="1">((100/H76)*C85)/100</f>
        <v>0</v>
      </c>
      <c r="E85" s="135"/>
      <c r="F85" s="135"/>
      <c r="G85" s="135"/>
      <c r="H85" s="139"/>
      <c r="I85" s="38" t="s">
        <v>233</v>
      </c>
      <c r="J85" s="69"/>
      <c r="K85" s="70">
        <f>(IF(B76&gt;2,(H76/(B76+4)+K84),0))</f>
        <v>0</v>
      </c>
    </row>
    <row r="86" spans="1:11" ht="15.75" customHeight="1" x14ac:dyDescent="0.3">
      <c r="A86" s="120" t="s">
        <v>187</v>
      </c>
      <c r="B86" s="121"/>
      <c r="C86" s="76">
        <v>0</v>
      </c>
      <c r="D86" s="77">
        <f ca="1">((100/H76)*C86)/100</f>
        <v>0</v>
      </c>
      <c r="E86" s="135"/>
      <c r="F86" s="135"/>
      <c r="G86" s="135"/>
      <c r="H86" s="139"/>
      <c r="I86" s="38" t="s">
        <v>234</v>
      </c>
      <c r="J86"/>
      <c r="K86" s="71">
        <f>(IF(B76&gt;3,(H76/(B76+4)+K85),0))</f>
        <v>0</v>
      </c>
    </row>
    <row r="87" spans="1:11" ht="15.75" customHeight="1" x14ac:dyDescent="0.3">
      <c r="A87" s="120" t="s">
        <v>181</v>
      </c>
      <c r="B87" s="121" t="s">
        <v>181</v>
      </c>
      <c r="C87" s="76">
        <v>0</v>
      </c>
      <c r="D87" s="77">
        <f ca="1">((100/(H76))*C87)/100</f>
        <v>0</v>
      </c>
      <c r="E87" s="135"/>
      <c r="F87" s="135"/>
      <c r="G87" s="135"/>
      <c r="H87" s="139"/>
      <c r="I87" s="38" t="s">
        <v>137</v>
      </c>
      <c r="J87" s="24"/>
      <c r="K87" s="67">
        <f ca="1">(IF(B76=0,H76/4+K82,(H76/(B76+4)+K82+MAX(0,K83-K82)+MAX(0,K84-K83)+MAX(0,K85-K84)+MAX(0,K86-K85))))</f>
        <v>12.800000000000002</v>
      </c>
    </row>
    <row r="88" spans="1:11" ht="16.2" thickBot="1" x14ac:dyDescent="0.35">
      <c r="A88" s="137" t="s">
        <v>182</v>
      </c>
      <c r="B88" s="138"/>
      <c r="C88" s="79">
        <v>0</v>
      </c>
      <c r="D88" s="80">
        <f ca="1">((100/(H76))*C88)/100</f>
        <v>0</v>
      </c>
      <c r="E88" s="136"/>
      <c r="F88" s="136"/>
      <c r="G88" s="136"/>
      <c r="H88" s="140"/>
      <c r="I88" s="72" t="s">
        <v>138</v>
      </c>
      <c r="J88" s="73"/>
      <c r="K88" s="74">
        <f ca="1">(IF(B76=0,H76/4+K87,(H76/(B76+4)+K87)))</f>
        <v>16.000000000000004</v>
      </c>
    </row>
    <row r="89" spans="1:11" x14ac:dyDescent="0.3">
      <c r="A89" s="122" t="s">
        <v>153</v>
      </c>
      <c r="B89" s="123"/>
      <c r="C89" s="123"/>
      <c r="D89" s="123"/>
      <c r="E89" s="124"/>
      <c r="F89" s="122" t="str">
        <f ca="1">(IF(G65="100%","Yes",IF(G65&gt;0%,"Under Construction",IF(G65=0%,"Work not yet Started"))))</f>
        <v>Under Construction</v>
      </c>
      <c r="G89" s="123"/>
      <c r="H89" s="124"/>
    </row>
    <row r="90" spans="1:11" x14ac:dyDescent="0.3">
      <c r="A90" s="82" t="s">
        <v>54</v>
      </c>
      <c r="B90" s="82"/>
      <c r="C90" s="82"/>
      <c r="D90" s="82"/>
      <c r="E90" s="82"/>
      <c r="F90" s="82"/>
      <c r="G90" s="82"/>
      <c r="H90" s="82"/>
    </row>
    <row r="91" spans="1:11" ht="15" customHeight="1" x14ac:dyDescent="0.3">
      <c r="A91" s="132" t="s">
        <v>103</v>
      </c>
      <c r="B91" s="132"/>
      <c r="C91" s="133" t="s">
        <v>104</v>
      </c>
      <c r="D91" s="133"/>
      <c r="E91" s="133"/>
      <c r="F91" s="133"/>
      <c r="G91" s="133"/>
      <c r="H91" s="133"/>
    </row>
    <row r="92" spans="1:11" x14ac:dyDescent="0.3">
      <c r="A92" s="91" t="s">
        <v>55</v>
      </c>
      <c r="B92" s="91"/>
      <c r="C92" s="91"/>
      <c r="D92" s="91"/>
      <c r="E92" s="91"/>
      <c r="F92" s="91"/>
      <c r="G92" s="91"/>
      <c r="H92" s="91"/>
    </row>
    <row r="93" spans="1:11" x14ac:dyDescent="0.3">
      <c r="A93" s="82" t="s">
        <v>105</v>
      </c>
      <c r="B93" s="82"/>
      <c r="C93" s="82"/>
      <c r="D93" s="82"/>
      <c r="E93" s="82"/>
      <c r="F93" s="92">
        <v>24500</v>
      </c>
      <c r="G93" s="92"/>
      <c r="H93" s="92"/>
    </row>
    <row r="94" spans="1:11" s="12" customFormat="1" hidden="1" x14ac:dyDescent="0.25">
      <c r="A94" s="82" t="s">
        <v>125</v>
      </c>
      <c r="B94" s="82"/>
      <c r="C94" s="82"/>
      <c r="D94" s="82"/>
      <c r="E94" s="82"/>
      <c r="F94" s="92" t="s">
        <v>30</v>
      </c>
      <c r="G94" s="92"/>
      <c r="H94" s="92"/>
    </row>
    <row r="95" spans="1:11" s="12" customFormat="1" hidden="1" x14ac:dyDescent="0.25">
      <c r="A95" s="82" t="s">
        <v>126</v>
      </c>
      <c r="B95" s="82"/>
      <c r="C95" s="82"/>
      <c r="D95" s="82"/>
      <c r="E95" s="82"/>
      <c r="F95" s="92" t="s">
        <v>30</v>
      </c>
      <c r="G95" s="92"/>
      <c r="H95" s="92"/>
    </row>
    <row r="96" spans="1:11" s="12" customFormat="1" hidden="1" x14ac:dyDescent="0.25">
      <c r="A96" s="82" t="s">
        <v>127</v>
      </c>
      <c r="B96" s="82"/>
      <c r="C96" s="82"/>
      <c r="D96" s="82"/>
      <c r="E96" s="82"/>
      <c r="F96" s="92" t="s">
        <v>30</v>
      </c>
      <c r="G96" s="92"/>
      <c r="H96" s="92"/>
    </row>
    <row r="97" spans="1:9" s="12" customFormat="1" hidden="1" x14ac:dyDescent="0.25">
      <c r="A97" s="82" t="s">
        <v>128</v>
      </c>
      <c r="B97" s="82"/>
      <c r="C97" s="82"/>
      <c r="D97" s="82"/>
      <c r="E97" s="82"/>
      <c r="F97" s="92" t="s">
        <v>30</v>
      </c>
      <c r="G97" s="92"/>
      <c r="H97" s="92"/>
    </row>
    <row r="98" spans="1:9" s="12" customFormat="1" hidden="1" x14ac:dyDescent="0.25">
      <c r="A98" s="82" t="s">
        <v>129</v>
      </c>
      <c r="B98" s="82"/>
      <c r="C98" s="82"/>
      <c r="D98" s="82"/>
      <c r="E98" s="82"/>
      <c r="F98" s="92" t="s">
        <v>30</v>
      </c>
      <c r="G98" s="92"/>
      <c r="H98" s="92"/>
    </row>
    <row r="99" spans="1:9" s="12" customFormat="1" hidden="1" x14ac:dyDescent="0.25">
      <c r="A99" s="82" t="s">
        <v>130</v>
      </c>
      <c r="B99" s="82"/>
      <c r="C99" s="82"/>
      <c r="D99" s="82"/>
      <c r="E99" s="82"/>
      <c r="F99" s="92" t="s">
        <v>30</v>
      </c>
      <c r="G99" s="92"/>
      <c r="H99" s="92"/>
    </row>
    <row r="100" spans="1:9" s="12" customFormat="1" hidden="1" x14ac:dyDescent="0.25">
      <c r="A100" s="82" t="s">
        <v>131</v>
      </c>
      <c r="B100" s="82"/>
      <c r="C100" s="82"/>
      <c r="D100" s="82"/>
      <c r="E100" s="82"/>
      <c r="F100" s="92" t="s">
        <v>30</v>
      </c>
      <c r="G100" s="92"/>
      <c r="H100" s="92"/>
    </row>
    <row r="101" spans="1:9" s="12" customFormat="1" hidden="1" x14ac:dyDescent="0.25">
      <c r="A101" s="82" t="s">
        <v>132</v>
      </c>
      <c r="B101" s="82"/>
      <c r="C101" s="82"/>
      <c r="D101" s="82"/>
      <c r="E101" s="82"/>
      <c r="F101" s="92" t="s">
        <v>30</v>
      </c>
      <c r="G101" s="92"/>
      <c r="H101" s="92"/>
    </row>
    <row r="102" spans="1:9" x14ac:dyDescent="0.3">
      <c r="A102" s="82" t="s">
        <v>56</v>
      </c>
      <c r="B102" s="82"/>
      <c r="C102" s="82"/>
      <c r="D102" s="82"/>
      <c r="E102" s="82"/>
      <c r="F102" s="90" t="s">
        <v>235</v>
      </c>
      <c r="G102" s="90"/>
      <c r="H102" s="90"/>
    </row>
    <row r="103" spans="1:9" s="9" customFormat="1" x14ac:dyDescent="0.3">
      <c r="A103" s="91" t="s">
        <v>57</v>
      </c>
      <c r="B103" s="91"/>
      <c r="C103" s="91"/>
      <c r="D103" s="91"/>
      <c r="E103" s="91"/>
      <c r="F103" s="92">
        <f>F93*0.8</f>
        <v>19600</v>
      </c>
      <c r="G103" s="92"/>
      <c r="H103" s="92"/>
    </row>
    <row r="104" spans="1:9" s="1" customFormat="1" x14ac:dyDescent="0.3">
      <c r="A104" s="97" t="s">
        <v>99</v>
      </c>
      <c r="B104" s="97"/>
      <c r="C104" s="97"/>
      <c r="D104" s="97"/>
      <c r="E104" s="97"/>
      <c r="F104" s="97"/>
      <c r="G104" s="97"/>
      <c r="H104" s="97"/>
    </row>
    <row r="105" spans="1:9" s="1" customFormat="1" ht="15.75" customHeight="1" x14ac:dyDescent="0.3">
      <c r="A105" s="107" t="s">
        <v>58</v>
      </c>
      <c r="B105" s="107"/>
      <c r="C105" s="105" t="s">
        <v>108</v>
      </c>
      <c r="D105" s="105"/>
      <c r="E105" s="106" t="s">
        <v>59</v>
      </c>
      <c r="F105" s="106"/>
      <c r="G105" s="107" t="s">
        <v>60</v>
      </c>
      <c r="H105" s="107"/>
    </row>
    <row r="106" spans="1:9" s="1" customFormat="1" x14ac:dyDescent="0.3">
      <c r="A106" s="94" t="s">
        <v>226</v>
      </c>
      <c r="B106" s="94"/>
      <c r="C106" s="108">
        <f>COUNT(D115:D118,D120:D125,D127:D132)+COUNT(D134:D139)*7+COUNT(D141:D146)*6+COUNT(D148:D153)*7</f>
        <v>136</v>
      </c>
      <c r="D106" s="108"/>
      <c r="E106" s="109">
        <f>SUM(D115:D118,D120:D125,D127:D132)+SUM(D134:D139)*7+SUM(D141:D146)*6+SUM(D148:D153)*7</f>
        <v>47808.069191999988</v>
      </c>
      <c r="F106" s="109"/>
      <c r="G106" s="109">
        <f>SUM(F115:F118,F120:F125,F127:F132)+SUM(F134:F139)*7+SUM(F141:F146)*6+SUM(F148:F153)*7</f>
        <v>76492.91070719999</v>
      </c>
      <c r="H106" s="109"/>
    </row>
    <row r="107" spans="1:9" s="1" customFormat="1" x14ac:dyDescent="0.3">
      <c r="A107" s="94" t="s">
        <v>227</v>
      </c>
      <c r="B107" s="94"/>
      <c r="C107" s="108">
        <f>COUNT(D158:D159)*7+COUNT(D161:D162)*6</f>
        <v>26</v>
      </c>
      <c r="D107" s="108"/>
      <c r="E107" s="109">
        <f>SUM(D158:D159)*7+SUM(D161:D162)*6</f>
        <v>17163.919188</v>
      </c>
      <c r="F107" s="109"/>
      <c r="G107" s="109">
        <f>SUM(F158:F159)*7+SUM(F161:F162)*6</f>
        <v>28721.658700799995</v>
      </c>
      <c r="H107" s="109"/>
    </row>
    <row r="108" spans="1:9" s="1" customFormat="1" x14ac:dyDescent="0.3">
      <c r="A108" s="97" t="s">
        <v>62</v>
      </c>
      <c r="B108" s="97"/>
      <c r="C108" s="105">
        <f>SUM(C106:D107)</f>
        <v>162</v>
      </c>
      <c r="D108" s="105"/>
      <c r="E108" s="201">
        <f>SUM(E106:F107)</f>
        <v>64971.988379999988</v>
      </c>
      <c r="F108" s="106"/>
      <c r="G108" s="107">
        <f>SUM(G106:H107)</f>
        <v>105214.56940799998</v>
      </c>
      <c r="H108" s="107"/>
    </row>
    <row r="109" spans="1:9" s="9" customFormat="1" x14ac:dyDescent="0.3">
      <c r="A109" s="195" t="s">
        <v>63</v>
      </c>
      <c r="B109" s="196"/>
      <c r="C109" s="196"/>
      <c r="D109" s="196"/>
      <c r="E109" s="196"/>
      <c r="F109" s="196"/>
      <c r="G109" s="196"/>
      <c r="H109" s="197"/>
    </row>
    <row r="110" spans="1:9" x14ac:dyDescent="0.3">
      <c r="A110" s="115" t="s">
        <v>64</v>
      </c>
      <c r="B110" s="115"/>
      <c r="C110" s="115"/>
      <c r="D110" s="115"/>
      <c r="E110" s="115"/>
      <c r="F110" s="115"/>
      <c r="G110" s="115"/>
      <c r="H110" s="115"/>
    </row>
    <row r="111" spans="1:9" ht="47.25" customHeight="1" x14ac:dyDescent="0.3">
      <c r="A111" s="110" t="s">
        <v>157</v>
      </c>
      <c r="B111" s="110" t="s">
        <v>158</v>
      </c>
      <c r="C111" s="100" t="s">
        <v>65</v>
      </c>
      <c r="D111" s="100" t="s">
        <v>66</v>
      </c>
      <c r="E111" s="116" t="s">
        <v>67</v>
      </c>
      <c r="F111" s="37" t="s">
        <v>154</v>
      </c>
      <c r="G111" s="110" t="s">
        <v>68</v>
      </c>
      <c r="H111" s="118"/>
      <c r="I111" s="36"/>
    </row>
    <row r="112" spans="1:9" s="2" customFormat="1" x14ac:dyDescent="0.3">
      <c r="A112" s="111"/>
      <c r="B112" s="111"/>
      <c r="C112" s="101"/>
      <c r="D112" s="101"/>
      <c r="E112" s="117"/>
      <c r="F112" s="35">
        <v>0.6</v>
      </c>
      <c r="G112" s="111"/>
      <c r="H112" s="119"/>
      <c r="I112" s="36"/>
    </row>
    <row r="113" spans="1:16" s="2" customFormat="1" x14ac:dyDescent="0.3">
      <c r="A113" s="93" t="s">
        <v>217</v>
      </c>
      <c r="B113" s="93"/>
      <c r="C113" s="93"/>
      <c r="D113" s="93"/>
      <c r="E113" s="93"/>
      <c r="F113" s="93"/>
      <c r="G113" s="93"/>
      <c r="H113" s="93"/>
      <c r="I113" s="36"/>
      <c r="L113" s="187"/>
      <c r="M113" s="187"/>
    </row>
    <row r="114" spans="1:16" s="2" customFormat="1" x14ac:dyDescent="0.3">
      <c r="A114" s="93" t="s">
        <v>214</v>
      </c>
      <c r="B114" s="93"/>
      <c r="C114" s="93"/>
      <c r="D114" s="93"/>
      <c r="E114" s="93"/>
      <c r="F114" s="93"/>
      <c r="G114" s="93"/>
      <c r="H114" s="93"/>
      <c r="I114" s="36"/>
      <c r="L114" s="187"/>
      <c r="M114" s="187"/>
    </row>
    <row r="115" spans="1:16" s="2" customFormat="1" x14ac:dyDescent="0.3">
      <c r="A115" s="98">
        <f t="shared" ref="A115:A118" ca="1" si="0">L115</f>
        <v>101</v>
      </c>
      <c r="B115" s="98"/>
      <c r="C115" s="19" t="s">
        <v>215</v>
      </c>
      <c r="D115" s="19">
        <f>(11.088+8.022+4.604+2.115+1.155+0.9+4.779)*10.764</f>
        <v>351.58453199999997</v>
      </c>
      <c r="E115" s="19">
        <v>0</v>
      </c>
      <c r="F115" s="19">
        <f>D115*(($F$112)+1)+E115</f>
        <v>562.53525119999995</v>
      </c>
      <c r="G115" s="98" t="str">
        <f>A114</f>
        <v>1st Floor</v>
      </c>
      <c r="H115" s="98"/>
      <c r="I115" s="36"/>
      <c r="L115" s="2">
        <f t="shared" ref="L115:L118" ca="1" si="1">O115</f>
        <v>101</v>
      </c>
      <c r="N115" s="36">
        <v>1</v>
      </c>
      <c r="O115" s="2">
        <f ca="1">(SUMPRODUCT(MID(0&amp;P115, LARGE(INDEX(ISNUMBER(--MID(P115, ROW(INDIRECT("1:"&amp;LEN(P115))), 1)) * ROW(INDIRECT("1:"&amp;LEN(P115))), 0), ROW(INDIRECT("1:"&amp;LEN(P115))))+1, 1) * 10^ROW(INDIRECT("1:"&amp;LEN(P115)))/10))*N115*100+1</f>
        <v>101</v>
      </c>
      <c r="P115" s="2" t="str">
        <f>LEFT(A114,SUM(LEN(A114)-LEN(SUBSTITUTE(A114,{"0","1","2","3","4","5","6","7","8","9"},""))))</f>
        <v>1</v>
      </c>
    </row>
    <row r="116" spans="1:16" s="2" customFormat="1" x14ac:dyDescent="0.3">
      <c r="A116" s="98">
        <f t="shared" ca="1" si="0"/>
        <v>102</v>
      </c>
      <c r="B116" s="98"/>
      <c r="C116" s="19" t="s">
        <v>215</v>
      </c>
      <c r="D116" s="19">
        <f t="shared" ref="D116" si="2">(11.088+8.022+4.604+2.115+1.155+0.9+4.779)*10.764</f>
        <v>351.58453199999997</v>
      </c>
      <c r="E116" s="19">
        <v>0</v>
      </c>
      <c r="F116" s="19">
        <f>D116*(($F$112)+1)+E116</f>
        <v>562.53525119999995</v>
      </c>
      <c r="G116" s="98" t="str">
        <f t="shared" ref="G116:G118" si="3">G115</f>
        <v>1st Floor</v>
      </c>
      <c r="H116" s="98"/>
      <c r="I116" s="36"/>
      <c r="L116" s="2">
        <f t="shared" ca="1" si="1"/>
        <v>102</v>
      </c>
      <c r="N116" s="36">
        <f>N115+1</f>
        <v>2</v>
      </c>
      <c r="O116" s="2">
        <f ca="1">O115+1</f>
        <v>102</v>
      </c>
    </row>
    <row r="117" spans="1:16" s="2" customFormat="1" x14ac:dyDescent="0.3">
      <c r="A117" s="98">
        <f t="shared" ca="1" si="0"/>
        <v>103</v>
      </c>
      <c r="B117" s="98"/>
      <c r="C117" s="19" t="s">
        <v>215</v>
      </c>
      <c r="D117" s="19">
        <f>(11.067+8.049+4.646+1.755+1.163+1.192+4.776)*10.764</f>
        <v>351.42307199999993</v>
      </c>
      <c r="E117" s="19">
        <v>0</v>
      </c>
      <c r="F117" s="19">
        <f>D117*(($F$112)+1)+E117</f>
        <v>562.27691519999996</v>
      </c>
      <c r="G117" s="98" t="str">
        <f t="shared" si="3"/>
        <v>1st Floor</v>
      </c>
      <c r="H117" s="98"/>
      <c r="I117" s="36"/>
      <c r="L117" s="2">
        <f t="shared" ca="1" si="1"/>
        <v>103</v>
      </c>
      <c r="N117" s="36">
        <f>N116+1</f>
        <v>3</v>
      </c>
      <c r="O117" s="2">
        <f ca="1">O116+1</f>
        <v>103</v>
      </c>
    </row>
    <row r="118" spans="1:16" s="2" customFormat="1" x14ac:dyDescent="0.3">
      <c r="A118" s="98">
        <f t="shared" ca="1" si="0"/>
        <v>104</v>
      </c>
      <c r="B118" s="98"/>
      <c r="C118" s="19" t="s">
        <v>215</v>
      </c>
      <c r="D118" s="19">
        <f>(11.067+8.049+4.646+1.755+1.163+1.192+4.776)*10.764</f>
        <v>351.42307199999993</v>
      </c>
      <c r="E118" s="19">
        <v>0</v>
      </c>
      <c r="F118" s="19">
        <f>D118*(($F$112)+1)+E118</f>
        <v>562.27691519999996</v>
      </c>
      <c r="G118" s="98" t="str">
        <f t="shared" si="3"/>
        <v>1st Floor</v>
      </c>
      <c r="H118" s="98"/>
      <c r="I118" s="36"/>
      <c r="L118" s="2">
        <f t="shared" ca="1" si="1"/>
        <v>104</v>
      </c>
      <c r="N118" s="36">
        <f t="shared" ref="N118" si="4">N117+1</f>
        <v>4</v>
      </c>
      <c r="O118" s="2">
        <f t="shared" ref="O118" ca="1" si="5">O117+1</f>
        <v>104</v>
      </c>
    </row>
    <row r="119" spans="1:16" s="2" customFormat="1" x14ac:dyDescent="0.3">
      <c r="A119" s="93" t="s">
        <v>156</v>
      </c>
      <c r="B119" s="93"/>
      <c r="C119" s="93"/>
      <c r="D119" s="93"/>
      <c r="E119" s="93"/>
      <c r="F119" s="93"/>
      <c r="G119" s="93"/>
      <c r="H119" s="93"/>
      <c r="I119" s="36"/>
      <c r="L119" s="187"/>
      <c r="M119" s="187"/>
    </row>
    <row r="120" spans="1:16" s="2" customFormat="1" x14ac:dyDescent="0.3">
      <c r="A120" s="98">
        <f t="shared" ref="A120:A123" ca="1" si="6">L120</f>
        <v>201</v>
      </c>
      <c r="B120" s="98"/>
      <c r="C120" s="19" t="s">
        <v>215</v>
      </c>
      <c r="D120" s="19">
        <f>(11.088+8.022+4.604+2.115+1.155+0.9+4.779)*10.764</f>
        <v>351.58453199999997</v>
      </c>
      <c r="E120" s="19">
        <v>0</v>
      </c>
      <c r="F120" s="19">
        <f>D120*(($F$112)+1)+E120</f>
        <v>562.53525119999995</v>
      </c>
      <c r="G120" s="98" t="str">
        <f>A119</f>
        <v>2nd Floor</v>
      </c>
      <c r="H120" s="98"/>
      <c r="I120" s="36"/>
      <c r="L120" s="2">
        <f t="shared" ref="L120:L123" ca="1" si="7">O120</f>
        <v>201</v>
      </c>
      <c r="N120" s="36">
        <v>1</v>
      </c>
      <c r="O120" s="2">
        <f ca="1">(SUMPRODUCT(MID(0&amp;P120, LARGE(INDEX(ISNUMBER(--MID(P120, ROW(INDIRECT("1:"&amp;LEN(P120))), 1)) * ROW(INDIRECT("1:"&amp;LEN(P120))), 0), ROW(INDIRECT("1:"&amp;LEN(P120))))+1, 1) * 10^ROW(INDIRECT("1:"&amp;LEN(P120)))/10))*N120*100+1</f>
        <v>201</v>
      </c>
      <c r="P120" s="2" t="str">
        <f>LEFT(A119,SUM(LEN(A119)-LEN(SUBSTITUTE(A119,{"0","1","2","3","4","5","6","7","8","9"},""))))</f>
        <v>2</v>
      </c>
    </row>
    <row r="121" spans="1:16" s="2" customFormat="1" x14ac:dyDescent="0.3">
      <c r="A121" s="98">
        <f t="shared" ca="1" si="6"/>
        <v>202</v>
      </c>
      <c r="B121" s="98"/>
      <c r="C121" s="19" t="s">
        <v>215</v>
      </c>
      <c r="D121" s="19">
        <f t="shared" ref="D121:D125" si="8">(11.088+8.022+4.604+2.115+1.155+0.9+4.779)*10.764</f>
        <v>351.58453199999997</v>
      </c>
      <c r="E121" s="19">
        <v>0</v>
      </c>
      <c r="F121" s="19">
        <f t="shared" ref="F121:F123" si="9">D121*(($F$112)+1)+E121</f>
        <v>562.53525119999995</v>
      </c>
      <c r="G121" s="98" t="str">
        <f t="shared" ref="G121:G125" si="10">G120</f>
        <v>2nd Floor</v>
      </c>
      <c r="H121" s="98"/>
      <c r="I121" s="36"/>
      <c r="L121" s="2">
        <f t="shared" ca="1" si="7"/>
        <v>202</v>
      </c>
      <c r="N121" s="36">
        <f>N120+1</f>
        <v>2</v>
      </c>
      <c r="O121" s="2">
        <f ca="1">O120+1</f>
        <v>202</v>
      </c>
    </row>
    <row r="122" spans="1:16" s="2" customFormat="1" x14ac:dyDescent="0.3">
      <c r="A122" s="98">
        <f t="shared" ca="1" si="6"/>
        <v>203</v>
      </c>
      <c r="B122" s="98"/>
      <c r="C122" s="19" t="s">
        <v>215</v>
      </c>
      <c r="D122" s="19">
        <f>(11.067+8.049+4.646+1.755+1.163+1.192+4.776)*10.764</f>
        <v>351.42307199999993</v>
      </c>
      <c r="E122" s="19">
        <v>0</v>
      </c>
      <c r="F122" s="19">
        <f t="shared" si="9"/>
        <v>562.27691519999996</v>
      </c>
      <c r="G122" s="98" t="str">
        <f t="shared" si="10"/>
        <v>2nd Floor</v>
      </c>
      <c r="H122" s="98"/>
      <c r="I122" s="36"/>
      <c r="L122" s="2">
        <f t="shared" ca="1" si="7"/>
        <v>203</v>
      </c>
      <c r="N122" s="36">
        <f>N121+1</f>
        <v>3</v>
      </c>
      <c r="O122" s="2">
        <f ca="1">O121+1</f>
        <v>203</v>
      </c>
    </row>
    <row r="123" spans="1:16" s="2" customFormat="1" x14ac:dyDescent="0.3">
      <c r="A123" s="98">
        <f t="shared" ca="1" si="6"/>
        <v>204</v>
      </c>
      <c r="B123" s="98"/>
      <c r="C123" s="19" t="s">
        <v>215</v>
      </c>
      <c r="D123" s="19">
        <f>(11.067+8.049+4.646+1.755+1.163+1.192+4.776)*10.764</f>
        <v>351.42307199999993</v>
      </c>
      <c r="E123" s="19">
        <v>0</v>
      </c>
      <c r="F123" s="19">
        <f t="shared" si="9"/>
        <v>562.27691519999996</v>
      </c>
      <c r="G123" s="98" t="str">
        <f t="shared" si="10"/>
        <v>2nd Floor</v>
      </c>
      <c r="H123" s="98"/>
      <c r="I123" s="36"/>
      <c r="L123" s="2">
        <f t="shared" ca="1" si="7"/>
        <v>204</v>
      </c>
      <c r="N123" s="36">
        <f t="shared" ref="N123:O123" si="11">N122+1</f>
        <v>4</v>
      </c>
      <c r="O123" s="2">
        <f t="shared" ca="1" si="11"/>
        <v>204</v>
      </c>
    </row>
    <row r="124" spans="1:16" s="2" customFormat="1" x14ac:dyDescent="0.3">
      <c r="A124" s="98">
        <f t="shared" ref="A124:A125" ca="1" si="12">L124</f>
        <v>205</v>
      </c>
      <c r="B124" s="98"/>
      <c r="C124" s="19" t="s">
        <v>215</v>
      </c>
      <c r="D124" s="19">
        <f t="shared" si="8"/>
        <v>351.58453199999997</v>
      </c>
      <c r="E124" s="19">
        <v>0</v>
      </c>
      <c r="F124" s="19">
        <f t="shared" ref="F124:F125" si="13">D124*(($F$112)+1)+E124</f>
        <v>562.53525119999995</v>
      </c>
      <c r="G124" s="98" t="str">
        <f t="shared" si="10"/>
        <v>2nd Floor</v>
      </c>
      <c r="H124" s="98"/>
      <c r="I124" s="36"/>
      <c r="L124" s="2">
        <f t="shared" ref="L124:L125" ca="1" si="14">O124</f>
        <v>205</v>
      </c>
      <c r="N124" s="36">
        <f>N123+1</f>
        <v>5</v>
      </c>
      <c r="O124" s="2">
        <f ca="1">O123+1</f>
        <v>205</v>
      </c>
    </row>
    <row r="125" spans="1:16" s="2" customFormat="1" x14ac:dyDescent="0.3">
      <c r="A125" s="98">
        <f t="shared" ca="1" si="12"/>
        <v>206</v>
      </c>
      <c r="B125" s="98"/>
      <c r="C125" s="19" t="s">
        <v>215</v>
      </c>
      <c r="D125" s="19">
        <f t="shared" si="8"/>
        <v>351.58453199999997</v>
      </c>
      <c r="E125" s="19">
        <v>0</v>
      </c>
      <c r="F125" s="19">
        <f t="shared" si="13"/>
        <v>562.53525119999995</v>
      </c>
      <c r="G125" s="98" t="str">
        <f t="shared" si="10"/>
        <v>2nd Floor</v>
      </c>
      <c r="H125" s="98"/>
      <c r="I125" s="36"/>
      <c r="L125" s="2">
        <f t="shared" ca="1" si="14"/>
        <v>206</v>
      </c>
      <c r="N125" s="36">
        <f t="shared" ref="N125:O125" si="15">N124+1</f>
        <v>6</v>
      </c>
      <c r="O125" s="2">
        <f t="shared" ca="1" si="15"/>
        <v>206</v>
      </c>
    </row>
    <row r="126" spans="1:16" s="2" customFormat="1" x14ac:dyDescent="0.3">
      <c r="A126" s="93" t="s">
        <v>216</v>
      </c>
      <c r="B126" s="93"/>
      <c r="C126" s="93"/>
      <c r="D126" s="93"/>
      <c r="E126" s="93"/>
      <c r="F126" s="93"/>
      <c r="G126" s="93"/>
      <c r="H126" s="93"/>
      <c r="I126" s="36"/>
      <c r="L126" s="187"/>
      <c r="M126" s="187"/>
    </row>
    <row r="127" spans="1:16" s="2" customFormat="1" x14ac:dyDescent="0.3">
      <c r="A127" s="98">
        <f t="shared" ref="A127:A132" ca="1" si="16">L127</f>
        <v>301</v>
      </c>
      <c r="B127" s="98"/>
      <c r="C127" s="19" t="s">
        <v>215</v>
      </c>
      <c r="D127" s="19">
        <f>(11.088+8.022+4.604+2.115+1.155+0.9+4.779)*10.764</f>
        <v>351.58453199999997</v>
      </c>
      <c r="E127" s="19">
        <v>0</v>
      </c>
      <c r="F127" s="19">
        <f>D127*(($F$112)+1)+E127</f>
        <v>562.53525119999995</v>
      </c>
      <c r="G127" s="98" t="str">
        <f>A126</f>
        <v>3rd Floor</v>
      </c>
      <c r="H127" s="98"/>
      <c r="I127" s="36"/>
      <c r="L127" s="2">
        <f t="shared" ref="L127:L132" ca="1" si="17">O127</f>
        <v>301</v>
      </c>
      <c r="N127" s="36">
        <v>1</v>
      </c>
      <c r="O127" s="2">
        <f ca="1">(SUMPRODUCT(MID(0&amp;P127, LARGE(INDEX(ISNUMBER(--MID(P127, ROW(INDIRECT("1:"&amp;LEN(P127))), 1)) * ROW(INDIRECT("1:"&amp;LEN(P127))), 0), ROW(INDIRECT("1:"&amp;LEN(P127))))+1, 1) * 10^ROW(INDIRECT("1:"&amp;LEN(P127)))/10))*N127*100+1</f>
        <v>301</v>
      </c>
      <c r="P127" s="2" t="str">
        <f>LEFT(A126,SUM(LEN(A126)-LEN(SUBSTITUTE(A126,{"0","1","2","3","4","5","6","7","8","9"},""))))</f>
        <v>3</v>
      </c>
    </row>
    <row r="128" spans="1:16" s="2" customFormat="1" x14ac:dyDescent="0.3">
      <c r="A128" s="98">
        <f t="shared" ca="1" si="16"/>
        <v>302</v>
      </c>
      <c r="B128" s="98"/>
      <c r="C128" s="19" t="s">
        <v>215</v>
      </c>
      <c r="D128" s="19">
        <f t="shared" ref="D128:D132" si="18">(11.088+8.022+4.604+2.115+1.155+0.9+4.779)*10.764</f>
        <v>351.58453199999997</v>
      </c>
      <c r="E128" s="19">
        <v>0</v>
      </c>
      <c r="F128" s="19">
        <f t="shared" ref="F128:F132" si="19">D128*(($F$112)+1)+E128</f>
        <v>562.53525119999995</v>
      </c>
      <c r="G128" s="98" t="str">
        <f t="shared" ref="G128:G132" si="20">G127</f>
        <v>3rd Floor</v>
      </c>
      <c r="H128" s="98"/>
      <c r="I128" s="36"/>
      <c r="L128" s="2">
        <f t="shared" ca="1" si="17"/>
        <v>302</v>
      </c>
      <c r="N128" s="36">
        <f>N127+1</f>
        <v>2</v>
      </c>
      <c r="O128" s="2">
        <f ca="1">O127+1</f>
        <v>302</v>
      </c>
    </row>
    <row r="129" spans="1:16" s="2" customFormat="1" x14ac:dyDescent="0.3">
      <c r="A129" s="98">
        <f t="shared" ca="1" si="16"/>
        <v>303</v>
      </c>
      <c r="B129" s="98"/>
      <c r="C129" s="19" t="s">
        <v>215</v>
      </c>
      <c r="D129" s="19">
        <f>(11.067+8.049+4.646+1.755+1.163+1.192+4.776)*10.764</f>
        <v>351.42307199999993</v>
      </c>
      <c r="E129" s="19">
        <v>0</v>
      </c>
      <c r="F129" s="19">
        <f t="shared" si="19"/>
        <v>562.27691519999996</v>
      </c>
      <c r="G129" s="98" t="str">
        <f t="shared" si="20"/>
        <v>3rd Floor</v>
      </c>
      <c r="H129" s="98"/>
      <c r="I129" s="36"/>
      <c r="L129" s="2">
        <f t="shared" ca="1" si="17"/>
        <v>303</v>
      </c>
      <c r="N129" s="36">
        <f>N128+1</f>
        <v>3</v>
      </c>
      <c r="O129" s="2">
        <f ca="1">O128+1</f>
        <v>303</v>
      </c>
    </row>
    <row r="130" spans="1:16" s="2" customFormat="1" x14ac:dyDescent="0.3">
      <c r="A130" s="98">
        <f t="shared" ca="1" si="16"/>
        <v>304</v>
      </c>
      <c r="B130" s="98"/>
      <c r="C130" s="19" t="s">
        <v>215</v>
      </c>
      <c r="D130" s="19">
        <f>(11.067+8.049+4.646+1.755+1.163+1.192+4.776)*10.764</f>
        <v>351.42307199999993</v>
      </c>
      <c r="E130" s="19">
        <v>0</v>
      </c>
      <c r="F130" s="19">
        <f t="shared" si="19"/>
        <v>562.27691519999996</v>
      </c>
      <c r="G130" s="98" t="str">
        <f t="shared" si="20"/>
        <v>3rd Floor</v>
      </c>
      <c r="H130" s="98"/>
      <c r="I130" s="36"/>
      <c r="L130" s="2">
        <f t="shared" ca="1" si="17"/>
        <v>304</v>
      </c>
      <c r="N130" s="36">
        <f t="shared" ref="N130:O130" si="21">N129+1</f>
        <v>4</v>
      </c>
      <c r="O130" s="2">
        <f t="shared" ca="1" si="21"/>
        <v>304</v>
      </c>
    </row>
    <row r="131" spans="1:16" s="2" customFormat="1" x14ac:dyDescent="0.3">
      <c r="A131" s="98">
        <f t="shared" ca="1" si="16"/>
        <v>305</v>
      </c>
      <c r="B131" s="98"/>
      <c r="C131" s="19" t="s">
        <v>215</v>
      </c>
      <c r="D131" s="19">
        <f t="shared" si="18"/>
        <v>351.58453199999997</v>
      </c>
      <c r="E131" s="19">
        <v>0</v>
      </c>
      <c r="F131" s="19">
        <f t="shared" si="19"/>
        <v>562.53525119999995</v>
      </c>
      <c r="G131" s="98" t="str">
        <f t="shared" si="20"/>
        <v>3rd Floor</v>
      </c>
      <c r="H131" s="98"/>
      <c r="I131" s="36"/>
      <c r="L131" s="2">
        <f t="shared" ca="1" si="17"/>
        <v>305</v>
      </c>
      <c r="N131" s="36">
        <f>N130+1</f>
        <v>5</v>
      </c>
      <c r="O131" s="2">
        <f ca="1">O130+1</f>
        <v>305</v>
      </c>
    </row>
    <row r="132" spans="1:16" s="2" customFormat="1" x14ac:dyDescent="0.3">
      <c r="A132" s="98">
        <f t="shared" ca="1" si="16"/>
        <v>306</v>
      </c>
      <c r="B132" s="98"/>
      <c r="C132" s="19" t="s">
        <v>215</v>
      </c>
      <c r="D132" s="19">
        <f t="shared" si="18"/>
        <v>351.58453199999997</v>
      </c>
      <c r="E132" s="19">
        <v>0</v>
      </c>
      <c r="F132" s="19">
        <f t="shared" si="19"/>
        <v>562.53525119999995</v>
      </c>
      <c r="G132" s="98" t="str">
        <f t="shared" si="20"/>
        <v>3rd Floor</v>
      </c>
      <c r="H132" s="98"/>
      <c r="I132" s="36"/>
      <c r="L132" s="2">
        <f t="shared" ca="1" si="17"/>
        <v>306</v>
      </c>
      <c r="N132" s="36">
        <f t="shared" ref="N132:O132" si="22">N131+1</f>
        <v>6</v>
      </c>
      <c r="O132" s="2">
        <f t="shared" ca="1" si="22"/>
        <v>306</v>
      </c>
    </row>
    <row r="133" spans="1:16" s="2" customFormat="1" ht="15.75" customHeight="1" x14ac:dyDescent="0.3">
      <c r="A133" s="112" t="s">
        <v>218</v>
      </c>
      <c r="B133" s="113"/>
      <c r="C133" s="113"/>
      <c r="D133" s="113"/>
      <c r="E133" s="113"/>
      <c r="F133" s="113"/>
      <c r="G133" s="113"/>
      <c r="H133" s="114"/>
      <c r="I133" s="36"/>
      <c r="O133" s="2" t="str">
        <f>LEFT(A133,SUM(LEN(A133)-LEN(SUBSTITUTE(A133,{"0","1"},""))))</f>
        <v xml:space="preserve">4th, </v>
      </c>
      <c r="P133" s="2">
        <f ca="1">--TRIM(RIGHT(SUBSTITUTE(LEFT(A133,_xlfn.AGGREGATE(16,6,FIND({0,1,2,3,4,5,6,7,8,9},A133,ROW(INDIRECT("1:"&amp;LEN(A133)))),1))," ",REPT(" ",LEN(A133))),LEN(A133)))</f>
        <v>16</v>
      </c>
    </row>
    <row r="134" spans="1:16" s="2" customFormat="1" ht="15.75" customHeight="1" x14ac:dyDescent="0.3">
      <c r="A134" s="95" t="str">
        <f t="shared" ref="A134:A139" ca="1" si="23">L134</f>
        <v>401,..,1601</v>
      </c>
      <c r="B134" s="96"/>
      <c r="C134" s="19" t="s">
        <v>215</v>
      </c>
      <c r="D134" s="19">
        <f>(11.088+8.022+4.604+2.115+1.155+0.9+4.779)*10.764</f>
        <v>351.58453199999997</v>
      </c>
      <c r="E134" s="19">
        <v>0</v>
      </c>
      <c r="F134" s="19">
        <f t="shared" ref="F134:F138" si="24">D134*(($F$112)+1)+E134</f>
        <v>562.53525119999995</v>
      </c>
      <c r="G134" s="188" t="str">
        <f>A133</f>
        <v>4th, 6th, 8th, 10th, 12th, 14th &amp; 16th Floor</v>
      </c>
      <c r="H134" s="189"/>
      <c r="I134" s="36"/>
      <c r="L134" s="2" t="str">
        <f ca="1">O134&amp;""&amp;M134&amp;""&amp;P134</f>
        <v>401,..,1601</v>
      </c>
      <c r="M134" s="2" t="s">
        <v>155</v>
      </c>
      <c r="N134" s="36">
        <v>1</v>
      </c>
      <c r="O134" s="2">
        <f ca="1">(SUMPRODUCT(MID(0&amp;O133, LARGE(INDEX(ISNUMBER(--MID(O133, ROW(INDIRECT("1:"&amp;LEN(O133))), 1)) * ROW(INDIRECT("1:"&amp;LEN(O133))), 0), ROW(INDIRECT("1:"&amp;LEN(O133))))+1, 1) * 10^ROW(INDIRECT("1:"&amp;LEN(O133)))/10))*N134*100+1</f>
        <v>401</v>
      </c>
      <c r="P134" s="2">
        <f ca="1">(SUMPRODUCT(MID(0&amp;P133, LARGE(INDEX(ISNUMBER(--MID(P133, ROW(INDIRECT("1:"&amp;LEN(P133))), 1)) * ROW(INDIRECT("1:"&amp;LEN(P133))), 0), ROW(INDIRECT("1:"&amp;LEN(P133))))+1, 1) * 10^ROW(INDIRECT("1:"&amp;LEN(P133)))/10))*N134*100+1</f>
        <v>1601</v>
      </c>
    </row>
    <row r="135" spans="1:16" s="2" customFormat="1" ht="15.75" customHeight="1" x14ac:dyDescent="0.3">
      <c r="A135" s="95" t="str">
        <f t="shared" ca="1" si="23"/>
        <v>402,..,1602</v>
      </c>
      <c r="B135" s="96"/>
      <c r="C135" s="19" t="s">
        <v>215</v>
      </c>
      <c r="D135" s="19">
        <f t="shared" ref="D135:D139" si="25">(11.088+8.022+4.604+2.115+1.155+0.9+4.779)*10.764</f>
        <v>351.58453199999997</v>
      </c>
      <c r="E135" s="19">
        <v>0</v>
      </c>
      <c r="F135" s="19">
        <f t="shared" si="24"/>
        <v>562.53525119999995</v>
      </c>
      <c r="G135" s="190"/>
      <c r="H135" s="191"/>
      <c r="I135" s="36"/>
      <c r="L135" s="2" t="str">
        <f t="shared" ref="L135:L139" ca="1" si="26">O135&amp;""&amp;M135&amp;""&amp;P135</f>
        <v>402,..,1602</v>
      </c>
      <c r="M135" s="2" t="s">
        <v>155</v>
      </c>
      <c r="N135" s="36">
        <f t="shared" ref="N135:P138" si="27">N134+1</f>
        <v>2</v>
      </c>
      <c r="O135" s="2">
        <f t="shared" ca="1" si="27"/>
        <v>402</v>
      </c>
      <c r="P135" s="2">
        <f t="shared" ca="1" si="27"/>
        <v>1602</v>
      </c>
    </row>
    <row r="136" spans="1:16" s="2" customFormat="1" ht="15.75" customHeight="1" x14ac:dyDescent="0.3">
      <c r="A136" s="95" t="str">
        <f t="shared" ca="1" si="23"/>
        <v>403,..,1603</v>
      </c>
      <c r="B136" s="96"/>
      <c r="C136" s="19" t="s">
        <v>215</v>
      </c>
      <c r="D136" s="19">
        <f>(11.067+8.049+4.646+1.755+1.163+1.192+4.776)*10.764</f>
        <v>351.42307199999993</v>
      </c>
      <c r="E136" s="19">
        <v>0</v>
      </c>
      <c r="F136" s="19">
        <f t="shared" si="24"/>
        <v>562.27691519999996</v>
      </c>
      <c r="G136" s="190"/>
      <c r="H136" s="191"/>
      <c r="I136" s="36"/>
      <c r="L136" s="2" t="str">
        <f t="shared" ca="1" si="26"/>
        <v>403,..,1603</v>
      </c>
      <c r="M136" s="2" t="s">
        <v>155</v>
      </c>
      <c r="N136" s="36">
        <f t="shared" si="27"/>
        <v>3</v>
      </c>
      <c r="O136" s="2">
        <f t="shared" ca="1" si="27"/>
        <v>403</v>
      </c>
      <c r="P136" s="2">
        <f t="shared" ca="1" si="27"/>
        <v>1603</v>
      </c>
    </row>
    <row r="137" spans="1:16" s="2" customFormat="1" ht="15.75" customHeight="1" x14ac:dyDescent="0.3">
      <c r="A137" s="95" t="str">
        <f t="shared" ca="1" si="23"/>
        <v>404,..,1604</v>
      </c>
      <c r="B137" s="96"/>
      <c r="C137" s="19" t="s">
        <v>215</v>
      </c>
      <c r="D137" s="19">
        <f>(11.067+8.049+4.646+1.755+1.163+1.192+4.776)*10.764</f>
        <v>351.42307199999993</v>
      </c>
      <c r="E137" s="19">
        <v>0</v>
      </c>
      <c r="F137" s="19">
        <f t="shared" si="24"/>
        <v>562.27691519999996</v>
      </c>
      <c r="G137" s="190"/>
      <c r="H137" s="191"/>
      <c r="I137" s="36"/>
      <c r="L137" s="2" t="str">
        <f t="shared" ca="1" si="26"/>
        <v>404,..,1604</v>
      </c>
      <c r="M137" s="2" t="s">
        <v>155</v>
      </c>
      <c r="N137" s="36">
        <f t="shared" si="27"/>
        <v>4</v>
      </c>
      <c r="O137" s="2">
        <f t="shared" ca="1" si="27"/>
        <v>404</v>
      </c>
      <c r="P137" s="2">
        <f t="shared" ca="1" si="27"/>
        <v>1604</v>
      </c>
    </row>
    <row r="138" spans="1:16" s="2" customFormat="1" ht="15.75" customHeight="1" x14ac:dyDescent="0.3">
      <c r="A138" s="95" t="str">
        <f t="shared" ca="1" si="23"/>
        <v>405,..,1605</v>
      </c>
      <c r="B138" s="96"/>
      <c r="C138" s="19" t="s">
        <v>215</v>
      </c>
      <c r="D138" s="19">
        <f t="shared" si="25"/>
        <v>351.58453199999997</v>
      </c>
      <c r="E138" s="19">
        <v>0</v>
      </c>
      <c r="F138" s="19">
        <f t="shared" si="24"/>
        <v>562.53525119999995</v>
      </c>
      <c r="G138" s="190"/>
      <c r="H138" s="191"/>
      <c r="I138" s="36"/>
      <c r="L138" s="2" t="str">
        <f t="shared" ca="1" si="26"/>
        <v>405,..,1605</v>
      </c>
      <c r="M138" s="2" t="s">
        <v>155</v>
      </c>
      <c r="N138" s="36">
        <f t="shared" si="27"/>
        <v>5</v>
      </c>
      <c r="O138" s="2">
        <f t="shared" ca="1" si="27"/>
        <v>405</v>
      </c>
      <c r="P138" s="2">
        <f t="shared" ca="1" si="27"/>
        <v>1605</v>
      </c>
    </row>
    <row r="139" spans="1:16" s="2" customFormat="1" ht="15.75" customHeight="1" x14ac:dyDescent="0.3">
      <c r="A139" s="95" t="str">
        <f t="shared" ca="1" si="23"/>
        <v>406,..,1606</v>
      </c>
      <c r="B139" s="96"/>
      <c r="C139" s="19" t="s">
        <v>215</v>
      </c>
      <c r="D139" s="19">
        <f t="shared" si="25"/>
        <v>351.58453199999997</v>
      </c>
      <c r="E139" s="19">
        <v>0</v>
      </c>
      <c r="F139" s="19">
        <f t="shared" ref="F139" si="28">D139*(($F$112)+1)+E139</f>
        <v>562.53525119999995</v>
      </c>
      <c r="G139" s="192"/>
      <c r="H139" s="193"/>
      <c r="I139" s="36"/>
      <c r="L139" s="2" t="str">
        <f t="shared" ca="1" si="26"/>
        <v>406,..,1606</v>
      </c>
      <c r="M139" s="2" t="s">
        <v>155</v>
      </c>
      <c r="N139" s="36">
        <f t="shared" ref="N139:P139" si="29">N138+1</f>
        <v>6</v>
      </c>
      <c r="O139" s="2">
        <f t="shared" ca="1" si="29"/>
        <v>406</v>
      </c>
      <c r="P139" s="2">
        <f t="shared" ca="1" si="29"/>
        <v>1606</v>
      </c>
    </row>
    <row r="140" spans="1:16" s="2" customFormat="1" ht="15.75" customHeight="1" x14ac:dyDescent="0.3">
      <c r="A140" s="112" t="s">
        <v>220</v>
      </c>
      <c r="B140" s="113"/>
      <c r="C140" s="113"/>
      <c r="D140" s="113"/>
      <c r="E140" s="113"/>
      <c r="F140" s="113"/>
      <c r="G140" s="113"/>
      <c r="H140" s="114"/>
      <c r="I140" s="36"/>
      <c r="O140" s="2" t="str">
        <f>LEFT(A140,SUM(LEN(A140)-LEN(SUBSTITUTE(A140,{"0","1"},""))))</f>
        <v>5th,</v>
      </c>
      <c r="P140" s="2">
        <f ca="1">--TRIM(RIGHT(SUBSTITUTE(LEFT(A140,_xlfn.AGGREGATE(16,6,FIND({0,1,2,3,4,5,6,7,8,9},A140,ROW(INDIRECT("1:"&amp;LEN(A140)))),1))," ",REPT(" ",LEN(A140))),LEN(A140)))</f>
        <v>15</v>
      </c>
    </row>
    <row r="141" spans="1:16" s="2" customFormat="1" ht="15.75" customHeight="1" x14ac:dyDescent="0.3">
      <c r="A141" s="95" t="str">
        <f t="shared" ref="A141:A146" ca="1" si="30">L141</f>
        <v>501,..,1501</v>
      </c>
      <c r="B141" s="96"/>
      <c r="C141" s="19" t="s">
        <v>215</v>
      </c>
      <c r="D141" s="19">
        <f>(11.088+8.022+4.604+2.115+1.155+0.9+4.779)*10.764</f>
        <v>351.58453199999997</v>
      </c>
      <c r="E141" s="19">
        <v>0</v>
      </c>
      <c r="F141" s="19">
        <f t="shared" ref="F141:F146" si="31">D141*(($F$112)+1)+E141</f>
        <v>562.53525119999995</v>
      </c>
      <c r="G141" s="188" t="str">
        <f>A140</f>
        <v>5th, 7th, 9th, 11th, 13th, 15th Floor</v>
      </c>
      <c r="H141" s="189"/>
      <c r="I141" s="36"/>
      <c r="L141" s="2" t="str">
        <f ca="1">O141&amp;""&amp;M141&amp;""&amp;P141</f>
        <v>501,..,1501</v>
      </c>
      <c r="M141" s="2" t="s">
        <v>155</v>
      </c>
      <c r="N141" s="36">
        <v>1</v>
      </c>
      <c r="O141" s="2">
        <f ca="1">(SUMPRODUCT(MID(0&amp;O140, LARGE(INDEX(ISNUMBER(--MID(O140, ROW(INDIRECT("1:"&amp;LEN(O140))), 1)) * ROW(INDIRECT("1:"&amp;LEN(O140))), 0), ROW(INDIRECT("1:"&amp;LEN(O140))))+1, 1) * 10^ROW(INDIRECT("1:"&amp;LEN(O140)))/10))*N141*100+1</f>
        <v>501</v>
      </c>
      <c r="P141" s="2">
        <f ca="1">(SUMPRODUCT(MID(0&amp;P140, LARGE(INDEX(ISNUMBER(--MID(P140, ROW(INDIRECT("1:"&amp;LEN(P140))), 1)) * ROW(INDIRECT("1:"&amp;LEN(P140))), 0), ROW(INDIRECT("1:"&amp;LEN(P140))))+1, 1) * 10^ROW(INDIRECT("1:"&amp;LEN(P140)))/10))*N141*100+1</f>
        <v>1501</v>
      </c>
    </row>
    <row r="142" spans="1:16" s="2" customFormat="1" ht="15.75" customHeight="1" x14ac:dyDescent="0.3">
      <c r="A142" s="95" t="str">
        <f t="shared" ca="1" si="30"/>
        <v>502,..,1502</v>
      </c>
      <c r="B142" s="96"/>
      <c r="C142" s="19" t="s">
        <v>215</v>
      </c>
      <c r="D142" s="19">
        <f t="shared" ref="D142:D146" si="32">(11.088+8.022+4.604+2.115+1.155+0.9+4.779)*10.764</f>
        <v>351.58453199999997</v>
      </c>
      <c r="E142" s="19">
        <v>0</v>
      </c>
      <c r="F142" s="19">
        <f t="shared" si="31"/>
        <v>562.53525119999995</v>
      </c>
      <c r="G142" s="190"/>
      <c r="H142" s="191"/>
      <c r="I142" s="36"/>
      <c r="L142" s="2" t="str">
        <f t="shared" ref="L142:L146" ca="1" si="33">O142&amp;""&amp;M142&amp;""&amp;P142</f>
        <v>502,..,1502</v>
      </c>
      <c r="M142" s="2" t="s">
        <v>155</v>
      </c>
      <c r="N142" s="36">
        <f t="shared" ref="N142:P142" si="34">N141+1</f>
        <v>2</v>
      </c>
      <c r="O142" s="2">
        <f t="shared" ca="1" si="34"/>
        <v>502</v>
      </c>
      <c r="P142" s="2">
        <f t="shared" ca="1" si="34"/>
        <v>1502</v>
      </c>
    </row>
    <row r="143" spans="1:16" s="2" customFormat="1" ht="15.75" customHeight="1" x14ac:dyDescent="0.3">
      <c r="A143" s="95" t="str">
        <f t="shared" ca="1" si="30"/>
        <v>503,..,1503</v>
      </c>
      <c r="B143" s="96"/>
      <c r="C143" s="19" t="s">
        <v>215</v>
      </c>
      <c r="D143" s="19">
        <f>(11.067+8.049+4.646+1.755+1.163+1.192+4.776)*10.764</f>
        <v>351.42307199999993</v>
      </c>
      <c r="E143" s="19">
        <v>0</v>
      </c>
      <c r="F143" s="19">
        <f t="shared" si="31"/>
        <v>562.27691519999996</v>
      </c>
      <c r="G143" s="190"/>
      <c r="H143" s="191"/>
      <c r="I143" s="36"/>
      <c r="L143" s="2" t="str">
        <f t="shared" ca="1" si="33"/>
        <v>503,..,1503</v>
      </c>
      <c r="M143" s="2" t="s">
        <v>155</v>
      </c>
      <c r="N143" s="36">
        <f t="shared" ref="N143:P143" si="35">N142+1</f>
        <v>3</v>
      </c>
      <c r="O143" s="2">
        <f t="shared" ca="1" si="35"/>
        <v>503</v>
      </c>
      <c r="P143" s="2">
        <f t="shared" ca="1" si="35"/>
        <v>1503</v>
      </c>
    </row>
    <row r="144" spans="1:16" s="2" customFormat="1" ht="15.75" customHeight="1" x14ac:dyDescent="0.3">
      <c r="A144" s="95" t="str">
        <f t="shared" ca="1" si="30"/>
        <v>504,..,1504</v>
      </c>
      <c r="B144" s="96"/>
      <c r="C144" s="19" t="s">
        <v>215</v>
      </c>
      <c r="D144" s="19">
        <f>(11.067+8.049+4.646+1.755+1.163+1.192+4.776)*10.764</f>
        <v>351.42307199999993</v>
      </c>
      <c r="E144" s="19">
        <v>0</v>
      </c>
      <c r="F144" s="19">
        <f t="shared" si="31"/>
        <v>562.27691519999996</v>
      </c>
      <c r="G144" s="190"/>
      <c r="H144" s="191"/>
      <c r="I144" s="36"/>
      <c r="L144" s="2" t="str">
        <f t="shared" ca="1" si="33"/>
        <v>504,..,1504</v>
      </c>
      <c r="M144" s="2" t="s">
        <v>155</v>
      </c>
      <c r="N144" s="36">
        <f t="shared" ref="N144:P144" si="36">N143+1</f>
        <v>4</v>
      </c>
      <c r="O144" s="2">
        <f t="shared" ca="1" si="36"/>
        <v>504</v>
      </c>
      <c r="P144" s="2">
        <f t="shared" ca="1" si="36"/>
        <v>1504</v>
      </c>
    </row>
    <row r="145" spans="1:16" s="2" customFormat="1" ht="15.75" customHeight="1" x14ac:dyDescent="0.3">
      <c r="A145" s="95" t="str">
        <f t="shared" ca="1" si="30"/>
        <v>505,..,1505</v>
      </c>
      <c r="B145" s="96"/>
      <c r="C145" s="19" t="s">
        <v>215</v>
      </c>
      <c r="D145" s="19">
        <f t="shared" si="32"/>
        <v>351.58453199999997</v>
      </c>
      <c r="E145" s="19">
        <v>0</v>
      </c>
      <c r="F145" s="19">
        <f t="shared" si="31"/>
        <v>562.53525119999995</v>
      </c>
      <c r="G145" s="190"/>
      <c r="H145" s="191"/>
      <c r="I145" s="36"/>
      <c r="L145" s="2" t="str">
        <f t="shared" ca="1" si="33"/>
        <v>505,..,1505</v>
      </c>
      <c r="M145" s="2" t="s">
        <v>155</v>
      </c>
      <c r="N145" s="36">
        <f t="shared" ref="N145:P145" si="37">N144+1</f>
        <v>5</v>
      </c>
      <c r="O145" s="2">
        <f t="shared" ca="1" si="37"/>
        <v>505</v>
      </c>
      <c r="P145" s="2">
        <f t="shared" ca="1" si="37"/>
        <v>1505</v>
      </c>
    </row>
    <row r="146" spans="1:16" s="2" customFormat="1" ht="15.75" customHeight="1" x14ac:dyDescent="0.3">
      <c r="A146" s="95" t="str">
        <f t="shared" ca="1" si="30"/>
        <v>506,..,1506</v>
      </c>
      <c r="B146" s="96"/>
      <c r="C146" s="19" t="s">
        <v>215</v>
      </c>
      <c r="D146" s="19">
        <f t="shared" si="32"/>
        <v>351.58453199999997</v>
      </c>
      <c r="E146" s="19">
        <v>0</v>
      </c>
      <c r="F146" s="19">
        <f t="shared" si="31"/>
        <v>562.53525119999995</v>
      </c>
      <c r="G146" s="192"/>
      <c r="H146" s="193"/>
      <c r="I146" s="36"/>
      <c r="L146" s="2" t="str">
        <f t="shared" ca="1" si="33"/>
        <v>506,..,1506</v>
      </c>
      <c r="M146" s="2" t="s">
        <v>155</v>
      </c>
      <c r="N146" s="36">
        <f t="shared" ref="N146:P146" si="38">N145+1</f>
        <v>6</v>
      </c>
      <c r="O146" s="2">
        <f t="shared" ca="1" si="38"/>
        <v>506</v>
      </c>
      <c r="P146" s="2">
        <f t="shared" ca="1" si="38"/>
        <v>1506</v>
      </c>
    </row>
    <row r="147" spans="1:16" s="2" customFormat="1" x14ac:dyDescent="0.3">
      <c r="A147" s="112" t="s">
        <v>221</v>
      </c>
      <c r="B147" s="113"/>
      <c r="C147" s="113"/>
      <c r="D147" s="113"/>
      <c r="E147" s="113"/>
      <c r="F147" s="113"/>
      <c r="G147" s="113"/>
      <c r="H147" s="114"/>
      <c r="I147" s="36"/>
      <c r="O147" s="2" t="str">
        <f>MID(A147,1,3)</f>
        <v>17t</v>
      </c>
      <c r="P147" s="2">
        <f ca="1">--TRIM(RIGHT(SUBSTITUTE(LEFT(A147,_xlfn.AGGREGATE(14,6,FIND({0,1,2,3,4,5,6,7,8,9},A147,ROW(INDIRECT("1:"&amp;LEN(A147)))),1))," ",REPT(" ",LEN(A147))),LEN(A147)))</f>
        <v>23</v>
      </c>
    </row>
    <row r="148" spans="1:16" s="2" customFormat="1" ht="15.75" customHeight="1" x14ac:dyDescent="0.3">
      <c r="A148" s="95" t="str">
        <f t="shared" ref="A148:A153" ca="1" si="39">L148</f>
        <v>1701 to 2301</v>
      </c>
      <c r="B148" s="96"/>
      <c r="C148" s="19" t="s">
        <v>215</v>
      </c>
      <c r="D148" s="19">
        <f>(11.088+8.022+4.604+2.115+1.155+0.9+4.779)*10.764</f>
        <v>351.58453199999997</v>
      </c>
      <c r="E148" s="19">
        <v>0</v>
      </c>
      <c r="F148" s="19">
        <f t="shared" ref="F148:F150" si="40">D148*(($F$112)+1)+E148</f>
        <v>562.53525119999995</v>
      </c>
      <c r="G148" s="188" t="str">
        <f>A147</f>
        <v>17th to 23rd Floor</v>
      </c>
      <c r="H148" s="189"/>
      <c r="I148" s="36"/>
      <c r="L148" s="2" t="str">
        <f ca="1">O148&amp;""&amp;M148&amp;""&amp;P148</f>
        <v>1701 to 2301</v>
      </c>
      <c r="M148" s="2" t="s">
        <v>159</v>
      </c>
      <c r="N148" s="36">
        <v>1</v>
      </c>
      <c r="O148" s="2">
        <f ca="1">(SUMPRODUCT(MID(0&amp;O147, LARGE(INDEX(ISNUMBER(--MID(O147, ROW(INDIRECT("1:"&amp;LEN(O147))), 1)) * ROW(INDIRECT("1:"&amp;LEN(O147))), 0), ROW(INDIRECT("1:"&amp;LEN(O147))))+1, 1) * 10^ROW(INDIRECT("1:"&amp;LEN(O147)))/10))*N148*100+1</f>
        <v>1701</v>
      </c>
      <c r="P148" s="2">
        <f ca="1">(SUMPRODUCT(MID(0&amp;P147, LARGE(INDEX(ISNUMBER(--MID(P147, ROW(INDIRECT("1:"&amp;LEN(P147))), 1)) * ROW(INDIRECT("1:"&amp;LEN(P147))), 0), ROW(INDIRECT("1:"&amp;LEN(P147))))+1, 1) * 10^ROW(INDIRECT("1:"&amp;LEN(P147)))/10))*N148*100+1</f>
        <v>2301</v>
      </c>
    </row>
    <row r="149" spans="1:16" s="2" customFormat="1" ht="15.75" customHeight="1" x14ac:dyDescent="0.3">
      <c r="A149" s="95" t="str">
        <f t="shared" ca="1" si="39"/>
        <v>1702 to 2302</v>
      </c>
      <c r="B149" s="96"/>
      <c r="C149" s="19" t="s">
        <v>215</v>
      </c>
      <c r="D149" s="19">
        <f t="shared" ref="D149:D153" si="41">(11.088+8.022+4.604+2.115+1.155+0.9+4.779)*10.764</f>
        <v>351.58453199999997</v>
      </c>
      <c r="E149" s="19">
        <v>0</v>
      </c>
      <c r="F149" s="19">
        <f t="shared" si="40"/>
        <v>562.53525119999995</v>
      </c>
      <c r="G149" s="190"/>
      <c r="H149" s="191"/>
      <c r="I149" s="36"/>
      <c r="L149" s="2" t="str">
        <f t="shared" ref="L149:L153" ca="1" si="42">O149&amp;""&amp;M149&amp;""&amp;P149</f>
        <v>1702 to 2302</v>
      </c>
      <c r="M149" s="2" t="s">
        <v>159</v>
      </c>
      <c r="N149" s="36">
        <f t="shared" ref="N149:P149" si="43">N148+1</f>
        <v>2</v>
      </c>
      <c r="O149" s="2">
        <f t="shared" ca="1" si="43"/>
        <v>1702</v>
      </c>
      <c r="P149" s="2">
        <f t="shared" ca="1" si="43"/>
        <v>2302</v>
      </c>
    </row>
    <row r="150" spans="1:16" s="2" customFormat="1" ht="15.75" customHeight="1" x14ac:dyDescent="0.3">
      <c r="A150" s="95" t="str">
        <f t="shared" ca="1" si="39"/>
        <v>1703 to 2303</v>
      </c>
      <c r="B150" s="96"/>
      <c r="C150" s="19" t="s">
        <v>215</v>
      </c>
      <c r="D150" s="19">
        <f>(11.067+8.049+4.646+1.755+1.163+1.192+4.776)*10.764</f>
        <v>351.42307199999993</v>
      </c>
      <c r="E150" s="19">
        <v>0</v>
      </c>
      <c r="F150" s="19">
        <f t="shared" si="40"/>
        <v>562.27691519999996</v>
      </c>
      <c r="G150" s="190"/>
      <c r="H150" s="191"/>
      <c r="I150" s="36"/>
      <c r="L150" s="2" t="str">
        <f t="shared" ca="1" si="42"/>
        <v>1703 to 2303</v>
      </c>
      <c r="M150" s="2" t="s">
        <v>159</v>
      </c>
      <c r="N150" s="36">
        <f t="shared" ref="N150:P150" si="44">N149+1</f>
        <v>3</v>
      </c>
      <c r="O150" s="2">
        <f t="shared" ca="1" si="44"/>
        <v>1703</v>
      </c>
      <c r="P150" s="2">
        <f t="shared" ca="1" si="44"/>
        <v>2303</v>
      </c>
    </row>
    <row r="151" spans="1:16" s="2" customFormat="1" ht="15.75" customHeight="1" x14ac:dyDescent="0.3">
      <c r="A151" s="95" t="str">
        <f t="shared" ca="1" si="39"/>
        <v>1704 to 2304</v>
      </c>
      <c r="B151" s="96"/>
      <c r="C151" s="19" t="s">
        <v>215</v>
      </c>
      <c r="D151" s="19">
        <f>(11.067+8.049+4.646+1.755+1.163+1.192+4.776)*10.764</f>
        <v>351.42307199999993</v>
      </c>
      <c r="E151" s="19">
        <v>0</v>
      </c>
      <c r="F151" s="19">
        <f>D151*(($F$112)+1)+E151</f>
        <v>562.27691519999996</v>
      </c>
      <c r="G151" s="190"/>
      <c r="H151" s="191"/>
      <c r="I151" s="36"/>
      <c r="L151" s="2" t="str">
        <f t="shared" ca="1" si="42"/>
        <v>1704 to 2304</v>
      </c>
      <c r="M151" s="2" t="s">
        <v>159</v>
      </c>
      <c r="N151" s="36">
        <f t="shared" ref="N151:P151" si="45">N150+1</f>
        <v>4</v>
      </c>
      <c r="O151" s="2">
        <f t="shared" ca="1" si="45"/>
        <v>1704</v>
      </c>
      <c r="P151" s="2">
        <f t="shared" ca="1" si="45"/>
        <v>2304</v>
      </c>
    </row>
    <row r="152" spans="1:16" s="2" customFormat="1" ht="15.75" customHeight="1" x14ac:dyDescent="0.3">
      <c r="A152" s="95" t="str">
        <f t="shared" ca="1" si="39"/>
        <v>1705 to 2305</v>
      </c>
      <c r="B152" s="96"/>
      <c r="C152" s="19" t="s">
        <v>215</v>
      </c>
      <c r="D152" s="19">
        <f t="shared" si="41"/>
        <v>351.58453199999997</v>
      </c>
      <c r="E152" s="19">
        <v>0</v>
      </c>
      <c r="F152" s="19">
        <f t="shared" ref="F152:F153" si="46">D152*(($F$112)+1)+E152</f>
        <v>562.53525119999995</v>
      </c>
      <c r="G152" s="190"/>
      <c r="H152" s="191"/>
      <c r="I152" s="36"/>
      <c r="L152" s="2" t="str">
        <f t="shared" ca="1" si="42"/>
        <v>1705 to 2305</v>
      </c>
      <c r="M152" s="2" t="s">
        <v>159</v>
      </c>
      <c r="N152" s="36">
        <f t="shared" ref="N152:P152" si="47">N151+1</f>
        <v>5</v>
      </c>
      <c r="O152" s="2">
        <f t="shared" ca="1" si="47"/>
        <v>1705</v>
      </c>
      <c r="P152" s="2">
        <f t="shared" ca="1" si="47"/>
        <v>2305</v>
      </c>
    </row>
    <row r="153" spans="1:16" s="2" customFormat="1" ht="15.75" customHeight="1" x14ac:dyDescent="0.3">
      <c r="A153" s="95" t="str">
        <f t="shared" ca="1" si="39"/>
        <v>1706 to 2306</v>
      </c>
      <c r="B153" s="96"/>
      <c r="C153" s="19" t="s">
        <v>215</v>
      </c>
      <c r="D153" s="19">
        <f t="shared" si="41"/>
        <v>351.58453199999997</v>
      </c>
      <c r="E153" s="19">
        <v>0</v>
      </c>
      <c r="F153" s="19">
        <f t="shared" si="46"/>
        <v>562.53525119999995</v>
      </c>
      <c r="G153" s="192"/>
      <c r="H153" s="193"/>
      <c r="I153" s="36"/>
      <c r="L153" s="2" t="str">
        <f t="shared" ca="1" si="42"/>
        <v>1706 to 2306</v>
      </c>
      <c r="M153" s="2" t="s">
        <v>159</v>
      </c>
      <c r="N153" s="36">
        <f t="shared" ref="N153:P153" si="48">N152+1</f>
        <v>6</v>
      </c>
      <c r="O153" s="2">
        <f t="shared" ca="1" si="48"/>
        <v>1706</v>
      </c>
      <c r="P153" s="2">
        <f t="shared" ca="1" si="48"/>
        <v>2306</v>
      </c>
    </row>
    <row r="154" spans="1:16" s="2" customFormat="1" x14ac:dyDescent="0.3">
      <c r="A154" s="93" t="s">
        <v>219</v>
      </c>
      <c r="B154" s="93"/>
      <c r="C154" s="93"/>
      <c r="D154" s="93"/>
      <c r="E154" s="93"/>
      <c r="F154" s="93"/>
      <c r="G154" s="93"/>
      <c r="H154" s="93"/>
      <c r="I154" s="36"/>
      <c r="L154" s="187"/>
      <c r="M154" s="187"/>
    </row>
    <row r="155" spans="1:16" s="2" customFormat="1" x14ac:dyDescent="0.3">
      <c r="A155" s="93" t="s">
        <v>224</v>
      </c>
      <c r="B155" s="93"/>
      <c r="C155" s="93"/>
      <c r="D155" s="93"/>
      <c r="E155" s="93"/>
      <c r="F155" s="93"/>
      <c r="G155" s="93"/>
      <c r="H155" s="93"/>
      <c r="I155" s="36"/>
      <c r="L155" s="187"/>
      <c r="M155" s="187"/>
    </row>
    <row r="156" spans="1:16" s="2" customFormat="1" x14ac:dyDescent="0.3">
      <c r="A156" s="93" t="s">
        <v>225</v>
      </c>
      <c r="B156" s="93"/>
      <c r="C156" s="93"/>
      <c r="D156" s="93"/>
      <c r="E156" s="93"/>
      <c r="F156" s="93"/>
      <c r="G156" s="93"/>
      <c r="H156" s="93"/>
      <c r="I156" s="36"/>
      <c r="L156" s="187"/>
      <c r="M156" s="187"/>
    </row>
    <row r="157" spans="1:16" s="2" customFormat="1" ht="15.75" customHeight="1" x14ac:dyDescent="0.3">
      <c r="A157" s="112" t="s">
        <v>218</v>
      </c>
      <c r="B157" s="113"/>
      <c r="C157" s="113"/>
      <c r="D157" s="113"/>
      <c r="E157" s="113"/>
      <c r="F157" s="113"/>
      <c r="G157" s="113"/>
      <c r="H157" s="114"/>
      <c r="I157" s="36"/>
      <c r="O157" s="2" t="str">
        <f>LEFT(A157,SUM(LEN(A157)-LEN(SUBSTITUTE(A157,{"0","1"},""))))</f>
        <v xml:space="preserve">4th, </v>
      </c>
      <c r="P157" s="2">
        <f ca="1">--TRIM(RIGHT(SUBSTITUTE(LEFT(A157,_xlfn.AGGREGATE(16,6,FIND({0,1,2,3,4,5,6,7,8,9},A157,ROW(INDIRECT("1:"&amp;LEN(A157)))),1))," ",REPT(" ",LEN(A157))),LEN(A157)))</f>
        <v>16</v>
      </c>
    </row>
    <row r="158" spans="1:16" s="2" customFormat="1" ht="15.75" customHeight="1" x14ac:dyDescent="0.3">
      <c r="A158" s="95" t="str">
        <f t="shared" ref="A158:A159" ca="1" si="49">L158</f>
        <v>401,..,1601</v>
      </c>
      <c r="B158" s="96"/>
      <c r="C158" s="19" t="s">
        <v>147</v>
      </c>
      <c r="D158" s="19">
        <f>(70.598)*10.764</f>
        <v>759.9168719999999</v>
      </c>
      <c r="E158" s="19">
        <f>1.5*3*10.764</f>
        <v>48.437999999999995</v>
      </c>
      <c r="F158" s="19">
        <f t="shared" ref="F158:F159" si="50">D158*(($F$112)+1)+E158</f>
        <v>1264.3049951999999</v>
      </c>
      <c r="G158" s="188" t="str">
        <f>A157</f>
        <v>4th, 6th, 8th, 10th, 12th, 14th &amp; 16th Floor</v>
      </c>
      <c r="H158" s="189"/>
      <c r="I158" s="36">
        <f>31000000/F158</f>
        <v>24519.400079643063</v>
      </c>
      <c r="L158" s="2" t="str">
        <f ca="1">O158&amp;""&amp;M158&amp;""&amp;P158</f>
        <v>401,..,1601</v>
      </c>
      <c r="M158" s="2" t="s">
        <v>155</v>
      </c>
      <c r="N158" s="36">
        <v>1</v>
      </c>
      <c r="O158" s="2">
        <f ca="1">(SUMPRODUCT(MID(0&amp;O157, LARGE(INDEX(ISNUMBER(--MID(O157, ROW(INDIRECT("1:"&amp;LEN(O157))), 1)) * ROW(INDIRECT("1:"&amp;LEN(O157))), 0), ROW(INDIRECT("1:"&amp;LEN(O157))))+1, 1) * 10^ROW(INDIRECT("1:"&amp;LEN(O157)))/10))*N158*100+1</f>
        <v>401</v>
      </c>
      <c r="P158" s="2">
        <f ca="1">(SUMPRODUCT(MID(0&amp;P157, LARGE(INDEX(ISNUMBER(--MID(P157, ROW(INDIRECT("1:"&amp;LEN(P157))), 1)) * ROW(INDIRECT("1:"&amp;LEN(P157))), 0), ROW(INDIRECT("1:"&amp;LEN(P157))))+1, 1) * 10^ROW(INDIRECT("1:"&amp;LEN(P157)))/10))*N158*100+1</f>
        <v>1601</v>
      </c>
    </row>
    <row r="159" spans="1:16" s="2" customFormat="1" ht="15.75" customHeight="1" x14ac:dyDescent="0.3">
      <c r="A159" s="95" t="str">
        <f t="shared" ca="1" si="49"/>
        <v>402,..,1602</v>
      </c>
      <c r="B159" s="96"/>
      <c r="C159" s="19" t="s">
        <v>208</v>
      </c>
      <c r="D159" s="19">
        <f>(52.061)*10.764</f>
        <v>560.38460399999997</v>
      </c>
      <c r="E159" s="19">
        <f>1.5*3*10.764</f>
        <v>48.437999999999995</v>
      </c>
      <c r="F159" s="19">
        <f t="shared" si="50"/>
        <v>945.05336639999996</v>
      </c>
      <c r="G159" s="192"/>
      <c r="H159" s="193"/>
      <c r="I159" s="36">
        <f>23000000/F159</f>
        <v>24337.24995617348</v>
      </c>
      <c r="L159" s="2" t="str">
        <f t="shared" ref="L159" ca="1" si="51">O159&amp;""&amp;M159&amp;""&amp;P159</f>
        <v>402,..,1602</v>
      </c>
      <c r="M159" s="2" t="s">
        <v>155</v>
      </c>
      <c r="N159" s="36">
        <f t="shared" ref="N159:P159" si="52">N158+1</f>
        <v>2</v>
      </c>
      <c r="O159" s="2">
        <f t="shared" ca="1" si="52"/>
        <v>402</v>
      </c>
      <c r="P159" s="2">
        <f t="shared" ca="1" si="52"/>
        <v>1602</v>
      </c>
    </row>
    <row r="160" spans="1:16" s="2" customFormat="1" ht="15.75" customHeight="1" x14ac:dyDescent="0.3">
      <c r="A160" s="112" t="s">
        <v>220</v>
      </c>
      <c r="B160" s="113"/>
      <c r="C160" s="113"/>
      <c r="D160" s="113"/>
      <c r="E160" s="113"/>
      <c r="F160" s="113"/>
      <c r="G160" s="113"/>
      <c r="H160" s="114"/>
      <c r="I160" s="36"/>
      <c r="O160" s="2" t="str">
        <f>LEFT(A160,SUM(LEN(A160)-LEN(SUBSTITUTE(A160,{"0","1"},""))))</f>
        <v>5th,</v>
      </c>
      <c r="P160" s="2">
        <f ca="1">--TRIM(RIGHT(SUBSTITUTE(LEFT(A160,_xlfn.AGGREGATE(16,6,FIND({0,1,2,3,4,5,6,7,8,9},A160,ROW(INDIRECT("1:"&amp;LEN(A160)))),1))," ",REPT(" ",LEN(A160))),LEN(A160)))</f>
        <v>15</v>
      </c>
    </row>
    <row r="161" spans="1:16" s="2" customFormat="1" ht="15.75" customHeight="1" x14ac:dyDescent="0.3">
      <c r="A161" s="95" t="str">
        <f t="shared" ref="A161:A162" ca="1" si="53">L161</f>
        <v>501,..,1501</v>
      </c>
      <c r="B161" s="96"/>
      <c r="C161" s="19" t="s">
        <v>147</v>
      </c>
      <c r="D161" s="19">
        <f>(70.598)*10.764</f>
        <v>759.9168719999999</v>
      </c>
      <c r="E161" s="19">
        <f>1.5*3*10.764</f>
        <v>48.437999999999995</v>
      </c>
      <c r="F161" s="19">
        <f t="shared" ref="F161:F162" si="54">D161*(($F$112)+1)+E161</f>
        <v>1264.3049951999999</v>
      </c>
      <c r="G161" s="188" t="str">
        <f>A160</f>
        <v>5th, 7th, 9th, 11th, 13th, 15th Floor</v>
      </c>
      <c r="H161" s="189"/>
      <c r="I161" s="36">
        <f>31000000/F161</f>
        <v>24519.400079643063</v>
      </c>
      <c r="L161" s="2" t="str">
        <f ca="1">O161&amp;""&amp;M161&amp;""&amp;P161</f>
        <v>501,..,1501</v>
      </c>
      <c r="M161" s="2" t="s">
        <v>155</v>
      </c>
      <c r="N161" s="36">
        <v>1</v>
      </c>
      <c r="O161" s="2">
        <f ca="1">(SUMPRODUCT(MID(0&amp;O160, LARGE(INDEX(ISNUMBER(--MID(O160, ROW(INDIRECT("1:"&amp;LEN(O160))), 1)) * ROW(INDIRECT("1:"&amp;LEN(O160))), 0), ROW(INDIRECT("1:"&amp;LEN(O160))))+1, 1) * 10^ROW(INDIRECT("1:"&amp;LEN(O160)))/10))*N161*100+1</f>
        <v>501</v>
      </c>
      <c r="P161" s="2">
        <f ca="1">(SUMPRODUCT(MID(0&amp;P160, LARGE(INDEX(ISNUMBER(--MID(P160, ROW(INDIRECT("1:"&amp;LEN(P160))), 1)) * ROW(INDIRECT("1:"&amp;LEN(P160))), 0), ROW(INDIRECT("1:"&amp;LEN(P160))))+1, 1) * 10^ROW(INDIRECT("1:"&amp;LEN(P160)))/10))*N161*100+1</f>
        <v>1501</v>
      </c>
    </row>
    <row r="162" spans="1:16" s="2" customFormat="1" ht="15.75" customHeight="1" x14ac:dyDescent="0.3">
      <c r="A162" s="95" t="str">
        <f t="shared" ca="1" si="53"/>
        <v>502,..,1502</v>
      </c>
      <c r="B162" s="96"/>
      <c r="C162" s="19" t="s">
        <v>208</v>
      </c>
      <c r="D162" s="19">
        <f>(52.061)*10.764</f>
        <v>560.38460399999997</v>
      </c>
      <c r="E162" s="19">
        <f>1.5*3*10.764</f>
        <v>48.437999999999995</v>
      </c>
      <c r="F162" s="19">
        <f t="shared" si="54"/>
        <v>945.05336639999996</v>
      </c>
      <c r="G162" s="192"/>
      <c r="H162" s="193"/>
      <c r="I162" s="36">
        <f>23000000/F162</f>
        <v>24337.24995617348</v>
      </c>
      <c r="L162" s="2" t="str">
        <f t="shared" ref="L162" ca="1" si="55">O162&amp;""&amp;M162&amp;""&amp;P162</f>
        <v>502,..,1502</v>
      </c>
      <c r="M162" s="2" t="s">
        <v>155</v>
      </c>
      <c r="N162" s="36">
        <f t="shared" ref="N162:P162" si="56">N161+1</f>
        <v>2</v>
      </c>
      <c r="O162" s="2">
        <f t="shared" ca="1" si="56"/>
        <v>502</v>
      </c>
      <c r="P162" s="2">
        <f t="shared" ca="1" si="56"/>
        <v>1502</v>
      </c>
    </row>
    <row r="163" spans="1:16" s="1" customFormat="1" x14ac:dyDescent="0.3">
      <c r="A163" s="103" t="s">
        <v>76</v>
      </c>
      <c r="B163" s="103"/>
      <c r="C163" s="103"/>
      <c r="D163" s="103"/>
      <c r="E163" s="103"/>
      <c r="F163" s="103"/>
      <c r="G163" s="103"/>
      <c r="H163" s="103"/>
    </row>
    <row r="164" spans="1:16" s="1" customFormat="1" x14ac:dyDescent="0.3">
      <c r="A164" s="42">
        <v>1</v>
      </c>
      <c r="B164" s="184" t="s">
        <v>253</v>
      </c>
      <c r="C164" s="185"/>
      <c r="D164" s="185"/>
      <c r="E164" s="185"/>
      <c r="F164" s="185"/>
      <c r="G164" s="185"/>
      <c r="H164" s="186"/>
    </row>
    <row r="165" spans="1:16" s="1" customFormat="1" x14ac:dyDescent="0.3">
      <c r="A165" s="42">
        <v>2</v>
      </c>
      <c r="B165" s="184" t="s">
        <v>222</v>
      </c>
      <c r="C165" s="185"/>
      <c r="D165" s="185"/>
      <c r="E165" s="185"/>
      <c r="F165" s="185"/>
      <c r="G165" s="185"/>
      <c r="H165" s="186"/>
    </row>
    <row r="166" spans="1:16" s="1" customFormat="1" x14ac:dyDescent="0.3">
      <c r="A166" s="42">
        <v>3</v>
      </c>
      <c r="B166" s="184" t="s">
        <v>162</v>
      </c>
      <c r="C166" s="185"/>
      <c r="D166" s="185"/>
      <c r="E166" s="185"/>
      <c r="F166" s="185"/>
      <c r="G166" s="185"/>
      <c r="H166" s="186"/>
    </row>
    <row r="167" spans="1:16" s="1" customFormat="1" x14ac:dyDescent="0.3">
      <c r="A167" s="42">
        <v>4</v>
      </c>
      <c r="B167" s="184" t="s">
        <v>223</v>
      </c>
      <c r="C167" s="185"/>
      <c r="D167" s="185"/>
      <c r="E167" s="185"/>
      <c r="F167" s="185"/>
      <c r="G167" s="185"/>
      <c r="H167" s="186"/>
    </row>
    <row r="168" spans="1:16" s="1" customFormat="1" x14ac:dyDescent="0.3">
      <c r="A168" s="42">
        <v>5</v>
      </c>
      <c r="B168" s="184" t="s">
        <v>163</v>
      </c>
      <c r="C168" s="185"/>
      <c r="D168" s="185"/>
      <c r="E168" s="185"/>
      <c r="F168" s="185"/>
      <c r="G168" s="185"/>
      <c r="H168" s="186"/>
    </row>
    <row r="169" spans="1:16" s="1" customFormat="1" x14ac:dyDescent="0.3">
      <c r="A169" s="42">
        <v>6</v>
      </c>
      <c r="B169" s="181" t="s">
        <v>164</v>
      </c>
      <c r="C169" s="182"/>
      <c r="D169" s="182"/>
      <c r="E169" s="182"/>
      <c r="F169" s="182"/>
      <c r="G169" s="182"/>
      <c r="H169" s="183"/>
    </row>
    <row r="170" spans="1:16" s="1" customFormat="1" hidden="1" x14ac:dyDescent="0.3">
      <c r="A170" s="42">
        <v>6</v>
      </c>
      <c r="B170" s="184" t="s">
        <v>209</v>
      </c>
      <c r="C170" s="185"/>
      <c r="D170" s="185"/>
      <c r="E170" s="185"/>
      <c r="F170" s="185"/>
      <c r="G170" s="185"/>
      <c r="H170" s="186"/>
    </row>
    <row r="171" spans="1:16" s="1" customFormat="1" ht="32.25" hidden="1" customHeight="1" x14ac:dyDescent="0.3">
      <c r="A171" s="42">
        <v>7</v>
      </c>
      <c r="B171" s="198" t="s">
        <v>252</v>
      </c>
      <c r="C171" s="199"/>
      <c r="D171" s="199"/>
      <c r="E171" s="199"/>
      <c r="F171" s="199"/>
      <c r="G171" s="199"/>
      <c r="H171" s="200"/>
    </row>
    <row r="172" spans="1:16" s="1" customFormat="1" ht="33.6" customHeight="1" x14ac:dyDescent="0.3">
      <c r="A172" s="42">
        <v>7</v>
      </c>
      <c r="B172" s="181" t="s">
        <v>256</v>
      </c>
      <c r="C172" s="182"/>
      <c r="D172" s="182"/>
      <c r="E172" s="182"/>
      <c r="F172" s="182"/>
      <c r="G172" s="182"/>
      <c r="H172" s="183"/>
    </row>
    <row r="173" spans="1:16" x14ac:dyDescent="0.3">
      <c r="A173" s="104" t="s">
        <v>69</v>
      </c>
      <c r="B173" s="104"/>
      <c r="C173" s="104"/>
      <c r="D173" s="104"/>
      <c r="E173" s="104"/>
      <c r="F173" s="104"/>
      <c r="G173" s="104"/>
      <c r="H173" s="104"/>
    </row>
    <row r="174" spans="1:16" x14ac:dyDescent="0.3">
      <c r="A174" s="82" t="s">
        <v>70</v>
      </c>
      <c r="B174" s="82"/>
      <c r="C174" s="82"/>
      <c r="D174" s="82"/>
      <c r="E174" s="82"/>
      <c r="F174" s="82"/>
      <c r="G174" s="82"/>
      <c r="H174" s="82"/>
    </row>
    <row r="175" spans="1:16" ht="15.75" customHeight="1" x14ac:dyDescent="0.3">
      <c r="A175" s="99" t="s">
        <v>71</v>
      </c>
      <c r="B175" s="99"/>
      <c r="C175" s="99"/>
      <c r="D175" s="99"/>
      <c r="E175" s="99"/>
      <c r="F175" s="99"/>
      <c r="G175" s="99"/>
      <c r="H175" s="99"/>
    </row>
    <row r="176" spans="1:16" x14ac:dyDescent="0.3">
      <c r="A176" s="82" t="s">
        <v>72</v>
      </c>
      <c r="B176" s="82"/>
      <c r="C176" s="82"/>
      <c r="D176" s="82"/>
      <c r="E176" s="82"/>
      <c r="F176" s="82"/>
      <c r="G176" s="82"/>
      <c r="H176" s="82"/>
    </row>
    <row r="177" spans="1:8" x14ac:dyDescent="0.3">
      <c r="A177" s="82" t="s">
        <v>73</v>
      </c>
      <c r="B177" s="82"/>
      <c r="C177" s="82"/>
      <c r="D177" s="82"/>
      <c r="E177" s="82"/>
      <c r="F177" s="82"/>
      <c r="G177" s="82"/>
      <c r="H177" s="82"/>
    </row>
    <row r="178" spans="1:8" x14ac:dyDescent="0.3">
      <c r="A178" s="82" t="s">
        <v>165</v>
      </c>
      <c r="B178" s="82"/>
      <c r="C178" s="82"/>
      <c r="D178" s="82"/>
      <c r="E178" s="82"/>
      <c r="F178" s="82"/>
      <c r="G178" s="82"/>
      <c r="H178" s="82"/>
    </row>
    <row r="179" spans="1:8" ht="35.25" customHeight="1" x14ac:dyDescent="0.3">
      <c r="A179" s="102" t="s">
        <v>166</v>
      </c>
      <c r="B179" s="102"/>
      <c r="C179" s="102"/>
      <c r="D179" s="102"/>
      <c r="E179" s="102"/>
      <c r="F179" s="102"/>
      <c r="G179" s="102"/>
      <c r="H179" s="102"/>
    </row>
    <row r="180" spans="1:8" x14ac:dyDescent="0.3">
      <c r="A180" s="89" t="s">
        <v>107</v>
      </c>
      <c r="B180" s="89"/>
      <c r="C180" s="89" t="s">
        <v>251</v>
      </c>
      <c r="D180" s="89"/>
      <c r="E180" s="89" t="s">
        <v>141</v>
      </c>
      <c r="F180" s="89"/>
      <c r="G180" s="89" t="s">
        <v>255</v>
      </c>
      <c r="H180" s="89"/>
    </row>
    <row r="181" spans="1:8" x14ac:dyDescent="0.3">
      <c r="A181" s="88" t="s">
        <v>109</v>
      </c>
      <c r="B181" s="88"/>
      <c r="C181" s="88"/>
      <c r="D181" s="88"/>
      <c r="E181" s="88"/>
      <c r="F181" s="88"/>
      <c r="G181" s="88"/>
      <c r="H181" s="88"/>
    </row>
    <row r="182" spans="1:8" x14ac:dyDescent="0.3">
      <c r="A182" s="88"/>
      <c r="B182" s="88"/>
      <c r="C182" s="88"/>
      <c r="D182" s="88"/>
      <c r="E182" s="88"/>
      <c r="F182" s="88"/>
      <c r="G182" s="88"/>
      <c r="H182" s="88"/>
    </row>
    <row r="183" spans="1:8" x14ac:dyDescent="0.3">
      <c r="A183" s="88"/>
      <c r="B183" s="88"/>
      <c r="C183" s="88"/>
      <c r="D183" s="88"/>
      <c r="E183" s="88"/>
      <c r="F183" s="88"/>
      <c r="G183" s="88"/>
      <c r="H183" s="88"/>
    </row>
    <row r="184" spans="1:8" x14ac:dyDescent="0.3">
      <c r="A184" s="88"/>
      <c r="B184" s="88"/>
      <c r="C184" s="88"/>
      <c r="D184" s="88"/>
      <c r="E184" s="88"/>
      <c r="F184" s="88"/>
      <c r="G184" s="88"/>
      <c r="H184" s="88"/>
    </row>
    <row r="185" spans="1:8" x14ac:dyDescent="0.3">
      <c r="A185" s="14" t="s">
        <v>74</v>
      </c>
      <c r="B185" s="15"/>
      <c r="C185" s="15"/>
      <c r="D185" s="14" t="str">
        <f>E8</f>
        <v>Omkar Planet</v>
      </c>
      <c r="F185" s="15"/>
      <c r="G185" s="15"/>
      <c r="H185" s="15"/>
    </row>
    <row r="186" spans="1:8" x14ac:dyDescent="0.3">
      <c r="A186" s="15"/>
      <c r="B186" s="15"/>
      <c r="C186" s="15"/>
      <c r="D186" s="15"/>
      <c r="E186" s="15"/>
      <c r="F186" s="15"/>
      <c r="G186" s="15"/>
      <c r="H186" s="15"/>
    </row>
    <row r="187" spans="1:8" x14ac:dyDescent="0.3">
      <c r="A187" s="15"/>
      <c r="B187" s="15"/>
      <c r="C187" s="15"/>
      <c r="D187" s="15"/>
      <c r="E187" s="15"/>
      <c r="F187" s="15"/>
      <c r="G187" s="15"/>
      <c r="H187" s="15"/>
    </row>
    <row r="188" spans="1:8" ht="15" customHeight="1" x14ac:dyDescent="0.3"/>
    <row r="223" hidden="1" x14ac:dyDescent="0.3"/>
    <row r="224" hidden="1" x14ac:dyDescent="0.3"/>
    <row r="225" spans="1:1" hidden="1" x14ac:dyDescent="0.3"/>
    <row r="226" spans="1:1" hidden="1" x14ac:dyDescent="0.3"/>
    <row r="227" spans="1:1" hidden="1" x14ac:dyDescent="0.3"/>
    <row r="228" spans="1:1" x14ac:dyDescent="0.3">
      <c r="A228" s="17" t="s">
        <v>75</v>
      </c>
    </row>
  </sheetData>
  <mergeCells count="317">
    <mergeCell ref="B172:H172"/>
    <mergeCell ref="B171:H171"/>
    <mergeCell ref="L155:M155"/>
    <mergeCell ref="A156:H156"/>
    <mergeCell ref="L156:M156"/>
    <mergeCell ref="A107:B107"/>
    <mergeCell ref="C107:D107"/>
    <mergeCell ref="E107:F107"/>
    <mergeCell ref="G107:H107"/>
    <mergeCell ref="A108:B108"/>
    <mergeCell ref="C108:D108"/>
    <mergeCell ref="E108:F108"/>
    <mergeCell ref="G108:H108"/>
    <mergeCell ref="A140:H140"/>
    <mergeCell ref="A141:B141"/>
    <mergeCell ref="A142:B142"/>
    <mergeCell ref="A143:B143"/>
    <mergeCell ref="A144:B144"/>
    <mergeCell ref="A131:B131"/>
    <mergeCell ref="G131:H131"/>
    <mergeCell ref="L154:M154"/>
    <mergeCell ref="L126:M126"/>
    <mergeCell ref="A127:B127"/>
    <mergeCell ref="G127:H127"/>
    <mergeCell ref="A128:B128"/>
    <mergeCell ref="G128:H128"/>
    <mergeCell ref="A160:H160"/>
    <mergeCell ref="A161:B161"/>
    <mergeCell ref="A162:B162"/>
    <mergeCell ref="A146:B146"/>
    <mergeCell ref="A157:H157"/>
    <mergeCell ref="A158:B158"/>
    <mergeCell ref="A159:B159"/>
    <mergeCell ref="G158:H159"/>
    <mergeCell ref="A147:H147"/>
    <mergeCell ref="A148:B148"/>
    <mergeCell ref="A149:B149"/>
    <mergeCell ref="A150:B150"/>
    <mergeCell ref="A151:B151"/>
    <mergeCell ref="A155:H155"/>
    <mergeCell ref="A154:H154"/>
    <mergeCell ref="G141:H146"/>
    <mergeCell ref="G148:H153"/>
    <mergeCell ref="G161:H162"/>
    <mergeCell ref="A145:B145"/>
    <mergeCell ref="A152:B152"/>
    <mergeCell ref="A153:B153"/>
    <mergeCell ref="A129:B129"/>
    <mergeCell ref="G129:H129"/>
    <mergeCell ref="A130:B130"/>
    <mergeCell ref="G130:H130"/>
    <mergeCell ref="A126:H126"/>
    <mergeCell ref="A132:B132"/>
    <mergeCell ref="G132:H132"/>
    <mergeCell ref="G134:H139"/>
    <mergeCell ref="A57:C57"/>
    <mergeCell ref="A58:C58"/>
    <mergeCell ref="D57:H57"/>
    <mergeCell ref="A60:C60"/>
    <mergeCell ref="D60:H60"/>
    <mergeCell ref="A59:C59"/>
    <mergeCell ref="D59:H59"/>
    <mergeCell ref="C63:H63"/>
    <mergeCell ref="A123:B123"/>
    <mergeCell ref="G123:H123"/>
    <mergeCell ref="G118:H118"/>
    <mergeCell ref="G115:H115"/>
    <mergeCell ref="G117:H117"/>
    <mergeCell ref="G120:H120"/>
    <mergeCell ref="A96:E96"/>
    <mergeCell ref="F96:H96"/>
    <mergeCell ref="A105:B105"/>
    <mergeCell ref="A109:H109"/>
    <mergeCell ref="B169:H169"/>
    <mergeCell ref="B170:H170"/>
    <mergeCell ref="B164:H164"/>
    <mergeCell ref="B165:H165"/>
    <mergeCell ref="B166:H166"/>
    <mergeCell ref="B167:H167"/>
    <mergeCell ref="B168:H168"/>
    <mergeCell ref="L114:M114"/>
    <mergeCell ref="A111:A112"/>
    <mergeCell ref="A116:B116"/>
    <mergeCell ref="A117:B117"/>
    <mergeCell ref="A118:B118"/>
    <mergeCell ref="A139:B139"/>
    <mergeCell ref="A138:B138"/>
    <mergeCell ref="A137:B137"/>
    <mergeCell ref="A134:B134"/>
    <mergeCell ref="A113:H113"/>
    <mergeCell ref="A124:B124"/>
    <mergeCell ref="G124:H124"/>
    <mergeCell ref="A125:B125"/>
    <mergeCell ref="G125:H125"/>
    <mergeCell ref="L113:M113"/>
    <mergeCell ref="A119:H119"/>
    <mergeCell ref="L119:M119"/>
    <mergeCell ref="A99:E99"/>
    <mergeCell ref="A101:E101"/>
    <mergeCell ref="F100:H100"/>
    <mergeCell ref="A121:B121"/>
    <mergeCell ref="G121:H121"/>
    <mergeCell ref="A122:B122"/>
    <mergeCell ref="G122:H122"/>
    <mergeCell ref="A37:H37"/>
    <mergeCell ref="A38:D38"/>
    <mergeCell ref="E38:H38"/>
    <mergeCell ref="E40:H40"/>
    <mergeCell ref="E41:H41"/>
    <mergeCell ref="E42:H42"/>
    <mergeCell ref="E43:H43"/>
    <mergeCell ref="A41:D41"/>
    <mergeCell ref="A42:D42"/>
    <mergeCell ref="A43:D43"/>
    <mergeCell ref="A44:H44"/>
    <mergeCell ref="C47:E47"/>
    <mergeCell ref="C46:E46"/>
    <mergeCell ref="A46:B46"/>
    <mergeCell ref="A45:B45"/>
    <mergeCell ref="C45:E45"/>
    <mergeCell ref="G45:H45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C32:E32"/>
    <mergeCell ref="C33:E33"/>
    <mergeCell ref="A36:B36"/>
    <mergeCell ref="C36:H36"/>
    <mergeCell ref="C35:H35"/>
    <mergeCell ref="A18:B18"/>
    <mergeCell ref="C18:D18"/>
    <mergeCell ref="E18:F18"/>
    <mergeCell ref="G18:H18"/>
    <mergeCell ref="A27:D27"/>
    <mergeCell ref="E27:H27"/>
    <mergeCell ref="A34:H34"/>
    <mergeCell ref="A33:B33"/>
    <mergeCell ref="A28:D28"/>
    <mergeCell ref="E28:H28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0:D10"/>
    <mergeCell ref="E10:H10"/>
    <mergeCell ref="A5:D5"/>
    <mergeCell ref="E5:H5"/>
    <mergeCell ref="A6:D6"/>
    <mergeCell ref="E6:H6"/>
    <mergeCell ref="A7:D7"/>
    <mergeCell ref="E7:H7"/>
    <mergeCell ref="A40:D40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3:B63"/>
    <mergeCell ref="A61:B61"/>
    <mergeCell ref="C61:H61"/>
    <mergeCell ref="A69:B69"/>
    <mergeCell ref="A70:B70"/>
    <mergeCell ref="C48:H48"/>
    <mergeCell ref="A54:C56"/>
    <mergeCell ref="D54:H54"/>
    <mergeCell ref="D55:H55"/>
    <mergeCell ref="D56:H56"/>
    <mergeCell ref="D51:H51"/>
    <mergeCell ref="D58:H58"/>
    <mergeCell ref="A49:B49"/>
    <mergeCell ref="C49:E49"/>
    <mergeCell ref="A50:H50"/>
    <mergeCell ref="A51:C51"/>
    <mergeCell ref="A52:C52"/>
    <mergeCell ref="D52:H52"/>
    <mergeCell ref="G49:H49"/>
    <mergeCell ref="D53:H53"/>
    <mergeCell ref="E65:F74"/>
    <mergeCell ref="G65:H74"/>
    <mergeCell ref="A73:B73"/>
    <mergeCell ref="A74:B74"/>
    <mergeCell ref="A91:B91"/>
    <mergeCell ref="C91:H91"/>
    <mergeCell ref="A98:E98"/>
    <mergeCell ref="F98:H98"/>
    <mergeCell ref="A94:E94"/>
    <mergeCell ref="E78:F78"/>
    <mergeCell ref="G78:H78"/>
    <mergeCell ref="A81:B81"/>
    <mergeCell ref="A82:B82"/>
    <mergeCell ref="F97:H97"/>
    <mergeCell ref="A97:E97"/>
    <mergeCell ref="A78:B78"/>
    <mergeCell ref="A93:E93"/>
    <mergeCell ref="A79:B79"/>
    <mergeCell ref="E79:F88"/>
    <mergeCell ref="F94:H94"/>
    <mergeCell ref="A95:E95"/>
    <mergeCell ref="F95:H95"/>
    <mergeCell ref="A86:B86"/>
    <mergeCell ref="A87:B87"/>
    <mergeCell ref="A88:B88"/>
    <mergeCell ref="F93:H93"/>
    <mergeCell ref="A90:H90"/>
    <mergeCell ref="G79:H88"/>
    <mergeCell ref="A66:B66"/>
    <mergeCell ref="A68:B68"/>
    <mergeCell ref="E64:F64"/>
    <mergeCell ref="A64:B64"/>
    <mergeCell ref="A89:E89"/>
    <mergeCell ref="F89:H89"/>
    <mergeCell ref="A67:B67"/>
    <mergeCell ref="A83:B83"/>
    <mergeCell ref="A84:B84"/>
    <mergeCell ref="A85:B85"/>
    <mergeCell ref="A75:B75"/>
    <mergeCell ref="C75:H75"/>
    <mergeCell ref="G64:H64"/>
    <mergeCell ref="A77:B77"/>
    <mergeCell ref="C77:H77"/>
    <mergeCell ref="A65:B65"/>
    <mergeCell ref="A72:B72"/>
    <mergeCell ref="A71:B71"/>
    <mergeCell ref="A80:B80"/>
    <mergeCell ref="A179:H179"/>
    <mergeCell ref="A177:H177"/>
    <mergeCell ref="A163:H163"/>
    <mergeCell ref="A173:H173"/>
    <mergeCell ref="A174:H174"/>
    <mergeCell ref="A115:B115"/>
    <mergeCell ref="A92:H92"/>
    <mergeCell ref="C105:D105"/>
    <mergeCell ref="E105:F105"/>
    <mergeCell ref="G105:H105"/>
    <mergeCell ref="C106:D106"/>
    <mergeCell ref="E106:F106"/>
    <mergeCell ref="G106:H106"/>
    <mergeCell ref="B111:B112"/>
    <mergeCell ref="A133:H133"/>
    <mergeCell ref="F101:H101"/>
    <mergeCell ref="F99:H99"/>
    <mergeCell ref="A135:B135"/>
    <mergeCell ref="A110:H110"/>
    <mergeCell ref="A100:E100"/>
    <mergeCell ref="G116:H116"/>
    <mergeCell ref="D111:D112"/>
    <mergeCell ref="E111:E112"/>
    <mergeCell ref="G111:H112"/>
    <mergeCell ref="E39:H39"/>
    <mergeCell ref="A39:D39"/>
    <mergeCell ref="A53:C53"/>
    <mergeCell ref="G46:H46"/>
    <mergeCell ref="A47:B48"/>
    <mergeCell ref="G47:H47"/>
    <mergeCell ref="A181:H184"/>
    <mergeCell ref="A180:B180"/>
    <mergeCell ref="E180:F180"/>
    <mergeCell ref="C180:D180"/>
    <mergeCell ref="G180:H180"/>
    <mergeCell ref="A102:E102"/>
    <mergeCell ref="F102:H102"/>
    <mergeCell ref="A103:E103"/>
    <mergeCell ref="F103:H103"/>
    <mergeCell ref="A114:H114"/>
    <mergeCell ref="A106:B106"/>
    <mergeCell ref="A136:B136"/>
    <mergeCell ref="A176:H176"/>
    <mergeCell ref="A104:H104"/>
    <mergeCell ref="A120:B120"/>
    <mergeCell ref="A175:H175"/>
    <mergeCell ref="C111:C112"/>
    <mergeCell ref="A178:H178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3" manualBreakCount="3">
    <brk id="74" max="7" man="1"/>
    <brk id="184" max="16383" man="1"/>
    <brk id="22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opLeftCell="A13" zoomScale="85" zoomScaleNormal="85" workbookViewId="0">
      <selection activeCell="A24" sqref="A24:A25"/>
    </sheetView>
  </sheetViews>
  <sheetFormatPr defaultRowHeight="14.4" x14ac:dyDescent="0.3"/>
  <cols>
    <col min="1" max="1" width="23.6640625" bestFit="1" customWidth="1"/>
    <col min="2" max="2" width="13.5546875" customWidth="1"/>
    <col min="3" max="3" width="14.33203125" bestFit="1" customWidth="1"/>
    <col min="4" max="4" width="16.6640625" customWidth="1"/>
    <col min="5" max="5" width="20.109375" customWidth="1"/>
    <col min="6" max="6" width="22" bestFit="1" customWidth="1"/>
    <col min="7" max="7" width="23.88671875" customWidth="1"/>
    <col min="8" max="8" width="15.109375" customWidth="1"/>
    <col min="9" max="9" width="20" customWidth="1"/>
  </cols>
  <sheetData>
    <row r="1" spans="1:9" ht="19.8" x14ac:dyDescent="0.4">
      <c r="A1" s="204" t="s">
        <v>190</v>
      </c>
      <c r="B1" s="204"/>
      <c r="C1" s="204"/>
      <c r="D1" s="204"/>
      <c r="E1" s="204"/>
      <c r="F1" s="204"/>
      <c r="G1" s="204"/>
      <c r="H1" s="204"/>
      <c r="I1" s="204"/>
    </row>
    <row r="2" spans="1:9" ht="15" customHeight="1" x14ac:dyDescent="0.3">
      <c r="A2" s="202" t="s">
        <v>167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54"/>
      <c r="B3" s="55" t="s">
        <v>168</v>
      </c>
      <c r="C3" s="55" t="s">
        <v>169</v>
      </c>
      <c r="D3" s="55" t="s">
        <v>170</v>
      </c>
      <c r="E3" s="55" t="s">
        <v>171</v>
      </c>
      <c r="F3" s="56" t="s">
        <v>172</v>
      </c>
      <c r="G3" s="56" t="s">
        <v>173</v>
      </c>
      <c r="H3" s="55" t="s">
        <v>174</v>
      </c>
      <c r="I3" s="57" t="s">
        <v>175</v>
      </c>
    </row>
    <row r="4" spans="1:9" x14ac:dyDescent="0.3">
      <c r="A4" s="43" t="s">
        <v>176</v>
      </c>
      <c r="B4" s="44">
        <v>0</v>
      </c>
      <c r="C4" s="44">
        <v>0</v>
      </c>
      <c r="D4" s="44">
        <v>20</v>
      </c>
      <c r="E4" s="44">
        <v>20</v>
      </c>
      <c r="F4" s="47">
        <v>30</v>
      </c>
      <c r="G4" s="48">
        <v>30</v>
      </c>
      <c r="H4" s="46">
        <v>0</v>
      </c>
      <c r="I4" s="46">
        <f t="shared" ref="I4:I11" si="0">G4/F4*E4</f>
        <v>20</v>
      </c>
    </row>
    <row r="5" spans="1:9" x14ac:dyDescent="0.3">
      <c r="A5" s="43" t="s">
        <v>53</v>
      </c>
      <c r="B5" s="44">
        <v>10</v>
      </c>
      <c r="C5" s="44">
        <v>10</v>
      </c>
      <c r="D5" s="44">
        <v>45</v>
      </c>
      <c r="E5" s="44">
        <v>25</v>
      </c>
      <c r="F5" s="47">
        <f>F4</f>
        <v>30</v>
      </c>
      <c r="G5" s="48">
        <v>30</v>
      </c>
      <c r="H5" s="46">
        <f t="shared" ref="H5:H11" si="1">G5/F5*C5</f>
        <v>10</v>
      </c>
      <c r="I5" s="46">
        <f t="shared" si="0"/>
        <v>25</v>
      </c>
    </row>
    <row r="6" spans="1:9" x14ac:dyDescent="0.3">
      <c r="A6" s="43" t="s">
        <v>177</v>
      </c>
      <c r="B6" s="44">
        <v>50</v>
      </c>
      <c r="C6" s="44">
        <v>40</v>
      </c>
      <c r="D6" s="44">
        <v>75</v>
      </c>
      <c r="E6" s="44">
        <v>30</v>
      </c>
      <c r="F6" s="47">
        <v>35</v>
      </c>
      <c r="G6" s="48">
        <v>35</v>
      </c>
      <c r="H6" s="46">
        <f t="shared" si="1"/>
        <v>40</v>
      </c>
      <c r="I6" s="46">
        <f t="shared" si="0"/>
        <v>30</v>
      </c>
    </row>
    <row r="7" spans="1:9" ht="26.4" x14ac:dyDescent="0.3">
      <c r="A7" s="58" t="s">
        <v>178</v>
      </c>
      <c r="B7" s="44">
        <v>65</v>
      </c>
      <c r="C7" s="44">
        <v>15</v>
      </c>
      <c r="D7" s="44">
        <v>85</v>
      </c>
      <c r="E7" s="44">
        <v>10</v>
      </c>
      <c r="F7" s="47">
        <f>F4</f>
        <v>30</v>
      </c>
      <c r="G7" s="48">
        <v>30</v>
      </c>
      <c r="H7" s="46">
        <f t="shared" si="1"/>
        <v>15</v>
      </c>
      <c r="I7" s="46">
        <f t="shared" si="0"/>
        <v>10</v>
      </c>
    </row>
    <row r="8" spans="1:9" x14ac:dyDescent="0.3">
      <c r="A8" s="43" t="s">
        <v>179</v>
      </c>
      <c r="B8" s="44">
        <v>75</v>
      </c>
      <c r="C8" s="44">
        <v>10</v>
      </c>
      <c r="D8" s="44">
        <v>90</v>
      </c>
      <c r="E8" s="44">
        <v>5</v>
      </c>
      <c r="F8" s="47">
        <f>F4</f>
        <v>30</v>
      </c>
      <c r="G8" s="48">
        <v>30</v>
      </c>
      <c r="H8" s="46">
        <f t="shared" si="1"/>
        <v>10</v>
      </c>
      <c r="I8" s="46">
        <f t="shared" si="0"/>
        <v>5</v>
      </c>
    </row>
    <row r="9" spans="1:9" ht="26.4" x14ac:dyDescent="0.3">
      <c r="A9" s="43" t="s">
        <v>188</v>
      </c>
      <c r="B9" s="44">
        <v>85</v>
      </c>
      <c r="C9" s="44">
        <v>10</v>
      </c>
      <c r="D9" s="44">
        <v>95</v>
      </c>
      <c r="E9" s="44">
        <v>5</v>
      </c>
      <c r="F9" s="47">
        <f>F5</f>
        <v>30</v>
      </c>
      <c r="G9" s="48">
        <v>30</v>
      </c>
      <c r="H9" s="46">
        <f t="shared" si="1"/>
        <v>10</v>
      </c>
      <c r="I9" s="46">
        <f t="shared" si="0"/>
        <v>5</v>
      </c>
    </row>
    <row r="10" spans="1:9" ht="26.4" x14ac:dyDescent="0.3">
      <c r="A10" s="58" t="s">
        <v>181</v>
      </c>
      <c r="B10" s="44">
        <v>95</v>
      </c>
      <c r="C10" s="44">
        <v>10</v>
      </c>
      <c r="D10" s="44">
        <v>95</v>
      </c>
      <c r="E10" s="44">
        <v>0</v>
      </c>
      <c r="F10" s="47">
        <f>F4</f>
        <v>30</v>
      </c>
      <c r="G10" s="48">
        <v>30</v>
      </c>
      <c r="H10" s="46">
        <f t="shared" si="1"/>
        <v>10</v>
      </c>
      <c r="I10" s="46">
        <f t="shared" si="0"/>
        <v>0</v>
      </c>
    </row>
    <row r="11" spans="1:9" x14ac:dyDescent="0.3">
      <c r="A11" s="43" t="s">
        <v>182</v>
      </c>
      <c r="B11" s="44">
        <v>100</v>
      </c>
      <c r="C11" s="44">
        <v>5</v>
      </c>
      <c r="D11" s="44">
        <v>100</v>
      </c>
      <c r="E11" s="44">
        <v>5</v>
      </c>
      <c r="F11" s="47">
        <f>F4</f>
        <v>30</v>
      </c>
      <c r="G11" s="48">
        <v>30</v>
      </c>
      <c r="H11" s="46">
        <f t="shared" si="1"/>
        <v>5</v>
      </c>
      <c r="I11" s="46">
        <f t="shared" si="0"/>
        <v>5</v>
      </c>
    </row>
    <row r="12" spans="1:9" x14ac:dyDescent="0.3">
      <c r="A12" s="49"/>
      <c r="B12" s="49"/>
      <c r="C12" s="49">
        <f>SUM(C4:C11)</f>
        <v>100</v>
      </c>
      <c r="D12" s="49"/>
      <c r="E12" s="49">
        <f>SUM(E4:E11)</f>
        <v>100</v>
      </c>
      <c r="F12" s="49"/>
      <c r="G12" s="50" t="s">
        <v>183</v>
      </c>
      <c r="H12" s="51">
        <f>SUM(H4:H11)</f>
        <v>100</v>
      </c>
      <c r="I12" s="51">
        <f>SUM(I4:I11)</f>
        <v>100</v>
      </c>
    </row>
    <row r="14" spans="1:9" ht="19.8" x14ac:dyDescent="0.4">
      <c r="A14" s="205" t="s">
        <v>191</v>
      </c>
      <c r="B14" s="206"/>
      <c r="C14" s="206"/>
      <c r="D14" s="206"/>
      <c r="E14" s="206"/>
      <c r="F14" s="206"/>
      <c r="G14" s="206"/>
      <c r="H14" s="206"/>
      <c r="I14" s="207"/>
    </row>
    <row r="15" spans="1:9" x14ac:dyDescent="0.3">
      <c r="A15" s="203" t="s">
        <v>167</v>
      </c>
      <c r="B15" s="203"/>
      <c r="C15" s="203"/>
      <c r="D15" s="203"/>
      <c r="E15" s="203"/>
      <c r="F15" s="203"/>
      <c r="G15" s="203"/>
      <c r="H15" s="203"/>
      <c r="I15" s="203"/>
    </row>
    <row r="16" spans="1:9" x14ac:dyDescent="0.3">
      <c r="A16" s="43"/>
      <c r="B16" s="44" t="s">
        <v>168</v>
      </c>
      <c r="C16" s="44" t="s">
        <v>169</v>
      </c>
      <c r="D16" s="44" t="s">
        <v>170</v>
      </c>
      <c r="E16" s="44" t="s">
        <v>171</v>
      </c>
      <c r="F16" s="45" t="s">
        <v>172</v>
      </c>
      <c r="G16" s="45" t="s">
        <v>173</v>
      </c>
      <c r="H16" s="44" t="s">
        <v>174</v>
      </c>
      <c r="I16" s="46" t="s">
        <v>175</v>
      </c>
    </row>
    <row r="17" spans="1:9" x14ac:dyDescent="0.3">
      <c r="A17" s="43" t="s">
        <v>176</v>
      </c>
      <c r="B17" s="44">
        <v>0</v>
      </c>
      <c r="C17" s="44">
        <v>0</v>
      </c>
      <c r="D17" s="44">
        <v>20</v>
      </c>
      <c r="E17" s="44">
        <v>20</v>
      </c>
      <c r="F17" s="47">
        <v>30</v>
      </c>
      <c r="G17" s="48">
        <v>30</v>
      </c>
      <c r="H17" s="46">
        <v>0</v>
      </c>
      <c r="I17" s="46">
        <f t="shared" ref="I17:I26" si="2">G17/F17*E17</f>
        <v>20</v>
      </c>
    </row>
    <row r="18" spans="1:9" x14ac:dyDescent="0.3">
      <c r="A18" s="43" t="s">
        <v>53</v>
      </c>
      <c r="B18" s="44">
        <v>10</v>
      </c>
      <c r="C18" s="44">
        <v>10</v>
      </c>
      <c r="D18" s="53">
        <f>D17+I18</f>
        <v>45</v>
      </c>
      <c r="E18" s="44">
        <v>25</v>
      </c>
      <c r="F18" s="47">
        <f>F17</f>
        <v>30</v>
      </c>
      <c r="G18" s="48">
        <v>30</v>
      </c>
      <c r="H18" s="46">
        <f>G18/F18*C18</f>
        <v>10</v>
      </c>
      <c r="I18" s="46">
        <f t="shared" si="2"/>
        <v>25</v>
      </c>
    </row>
    <row r="19" spans="1:9" x14ac:dyDescent="0.3">
      <c r="A19" s="43" t="s">
        <v>177</v>
      </c>
      <c r="B19" s="53">
        <f>B18+H19</f>
        <v>50</v>
      </c>
      <c r="C19" s="44">
        <v>40</v>
      </c>
      <c r="D19" s="53">
        <f>D18+I19</f>
        <v>75</v>
      </c>
      <c r="E19" s="44">
        <v>30</v>
      </c>
      <c r="F19" s="47">
        <v>35</v>
      </c>
      <c r="G19" s="48">
        <v>35</v>
      </c>
      <c r="H19" s="46">
        <f>G19/F19*C19</f>
        <v>40</v>
      </c>
      <c r="I19" s="46">
        <f t="shared" si="2"/>
        <v>30</v>
      </c>
    </row>
    <row r="20" spans="1:9" x14ac:dyDescent="0.3">
      <c r="A20" s="58" t="s">
        <v>185</v>
      </c>
      <c r="B20" s="53">
        <f t="shared" ref="B20:B25" si="3">B19+H20</f>
        <v>57.5</v>
      </c>
      <c r="C20" s="44">
        <v>7.5</v>
      </c>
      <c r="D20" s="53">
        <f t="shared" ref="D20:D25" si="4">D19+I20</f>
        <v>80</v>
      </c>
      <c r="E20" s="44">
        <v>5</v>
      </c>
      <c r="F20" s="47">
        <f>F17</f>
        <v>30</v>
      </c>
      <c r="G20" s="48">
        <v>30</v>
      </c>
      <c r="H20" s="46">
        <f>G20/F20*7.5</f>
        <v>7.5</v>
      </c>
      <c r="I20" s="46">
        <f t="shared" si="2"/>
        <v>5</v>
      </c>
    </row>
    <row r="21" spans="1:9" x14ac:dyDescent="0.3">
      <c r="A21" s="58" t="s">
        <v>186</v>
      </c>
      <c r="B21" s="53">
        <f t="shared" si="3"/>
        <v>65</v>
      </c>
      <c r="C21" s="44">
        <v>7.5</v>
      </c>
      <c r="D21" s="53">
        <f t="shared" si="4"/>
        <v>85</v>
      </c>
      <c r="E21" s="44">
        <v>5</v>
      </c>
      <c r="F21" s="47">
        <f>F18</f>
        <v>30</v>
      </c>
      <c r="G21" s="48">
        <v>30</v>
      </c>
      <c r="H21" s="46">
        <f>G21/F21*C21</f>
        <v>7.5</v>
      </c>
      <c r="I21" s="46">
        <f>G21/F21*E21</f>
        <v>5</v>
      </c>
    </row>
    <row r="22" spans="1:9" ht="26.4" x14ac:dyDescent="0.3">
      <c r="A22" s="43" t="s">
        <v>180</v>
      </c>
      <c r="B22" s="53">
        <f t="shared" si="3"/>
        <v>75</v>
      </c>
      <c r="C22" s="44">
        <v>10</v>
      </c>
      <c r="D22" s="53">
        <f t="shared" si="4"/>
        <v>90</v>
      </c>
      <c r="E22" s="44">
        <v>5</v>
      </c>
      <c r="F22" s="47">
        <f>F17</f>
        <v>30</v>
      </c>
      <c r="G22" s="48">
        <v>30</v>
      </c>
      <c r="H22" s="46">
        <f>G22/F22*C22</f>
        <v>10</v>
      </c>
      <c r="I22" s="46">
        <f>G22/F22*E22</f>
        <v>5</v>
      </c>
    </row>
    <row r="23" spans="1:9" x14ac:dyDescent="0.3">
      <c r="A23" s="43" t="s">
        <v>179</v>
      </c>
      <c r="B23" s="53">
        <f t="shared" si="3"/>
        <v>85</v>
      </c>
      <c r="C23" s="44">
        <v>10</v>
      </c>
      <c r="D23" s="53">
        <f t="shared" si="4"/>
        <v>95</v>
      </c>
      <c r="E23" s="44">
        <v>5</v>
      </c>
      <c r="F23" s="47">
        <f>F17</f>
        <v>30</v>
      </c>
      <c r="G23" s="48">
        <v>30</v>
      </c>
      <c r="H23" s="46">
        <f>G23/F23*C23</f>
        <v>10</v>
      </c>
      <c r="I23" s="46">
        <f>G23/F23*E23</f>
        <v>5</v>
      </c>
    </row>
    <row r="24" spans="1:9" x14ac:dyDescent="0.3">
      <c r="A24" s="58" t="s">
        <v>187</v>
      </c>
      <c r="B24" s="53">
        <f t="shared" si="3"/>
        <v>90</v>
      </c>
      <c r="C24" s="44">
        <v>5</v>
      </c>
      <c r="D24" s="53">
        <f t="shared" si="4"/>
        <v>95</v>
      </c>
      <c r="E24" s="44">
        <v>0</v>
      </c>
      <c r="F24" s="47">
        <f>F18</f>
        <v>30</v>
      </c>
      <c r="G24" s="48">
        <v>30</v>
      </c>
      <c r="H24" s="46">
        <f t="shared" ref="H24:H26" si="5">G24/F24*C24</f>
        <v>5</v>
      </c>
      <c r="I24" s="46">
        <f t="shared" si="2"/>
        <v>0</v>
      </c>
    </row>
    <row r="25" spans="1:9" ht="26.4" x14ac:dyDescent="0.3">
      <c r="A25" s="58" t="s">
        <v>181</v>
      </c>
      <c r="B25" s="53">
        <f t="shared" si="3"/>
        <v>95</v>
      </c>
      <c r="C25" s="44">
        <v>5</v>
      </c>
      <c r="D25" s="53">
        <f t="shared" si="4"/>
        <v>95</v>
      </c>
      <c r="E25" s="44">
        <v>0</v>
      </c>
      <c r="F25" s="47">
        <f>F17</f>
        <v>30</v>
      </c>
      <c r="G25" s="48">
        <v>30</v>
      </c>
      <c r="H25" s="46">
        <f t="shared" si="5"/>
        <v>5</v>
      </c>
      <c r="I25" s="46">
        <f t="shared" si="2"/>
        <v>0</v>
      </c>
    </row>
    <row r="26" spans="1:9" x14ac:dyDescent="0.3">
      <c r="A26" s="43" t="s">
        <v>182</v>
      </c>
      <c r="B26" s="44">
        <v>100</v>
      </c>
      <c r="C26" s="44">
        <v>5</v>
      </c>
      <c r="D26" s="44">
        <v>100</v>
      </c>
      <c r="E26" s="44">
        <v>5</v>
      </c>
      <c r="F26" s="47">
        <f>F17</f>
        <v>30</v>
      </c>
      <c r="G26" s="48">
        <v>30</v>
      </c>
      <c r="H26" s="46">
        <f t="shared" si="5"/>
        <v>5</v>
      </c>
      <c r="I26" s="46">
        <f t="shared" si="2"/>
        <v>5</v>
      </c>
    </row>
    <row r="27" spans="1:9" x14ac:dyDescent="0.3">
      <c r="A27" s="49"/>
      <c r="B27" s="49"/>
      <c r="C27" s="49">
        <f>SUM(C17:C26)</f>
        <v>100</v>
      </c>
      <c r="D27" s="49"/>
      <c r="E27" s="49">
        <f>SUM(E17:E26)</f>
        <v>100</v>
      </c>
      <c r="F27" s="49"/>
      <c r="G27" s="50" t="s">
        <v>183</v>
      </c>
      <c r="H27" s="51">
        <f>SUM(H17:H26)</f>
        <v>100</v>
      </c>
      <c r="I27" s="51">
        <f>SUM(I17:I26)</f>
        <v>100</v>
      </c>
    </row>
    <row r="30" spans="1:9" hidden="1" x14ac:dyDescent="0.3">
      <c r="C30" s="59" t="s">
        <v>189</v>
      </c>
      <c r="D30" s="59"/>
    </row>
    <row r="31" spans="1:9" hidden="1" x14ac:dyDescent="0.3"/>
    <row r="32" spans="1:9" hidden="1" x14ac:dyDescent="0.3">
      <c r="A32" s="202" t="s">
        <v>167</v>
      </c>
      <c r="B32" s="202"/>
      <c r="C32" s="202"/>
      <c r="D32" s="202"/>
      <c r="E32" s="202"/>
      <c r="F32" s="202"/>
      <c r="G32" s="202"/>
      <c r="H32" s="202"/>
      <c r="I32" s="202"/>
    </row>
    <row r="33" spans="1:9" hidden="1" x14ac:dyDescent="0.3">
      <c r="A33" s="43"/>
      <c r="B33" s="44" t="s">
        <v>168</v>
      </c>
      <c r="C33" s="44" t="s">
        <v>169</v>
      </c>
      <c r="D33" s="44" t="s">
        <v>170</v>
      </c>
      <c r="E33" s="44" t="s">
        <v>171</v>
      </c>
      <c r="F33" s="45" t="s">
        <v>172</v>
      </c>
      <c r="G33" s="45" t="s">
        <v>173</v>
      </c>
      <c r="H33" s="44" t="s">
        <v>174</v>
      </c>
      <c r="I33" s="46" t="s">
        <v>175</v>
      </c>
    </row>
    <row r="34" spans="1:9" hidden="1" x14ac:dyDescent="0.3">
      <c r="A34" s="43" t="s">
        <v>176</v>
      </c>
      <c r="B34" s="44">
        <v>0</v>
      </c>
      <c r="C34" s="44">
        <v>0</v>
      </c>
      <c r="D34" s="44">
        <v>20</v>
      </c>
      <c r="E34" s="44">
        <v>20</v>
      </c>
      <c r="F34" s="47">
        <v>30</v>
      </c>
      <c r="G34" s="48">
        <v>30</v>
      </c>
      <c r="H34" s="46">
        <v>0</v>
      </c>
      <c r="I34" s="46">
        <f t="shared" ref="I34:I37" si="6">G34/F34*E34</f>
        <v>20</v>
      </c>
    </row>
    <row r="35" spans="1:9" hidden="1" x14ac:dyDescent="0.3">
      <c r="A35" s="43" t="s">
        <v>53</v>
      </c>
      <c r="B35" s="44">
        <v>10</v>
      </c>
      <c r="C35" s="44">
        <v>10</v>
      </c>
      <c r="D35" s="53">
        <f>D34+I35</f>
        <v>45</v>
      </c>
      <c r="E35" s="44">
        <v>25</v>
      </c>
      <c r="F35" s="47">
        <f>F34</f>
        <v>30</v>
      </c>
      <c r="G35" s="48">
        <v>30</v>
      </c>
      <c r="H35" s="46">
        <f>G35/F35*C35</f>
        <v>10</v>
      </c>
      <c r="I35" s="46">
        <f t="shared" si="6"/>
        <v>25</v>
      </c>
    </row>
    <row r="36" spans="1:9" hidden="1" x14ac:dyDescent="0.3">
      <c r="A36" s="43" t="s">
        <v>177</v>
      </c>
      <c r="B36" s="53">
        <f>B35+H36</f>
        <v>50</v>
      </c>
      <c r="C36" s="44">
        <v>40</v>
      </c>
      <c r="D36" s="53">
        <f>D35+I36</f>
        <v>75</v>
      </c>
      <c r="E36" s="44">
        <v>30</v>
      </c>
      <c r="F36" s="47">
        <v>35</v>
      </c>
      <c r="G36" s="48">
        <v>35</v>
      </c>
      <c r="H36" s="46">
        <f>G36/F36*C36</f>
        <v>40</v>
      </c>
      <c r="I36" s="46">
        <f t="shared" si="6"/>
        <v>30</v>
      </c>
    </row>
    <row r="37" spans="1:9" hidden="1" x14ac:dyDescent="0.3">
      <c r="A37" s="43" t="s">
        <v>185</v>
      </c>
      <c r="B37" s="53">
        <f t="shared" ref="B37:B42" si="7">B36+H37</f>
        <v>57.5</v>
      </c>
      <c r="C37" s="44">
        <v>10</v>
      </c>
      <c r="D37" s="53">
        <f t="shared" ref="D37:D42" si="8">D36+I37</f>
        <v>82.5</v>
      </c>
      <c r="E37" s="44">
        <v>7.5</v>
      </c>
      <c r="F37" s="47">
        <f>F34</f>
        <v>30</v>
      </c>
      <c r="G37" s="48">
        <v>30</v>
      </c>
      <c r="H37" s="46">
        <f>G37/F37*7.5</f>
        <v>7.5</v>
      </c>
      <c r="I37" s="46">
        <f t="shared" si="6"/>
        <v>7.5</v>
      </c>
    </row>
    <row r="38" spans="1:9" ht="26.4" hidden="1" x14ac:dyDescent="0.3">
      <c r="A38" s="43" t="s">
        <v>180</v>
      </c>
      <c r="B38" s="53">
        <f t="shared" si="7"/>
        <v>62.5</v>
      </c>
      <c r="C38" s="44">
        <v>5</v>
      </c>
      <c r="D38" s="53">
        <f t="shared" si="8"/>
        <v>85</v>
      </c>
      <c r="E38" s="44">
        <v>2.5</v>
      </c>
      <c r="F38" s="47">
        <f>F34</f>
        <v>30</v>
      </c>
      <c r="G38" s="48">
        <v>30</v>
      </c>
      <c r="H38" s="46">
        <f>G38/F38*C38</f>
        <v>5</v>
      </c>
      <c r="I38" s="46">
        <f>G38/F38*E38</f>
        <v>2.5</v>
      </c>
    </row>
    <row r="39" spans="1:9" hidden="1" x14ac:dyDescent="0.3">
      <c r="A39" s="43" t="s">
        <v>186</v>
      </c>
      <c r="B39" s="53">
        <f t="shared" si="7"/>
        <v>67.5</v>
      </c>
      <c r="C39" s="44">
        <v>5</v>
      </c>
      <c r="D39" s="53">
        <f t="shared" si="8"/>
        <v>87.5</v>
      </c>
      <c r="E39" s="44">
        <v>2.5</v>
      </c>
      <c r="F39" s="47">
        <f>F35</f>
        <v>30</v>
      </c>
      <c r="G39" s="48">
        <v>30</v>
      </c>
      <c r="H39" s="46">
        <f t="shared" ref="H39" si="9">G39/F39*C39</f>
        <v>5</v>
      </c>
      <c r="I39" s="46">
        <f t="shared" ref="I39" si="10">G39/F39*E39</f>
        <v>2.5</v>
      </c>
    </row>
    <row r="40" spans="1:9" hidden="1" x14ac:dyDescent="0.3">
      <c r="A40" s="43" t="s">
        <v>179</v>
      </c>
      <c r="B40" s="53">
        <f t="shared" si="7"/>
        <v>77.5</v>
      </c>
      <c r="C40" s="44">
        <v>10</v>
      </c>
      <c r="D40" s="53">
        <f t="shared" si="8"/>
        <v>90</v>
      </c>
      <c r="E40" s="44">
        <v>2.5</v>
      </c>
      <c r="F40" s="47">
        <f>F34</f>
        <v>30</v>
      </c>
      <c r="G40" s="48">
        <v>30</v>
      </c>
      <c r="H40" s="46">
        <f>G40/F40*C40</f>
        <v>10</v>
      </c>
      <c r="I40" s="46">
        <f>G40/F40*E40</f>
        <v>2.5</v>
      </c>
    </row>
    <row r="41" spans="1:9" hidden="1" x14ac:dyDescent="0.3">
      <c r="A41" s="43" t="s">
        <v>187</v>
      </c>
      <c r="B41" s="53">
        <f t="shared" si="7"/>
        <v>87.5</v>
      </c>
      <c r="C41" s="44">
        <v>10</v>
      </c>
      <c r="D41" s="53">
        <f t="shared" si="8"/>
        <v>95</v>
      </c>
      <c r="E41" s="44">
        <v>5</v>
      </c>
      <c r="F41" s="47">
        <f>F35</f>
        <v>30</v>
      </c>
      <c r="G41" s="48">
        <v>30</v>
      </c>
      <c r="H41" s="46">
        <f t="shared" ref="H41:H43" si="11">G41/F41*C41</f>
        <v>10</v>
      </c>
      <c r="I41" s="46">
        <f t="shared" ref="I41:I43" si="12">G41/F41*E41</f>
        <v>5</v>
      </c>
    </row>
    <row r="42" spans="1:9" ht="26.4" hidden="1" x14ac:dyDescent="0.3">
      <c r="A42" s="43" t="s">
        <v>181</v>
      </c>
      <c r="B42" s="53">
        <f t="shared" si="7"/>
        <v>92.5</v>
      </c>
      <c r="C42" s="44">
        <v>5</v>
      </c>
      <c r="D42" s="53">
        <f t="shared" si="8"/>
        <v>97.5</v>
      </c>
      <c r="E42" s="44">
        <v>2.5</v>
      </c>
      <c r="F42" s="47">
        <f>F34</f>
        <v>30</v>
      </c>
      <c r="G42" s="48">
        <v>30</v>
      </c>
      <c r="H42" s="46">
        <f t="shared" si="11"/>
        <v>5</v>
      </c>
      <c r="I42" s="46">
        <f t="shared" si="12"/>
        <v>2.5</v>
      </c>
    </row>
    <row r="43" spans="1:9" hidden="1" x14ac:dyDescent="0.3">
      <c r="A43" s="43" t="s">
        <v>182</v>
      </c>
      <c r="B43" s="44">
        <v>100</v>
      </c>
      <c r="C43" s="44">
        <v>5</v>
      </c>
      <c r="D43" s="44">
        <v>100</v>
      </c>
      <c r="E43" s="44">
        <v>2.5</v>
      </c>
      <c r="F43" s="47">
        <f>F34</f>
        <v>30</v>
      </c>
      <c r="G43" s="48">
        <v>30</v>
      </c>
      <c r="H43" s="46">
        <f t="shared" si="11"/>
        <v>5</v>
      </c>
      <c r="I43" s="46">
        <f t="shared" si="12"/>
        <v>2.5</v>
      </c>
    </row>
    <row r="44" spans="1:9" hidden="1" x14ac:dyDescent="0.3">
      <c r="A44" s="49"/>
      <c r="B44" s="49"/>
      <c r="C44" s="49">
        <f>SUM(C34:C43)</f>
        <v>100</v>
      </c>
      <c r="D44" s="49"/>
      <c r="E44" s="49">
        <f>SUM(E34:E43)</f>
        <v>100</v>
      </c>
      <c r="F44" s="49"/>
      <c r="G44" s="50" t="s">
        <v>183</v>
      </c>
      <c r="H44" s="51">
        <f>SUM(H34:H43)</f>
        <v>97.5</v>
      </c>
      <c r="I44" s="51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topLeftCell="A7" workbookViewId="0">
      <selection activeCell="C21" sqref="C21:D25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77</v>
      </c>
      <c r="C2" s="208"/>
      <c r="D2" s="208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209" t="s">
        <v>80</v>
      </c>
      <c r="D4" s="209"/>
      <c r="E4" s="209"/>
      <c r="F4" s="6"/>
      <c r="G4" s="209" t="s">
        <v>81</v>
      </c>
      <c r="H4" s="209"/>
      <c r="I4" s="209"/>
      <c r="J4" s="209" t="s">
        <v>82</v>
      </c>
      <c r="K4" s="209"/>
      <c r="L4" s="209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1"/>
  <sheetViews>
    <sheetView zoomScale="115" zoomScaleNormal="115" workbookViewId="0">
      <selection activeCell="G5" sqref="G5"/>
    </sheetView>
  </sheetViews>
  <sheetFormatPr defaultColWidth="8.6640625" defaultRowHeight="14.4" x14ac:dyDescent="0.3"/>
  <cols>
    <col min="1" max="1" width="8.6640625" style="25"/>
    <col min="2" max="2" width="22.109375" style="25" customWidth="1"/>
    <col min="3" max="3" width="37" style="25" customWidth="1"/>
    <col min="4" max="5" width="11.44140625" style="25" customWidth="1"/>
    <col min="6" max="6" width="14" style="25" customWidth="1"/>
    <col min="7" max="7" width="20" style="25" customWidth="1"/>
    <col min="8" max="8" width="16.44140625" style="25" customWidth="1"/>
    <col min="9" max="16384" width="8.6640625" style="25"/>
  </cols>
  <sheetData>
    <row r="1" spans="1:9" ht="15" customHeight="1" x14ac:dyDescent="0.3"/>
    <row r="2" spans="1:9" ht="15" customHeight="1" x14ac:dyDescent="0.3">
      <c r="A2" s="26"/>
      <c r="B2" s="26"/>
      <c r="C2" s="26"/>
      <c r="D2" s="26"/>
      <c r="E2" s="26"/>
      <c r="F2" s="26"/>
      <c r="G2" s="26"/>
      <c r="H2" s="26"/>
    </row>
    <row r="3" spans="1:9" ht="15.75" customHeight="1" x14ac:dyDescent="0.3">
      <c r="A3" s="26"/>
      <c r="B3" s="210" t="s">
        <v>142</v>
      </c>
      <c r="C3" s="210"/>
      <c r="D3" s="210"/>
      <c r="E3" s="210"/>
      <c r="F3" s="210"/>
      <c r="G3" s="210"/>
      <c r="H3" s="210"/>
    </row>
    <row r="4" spans="1:9" x14ac:dyDescent="0.3">
      <c r="A4" s="26"/>
      <c r="B4" s="27" t="s">
        <v>143</v>
      </c>
      <c r="C4" s="27" t="s">
        <v>144</v>
      </c>
      <c r="D4" s="27" t="s">
        <v>78</v>
      </c>
      <c r="E4" s="27" t="s">
        <v>145</v>
      </c>
      <c r="F4" s="27" t="s">
        <v>150</v>
      </c>
      <c r="G4" s="27" t="s">
        <v>151</v>
      </c>
      <c r="H4" s="27" t="s">
        <v>146</v>
      </c>
    </row>
    <row r="5" spans="1:9" ht="15" customHeight="1" x14ac:dyDescent="0.3">
      <c r="A5" s="26"/>
      <c r="B5" s="61" t="s">
        <v>207</v>
      </c>
      <c r="C5" s="60" t="s">
        <v>197</v>
      </c>
      <c r="D5" s="61" t="s">
        <v>208</v>
      </c>
      <c r="E5" s="29">
        <v>755</v>
      </c>
      <c r="F5" s="30">
        <f>E5*1.5</f>
        <v>1132.5</v>
      </c>
      <c r="G5" s="30">
        <f>H5/F5</f>
        <v>17660.044150110374</v>
      </c>
      <c r="H5" s="31">
        <v>20000000</v>
      </c>
    </row>
    <row r="6" spans="1:9" x14ac:dyDescent="0.3">
      <c r="A6" s="26"/>
      <c r="B6" s="61" t="s">
        <v>207</v>
      </c>
      <c r="C6" s="60" t="s">
        <v>197</v>
      </c>
      <c r="D6" s="61" t="s">
        <v>147</v>
      </c>
      <c r="E6" s="29">
        <v>1034</v>
      </c>
      <c r="F6" s="30">
        <f>E6*1.5</f>
        <v>1551</v>
      </c>
      <c r="G6" s="30">
        <f t="shared" ref="G6" si="0">H6/F6</f>
        <v>18375.241779497097</v>
      </c>
      <c r="H6" s="31">
        <v>28500000</v>
      </c>
    </row>
    <row r="7" spans="1:9" ht="15" customHeight="1" x14ac:dyDescent="0.3">
      <c r="A7" s="26"/>
      <c r="B7" s="32" t="s">
        <v>148</v>
      </c>
      <c r="C7" s="29"/>
      <c r="D7" s="29"/>
      <c r="E7" s="29"/>
      <c r="F7" s="29"/>
      <c r="G7" s="33">
        <f>AVERAGE(G5:G6)</f>
        <v>18017.642964803737</v>
      </c>
      <c r="H7" s="29"/>
    </row>
    <row r="8" spans="1:9" ht="15" customHeight="1" x14ac:dyDescent="0.3">
      <c r="B8" s="32" t="s">
        <v>149</v>
      </c>
      <c r="C8" s="29"/>
      <c r="D8" s="29"/>
      <c r="E8" s="29"/>
      <c r="F8" s="34"/>
      <c r="G8" s="32">
        <v>18000</v>
      </c>
      <c r="H8" s="32"/>
      <c r="I8" s="28"/>
    </row>
    <row r="9" spans="1:9" ht="15" customHeight="1" x14ac:dyDescent="0.3"/>
    <row r="10" spans="1:9" ht="15" customHeight="1" x14ac:dyDescent="0.3"/>
    <row r="11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2025-07-14T11:06:06Z</cp:lastPrinted>
  <dcterms:created xsi:type="dcterms:W3CDTF">2019-07-16T09:29:46Z</dcterms:created>
  <dcterms:modified xsi:type="dcterms:W3CDTF">2025-07-14T11:06:48Z</dcterms:modified>
</cp:coreProperties>
</file>