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July 25\Axis\Dump\Excel\"/>
    </mc:Choice>
  </mc:AlternateContent>
  <xr:revisionPtr revIDLastSave="0" documentId="13_ncr:1_{7BD1FD8A-9767-4789-A91B-C4E3AE30DE2E}"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Report!$A$1:$H$416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5" i="1" l="1"/>
  <c r="J64" i="1" l="1"/>
  <c r="E181" i="1" l="1"/>
  <c r="D181" i="1"/>
  <c r="E180" i="1"/>
  <c r="D180" i="1"/>
  <c r="A180" i="1"/>
  <c r="A181" i="1" s="1"/>
  <c r="J179" i="1"/>
  <c r="I179" i="1"/>
  <c r="E179" i="1"/>
  <c r="D179" i="1"/>
  <c r="F180" i="1" l="1"/>
  <c r="H180" i="1" s="1"/>
  <c r="J180" i="1" s="1"/>
  <c r="F179" i="1"/>
  <c r="F181" i="1"/>
  <c r="H181" i="1" s="1"/>
  <c r="C81" i="1"/>
  <c r="E252" i="1"/>
  <c r="D252" i="1"/>
  <c r="F252" i="1" s="1"/>
  <c r="H252" i="1" s="1"/>
  <c r="E251" i="1"/>
  <c r="D251" i="1"/>
  <c r="A251" i="1"/>
  <c r="A252" i="1" s="1"/>
  <c r="E250" i="1"/>
  <c r="D250" i="1"/>
  <c r="E209" i="1"/>
  <c r="D209" i="1"/>
  <c r="E208" i="1"/>
  <c r="D208" i="1"/>
  <c r="A208" i="1"/>
  <c r="A209" i="1" s="1"/>
  <c r="E207" i="1"/>
  <c r="D207" i="1"/>
  <c r="E205" i="1"/>
  <c r="D205" i="1"/>
  <c r="E204" i="1"/>
  <c r="D204" i="1"/>
  <c r="F204" i="1" s="1"/>
  <c r="H204" i="1" s="1"/>
  <c r="A204" i="1"/>
  <c r="A205" i="1" s="1"/>
  <c r="E203" i="1"/>
  <c r="D203" i="1"/>
  <c r="E240" i="1"/>
  <c r="D240" i="1"/>
  <c r="E239" i="1"/>
  <c r="D239" i="1"/>
  <c r="A239" i="1"/>
  <c r="A240" i="1" s="1"/>
  <c r="E238" i="1"/>
  <c r="D238" i="1"/>
  <c r="E236" i="1"/>
  <c r="D236" i="1"/>
  <c r="E235" i="1"/>
  <c r="D235" i="1"/>
  <c r="A235" i="1"/>
  <c r="A236" i="1" s="1"/>
  <c r="E234" i="1"/>
  <c r="D234" i="1"/>
  <c r="E244" i="1"/>
  <c r="D244" i="1"/>
  <c r="E243" i="1"/>
  <c r="D243" i="1"/>
  <c r="A243" i="1"/>
  <c r="A244" i="1" s="1"/>
  <c r="E242" i="1"/>
  <c r="D242" i="1"/>
  <c r="E197" i="1"/>
  <c r="D197" i="1"/>
  <c r="E196" i="1"/>
  <c r="D196" i="1"/>
  <c r="A196" i="1"/>
  <c r="A197" i="1" s="1"/>
  <c r="E195" i="1"/>
  <c r="D195" i="1"/>
  <c r="E193" i="1"/>
  <c r="D193" i="1"/>
  <c r="E192" i="1"/>
  <c r="D192" i="1"/>
  <c r="A192" i="1"/>
  <c r="A193" i="1" s="1"/>
  <c r="E191" i="1"/>
  <c r="D191" i="1"/>
  <c r="E216" i="1"/>
  <c r="D216" i="1"/>
  <c r="E215" i="1"/>
  <c r="D215" i="1"/>
  <c r="E217" i="1"/>
  <c r="D217" i="1"/>
  <c r="A216" i="1"/>
  <c r="A217" i="1" s="1"/>
  <c r="E259" i="1"/>
  <c r="D259" i="1"/>
  <c r="E258" i="1"/>
  <c r="D258" i="1"/>
  <c r="E260" i="1"/>
  <c r="D260" i="1"/>
  <c r="A259" i="1"/>
  <c r="A260" i="1" s="1"/>
  <c r="E255" i="1"/>
  <c r="D255" i="1"/>
  <c r="A255" i="1"/>
  <c r="A256" i="1" s="1"/>
  <c r="E254" i="1"/>
  <c r="D254" i="1"/>
  <c r="E212" i="1"/>
  <c r="D212" i="1"/>
  <c r="A212" i="1"/>
  <c r="A213" i="1" s="1"/>
  <c r="E211" i="1"/>
  <c r="D211" i="1"/>
  <c r="E232" i="1"/>
  <c r="D232" i="1"/>
  <c r="E248" i="1"/>
  <c r="D248" i="1"/>
  <c r="D201" i="1"/>
  <c r="E201" i="1"/>
  <c r="E200" i="1"/>
  <c r="D200" i="1"/>
  <c r="A200" i="1"/>
  <c r="A201" i="1" s="1"/>
  <c r="E199" i="1"/>
  <c r="D199" i="1"/>
  <c r="E247" i="1"/>
  <c r="D247" i="1"/>
  <c r="A247" i="1"/>
  <c r="A248" i="1" s="1"/>
  <c r="E246" i="1"/>
  <c r="D246" i="1"/>
  <c r="E231" i="1"/>
  <c r="D231" i="1"/>
  <c r="E230" i="1"/>
  <c r="D230" i="1"/>
  <c r="E227" i="1"/>
  <c r="D227" i="1"/>
  <c r="E226" i="1"/>
  <c r="D226" i="1"/>
  <c r="E189" i="1"/>
  <c r="D189" i="1"/>
  <c r="E188" i="1"/>
  <c r="D188" i="1"/>
  <c r="E187" i="1"/>
  <c r="D187" i="1"/>
  <c r="E184" i="1"/>
  <c r="D184" i="1"/>
  <c r="E183" i="1"/>
  <c r="D183" i="1"/>
  <c r="E224" i="1"/>
  <c r="D224" i="1"/>
  <c r="E223" i="1"/>
  <c r="D223" i="1"/>
  <c r="E222" i="1"/>
  <c r="D222" i="1"/>
  <c r="E177" i="1"/>
  <c r="D177" i="1"/>
  <c r="E176" i="1"/>
  <c r="D176" i="1"/>
  <c r="E175" i="1"/>
  <c r="D175" i="1"/>
  <c r="I175" i="1"/>
  <c r="J175" i="1"/>
  <c r="E162" i="1"/>
  <c r="E161" i="1"/>
  <c r="E160" i="1"/>
  <c r="E159" i="1"/>
  <c r="E158" i="1"/>
  <c r="E157" i="1"/>
  <c r="E156" i="1"/>
  <c r="E155" i="1"/>
  <c r="E154" i="1"/>
  <c r="E153" i="1"/>
  <c r="D162" i="1"/>
  <c r="D161" i="1"/>
  <c r="D160" i="1"/>
  <c r="D159" i="1"/>
  <c r="D158" i="1"/>
  <c r="D157" i="1"/>
  <c r="D156" i="1"/>
  <c r="D155" i="1"/>
  <c r="D154" i="1"/>
  <c r="D153" i="1"/>
  <c r="F208" i="1" l="1"/>
  <c r="H208" i="1" s="1"/>
  <c r="F191" i="1"/>
  <c r="H191" i="1" s="1"/>
  <c r="F235" i="1"/>
  <c r="H235" i="1" s="1"/>
  <c r="F195" i="1"/>
  <c r="H195" i="1" s="1"/>
  <c r="F205" i="1"/>
  <c r="H205" i="1" s="1"/>
  <c r="F250" i="1"/>
  <c r="H250" i="1" s="1"/>
  <c r="F197" i="1"/>
  <c r="H197" i="1" s="1"/>
  <c r="H179" i="1"/>
  <c r="F242" i="1"/>
  <c r="H242" i="1" s="1"/>
  <c r="F234" i="1"/>
  <c r="H234" i="1" s="1"/>
  <c r="F243" i="1"/>
  <c r="H243" i="1" s="1"/>
  <c r="F193" i="1"/>
  <c r="H193" i="1" s="1"/>
  <c r="F203" i="1"/>
  <c r="H203" i="1" s="1"/>
  <c r="F207" i="1"/>
  <c r="H207" i="1" s="1"/>
  <c r="F244" i="1"/>
  <c r="H244" i="1" s="1"/>
  <c r="F238" i="1"/>
  <c r="H238" i="1" s="1"/>
  <c r="F196" i="1"/>
  <c r="H196" i="1" s="1"/>
  <c r="F239" i="1"/>
  <c r="H239" i="1" s="1"/>
  <c r="F251" i="1"/>
  <c r="H251" i="1" s="1"/>
  <c r="F258" i="1"/>
  <c r="H258" i="1" s="1"/>
  <c r="F217" i="1"/>
  <c r="H217" i="1" s="1"/>
  <c r="F192" i="1"/>
  <c r="H192" i="1" s="1"/>
  <c r="F240" i="1"/>
  <c r="H240" i="1" s="1"/>
  <c r="F236" i="1"/>
  <c r="H236" i="1" s="1"/>
  <c r="F209" i="1"/>
  <c r="H209" i="1" s="1"/>
  <c r="F201" i="1"/>
  <c r="H201" i="1" s="1"/>
  <c r="F199" i="1"/>
  <c r="H199" i="1" s="1"/>
  <c r="F260" i="1"/>
  <c r="F212" i="1"/>
  <c r="H212" i="1" s="1"/>
  <c r="F254" i="1"/>
  <c r="H254" i="1" s="1"/>
  <c r="F200" i="1"/>
  <c r="H200" i="1" s="1"/>
  <c r="F211" i="1"/>
  <c r="H211" i="1" s="1"/>
  <c r="F247" i="1"/>
  <c r="H247" i="1" s="1"/>
  <c r="F255" i="1"/>
  <c r="H255" i="1" s="1"/>
  <c r="F216" i="1"/>
  <c r="H216" i="1" s="1"/>
  <c r="F215" i="1"/>
  <c r="H215" i="1" s="1"/>
  <c r="F259" i="1"/>
  <c r="H259" i="1" s="1"/>
  <c r="F248" i="1"/>
  <c r="H248" i="1" s="1"/>
  <c r="F246" i="1"/>
  <c r="H246" i="1" s="1"/>
  <c r="F227" i="1"/>
  <c r="H227" i="1" s="1"/>
  <c r="A227" i="1"/>
  <c r="A228" i="1" s="1"/>
  <c r="F226" i="1"/>
  <c r="H226" i="1" s="1"/>
  <c r="F184" i="1"/>
  <c r="H184" i="1" s="1"/>
  <c r="J184" i="1" s="1"/>
  <c r="A184" i="1"/>
  <c r="A185" i="1" s="1"/>
  <c r="I183" i="1"/>
  <c r="F183" i="1"/>
  <c r="H183" i="1" s="1"/>
  <c r="H260" i="1" l="1"/>
  <c r="G145" i="1" s="1"/>
  <c r="C145" i="1"/>
  <c r="E145" i="1"/>
  <c r="L117" i="1"/>
  <c r="K117" i="1"/>
  <c r="F232" i="1"/>
  <c r="H232" i="1" s="1"/>
  <c r="F231" i="1"/>
  <c r="H231" i="1" s="1"/>
  <c r="F189" i="1"/>
  <c r="H189" i="1" s="1"/>
  <c r="F187" i="1"/>
  <c r="H187" i="1" s="1"/>
  <c r="F177" i="1"/>
  <c r="H177" i="1" s="1"/>
  <c r="F176" i="1"/>
  <c r="H176" i="1" s="1"/>
  <c r="J176" i="1" s="1"/>
  <c r="F160" i="1"/>
  <c r="H160" i="1" s="1"/>
  <c r="F157" i="1"/>
  <c r="H157" i="1" s="1"/>
  <c r="F153" i="1"/>
  <c r="F188" i="1"/>
  <c r="A231" i="1"/>
  <c r="A232" i="1" s="1"/>
  <c r="A188" i="1"/>
  <c r="A189" i="1" s="1"/>
  <c r="A176" i="1"/>
  <c r="A177" i="1" s="1"/>
  <c r="I153" i="1"/>
  <c r="A154" i="1"/>
  <c r="A155" i="1" s="1"/>
  <c r="A156" i="1" s="1"/>
  <c r="A157" i="1" s="1"/>
  <c r="A158" i="1" s="1"/>
  <c r="A159" i="1" s="1"/>
  <c r="A160" i="1" s="1"/>
  <c r="A161" i="1" s="1"/>
  <c r="A162" i="1" s="1"/>
  <c r="C135" i="1" l="1"/>
  <c r="E135" i="1"/>
  <c r="H188" i="1"/>
  <c r="G135" i="1" s="1"/>
  <c r="H153" i="1"/>
  <c r="F230" i="1"/>
  <c r="J117" i="1"/>
  <c r="I117" i="1" s="1"/>
  <c r="F175" i="1"/>
  <c r="F155" i="1"/>
  <c r="H155" i="1" s="1"/>
  <c r="L155" i="1" s="1"/>
  <c r="F154" i="1"/>
  <c r="H154" i="1" s="1"/>
  <c r="F159" i="1"/>
  <c r="H159" i="1" s="1"/>
  <c r="F162" i="1"/>
  <c r="H162" i="1" s="1"/>
  <c r="F161" i="1"/>
  <c r="H161" i="1" s="1"/>
  <c r="F158" i="1"/>
  <c r="H158" i="1" s="1"/>
  <c r="F156" i="1"/>
  <c r="H156" i="1" s="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C140" i="1" l="1"/>
  <c r="E140" i="1"/>
  <c r="C131" i="1"/>
  <c r="E131" i="1"/>
  <c r="H230" i="1"/>
  <c r="E136" i="1"/>
  <c r="E137" i="1" s="1"/>
  <c r="C136" i="1"/>
  <c r="C137" i="1" s="1"/>
  <c r="G131" i="1"/>
  <c r="H175" i="1"/>
  <c r="G140" i="1" s="1"/>
  <c r="E42" i="7"/>
  <c r="I42" i="7"/>
  <c r="H42" i="7" s="1"/>
  <c r="L42" i="7"/>
  <c r="K42" i="7" s="1"/>
  <c r="G136" i="1" l="1"/>
  <c r="G137" i="1" s="1"/>
  <c r="G132" i="1"/>
  <c r="E44" i="7"/>
  <c r="E132" i="1"/>
  <c r="C132" i="1"/>
  <c r="D42" i="7"/>
  <c r="D44" i="7" s="1"/>
  <c r="E31" i="1"/>
  <c r="B263" i="1" l="1"/>
  <c r="F165" i="1" l="1"/>
  <c r="H165" i="1" s="1"/>
  <c r="F166" i="1"/>
  <c r="H166" i="1" s="1"/>
  <c r="F167" i="1"/>
  <c r="H167" i="1" s="1"/>
  <c r="F164" i="1"/>
  <c r="H164" i="1" s="1"/>
  <c r="S33" i="1" l="1"/>
  <c r="F11" i="5" l="1"/>
  <c r="G11" i="5" s="1"/>
  <c r="F10" i="5"/>
  <c r="G10" i="5" s="1"/>
  <c r="F9" i="5"/>
  <c r="G9" i="5" s="1"/>
  <c r="F8" i="5"/>
  <c r="G8" i="5" s="1"/>
  <c r="F7" i="5"/>
  <c r="G7" i="5" s="1"/>
  <c r="F6" i="5"/>
  <c r="G6" i="5" s="1"/>
  <c r="F5" i="5"/>
  <c r="G5" i="5" s="1"/>
  <c r="G12" i="5" s="1"/>
  <c r="D291" i="1"/>
  <c r="B264" i="1"/>
  <c r="F224" i="1"/>
  <c r="H224" i="1" s="1"/>
  <c r="F223" i="1"/>
  <c r="H223" i="1" s="1"/>
  <c r="A223" i="1"/>
  <c r="A224" i="1" s="1"/>
  <c r="F222" i="1"/>
  <c r="A165" i="1"/>
  <c r="A166" i="1" s="1"/>
  <c r="A167" i="1" s="1"/>
  <c r="F128" i="1"/>
  <c r="C102" i="1"/>
  <c r="C88" i="1"/>
  <c r="C74" i="1"/>
  <c r="D68" i="1"/>
  <c r="D63" i="1"/>
  <c r="G51" i="1"/>
  <c r="C51" i="1"/>
  <c r="E44" i="1"/>
  <c r="E45" i="1" s="1"/>
  <c r="E28" i="1"/>
  <c r="E26" i="1"/>
  <c r="C16" i="1"/>
  <c r="I15" i="1"/>
  <c r="Z13" i="1"/>
  <c r="E8" i="1"/>
  <c r="E3" i="1"/>
  <c r="H75" i="1"/>
  <c r="H89" i="1"/>
  <c r="H103" i="1"/>
  <c r="E141" i="1" l="1"/>
  <c r="E142" i="1" s="1"/>
  <c r="E146" i="1" s="1"/>
  <c r="C141" i="1"/>
  <c r="C142" i="1" s="1"/>
  <c r="C146" i="1" s="1"/>
  <c r="H222" i="1"/>
  <c r="G141" i="1" s="1"/>
  <c r="J74" i="1"/>
  <c r="J76" i="1" s="1"/>
  <c r="J77" i="1"/>
  <c r="J78" i="1"/>
  <c r="J79" i="1"/>
  <c r="C78" i="1" s="1"/>
  <c r="J93" i="1"/>
  <c r="D97" i="1"/>
  <c r="D99" i="1"/>
  <c r="J92" i="1"/>
  <c r="D98" i="1"/>
  <c r="J88" i="1"/>
  <c r="J90" i="1" s="1"/>
  <c r="D96" i="1"/>
  <c r="J91" i="1"/>
  <c r="D95" i="1"/>
  <c r="D101" i="1"/>
  <c r="D100" i="1"/>
  <c r="D94" i="1"/>
  <c r="D82" i="1"/>
  <c r="D84" i="1"/>
  <c r="D83" i="1"/>
  <c r="D87" i="1"/>
  <c r="D81" i="1"/>
  <c r="D86" i="1"/>
  <c r="D80" i="1"/>
  <c r="D85" i="1"/>
  <c r="C108" i="1"/>
  <c r="J102" i="1" s="1"/>
  <c r="J104" i="1" s="1"/>
  <c r="D111" i="1"/>
  <c r="D113" i="1"/>
  <c r="J107" i="1"/>
  <c r="C106" i="1" s="1"/>
  <c r="D106" i="1" s="1"/>
  <c r="D112" i="1"/>
  <c r="J106" i="1"/>
  <c r="D110" i="1"/>
  <c r="J105" i="1"/>
  <c r="D109" i="1"/>
  <c r="D115" i="1"/>
  <c r="D114" i="1"/>
  <c r="B103" i="1"/>
  <c r="B89" i="1"/>
  <c r="B75" i="1"/>
  <c r="J80" i="1" s="1"/>
  <c r="G142" i="1" l="1"/>
  <c r="G146" i="1" s="1"/>
  <c r="C92" i="1"/>
  <c r="D92" i="1" s="1"/>
  <c r="D78" i="1"/>
  <c r="D108" i="1"/>
  <c r="J113" i="1"/>
  <c r="J110" i="1"/>
  <c r="J112" i="1"/>
  <c r="J111" i="1"/>
  <c r="J108" i="1"/>
  <c r="J109" i="1" s="1"/>
  <c r="J114" i="1" s="1"/>
  <c r="J115" i="1" s="1"/>
  <c r="C107" i="1" s="1"/>
  <c r="E106" i="1" s="1"/>
  <c r="J99" i="1"/>
  <c r="J96" i="1"/>
  <c r="J98" i="1"/>
  <c r="J97" i="1"/>
  <c r="J94" i="1"/>
  <c r="J95" i="1" s="1"/>
  <c r="J84" i="1"/>
  <c r="J82" i="1"/>
  <c r="J83" i="1"/>
  <c r="J81" i="1"/>
  <c r="J86" i="1" s="1"/>
  <c r="J85" i="1"/>
  <c r="J87" i="1" l="1"/>
  <c r="C79" i="1" s="1"/>
  <c r="E78" i="1" s="1"/>
  <c r="J100" i="1"/>
  <c r="J101" i="1" s="1"/>
  <c r="D107" i="1"/>
  <c r="I103" i="1" s="1"/>
  <c r="J103" i="1"/>
  <c r="G106" i="1"/>
  <c r="J75" i="1" l="1"/>
  <c r="G78" i="1"/>
  <c r="D72" i="1" s="1"/>
  <c r="F73" i="1" s="1"/>
  <c r="D79" i="1"/>
  <c r="I75" i="1" s="1"/>
  <c r="I76" i="1" s="1"/>
  <c r="C93" i="1"/>
  <c r="I104" i="1"/>
  <c r="I102" i="1" s="1"/>
  <c r="C104" i="1" s="1"/>
  <c r="I74" i="1" l="1"/>
  <c r="C76" i="1" s="1"/>
  <c r="D73" i="1"/>
  <c r="D93" i="1"/>
  <c r="I89" i="1" s="1"/>
  <c r="I90" i="1" s="1"/>
  <c r="E92" i="1"/>
  <c r="G92" i="1"/>
  <c r="J89" i="1"/>
  <c r="I88" i="1" l="1"/>
  <c r="C9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3"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21"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70"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<sst xmlns="http://schemas.openxmlformats.org/spreadsheetml/2006/main" count="850" uniqueCount="427">
  <si>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</si>
  <si>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</si>
  <si>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</si>
  <si>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</si>
  <si>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</si>
  <si>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</si>
  <si>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</si>
  <si>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</si>
  <si>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</si>
  <si>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</si>
  <si>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</si>
  <si>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</si>
  <si>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</si>
  <si>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</si>
  <si>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</si>
  <si>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</si>
  <si>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</si>
  <si>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</si>
  <si>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</si>
  <si>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</si>
  <si>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</si>
  <si>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</si>
  <si>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</si>
  <si>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</si>
  <si>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</si>
  <si>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</si>
  <si>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</si>
  <si>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</si>
  <si>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</si>
  <si>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</si>
  <si>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</si>
  <si>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</si>
  <si>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</si>
  <si>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</si>
  <si>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</si>
  <si>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</si>
  <si>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</si>
  <si>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</si>
  <si>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</si>
  <si>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</si>
  <si>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</si>
  <si>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</si>
  <si>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</si>
  <si>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</si>
  <si>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</si>
  <si>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</si>
  <si>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</si>
  <si>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</si>
  <si>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</si>
  <si>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</si>
  <si>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</si>
  <si>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</si>
  <si>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</si>
  <si>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</si>
  <si>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</si>
  <si>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</si>
  <si>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</si>
  <si>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</si>
  <si>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</si>
  <si>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</si>
  <si>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</si>
  <si>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</si>
  <si>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</si>
  <si>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</si>
  <si>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</si>
  <si>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</si>
  <si>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</si>
  <si>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</si>
  <si>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</si>
  <si>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</si>
  <si>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</si>
  <si>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</si>
  <si>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</si>
  <si>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</si>
  <si>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</si>
  <si>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</si>
  <si>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</si>
  <si>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</si>
  <si>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</si>
  <si>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</si>
  <si>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</si>
  <si>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</si>
  <si>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</si>
  <si>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</si>
  <si>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</si>
  <si>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</si>
  <si>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</si>
  <si>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</si>
  <si>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</si>
  <si>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</si>
  <si>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</si>
  <si>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</si>
  <si>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</si>
  <si>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</si>
  <si>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</si>
  <si>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</si>
  <si>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</si>
  <si>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</si>
  <si>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</si>
  <si>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</si>
  <si>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</si>
  <si>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</si>
  <si>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</si>
  <si>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</si>
  <si>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</si>
  <si>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</si>
  <si>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</si>
  <si>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</si>
  <si>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</si>
  <si>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</si>
  <si>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</si>
  <si>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</si>
  <si>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</si>
  <si>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</si>
  <si>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</si>
  <si>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</si>
  <si>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</si>
  <si>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</si>
  <si>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</si>
  <si>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</si>
  <si>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</si>
  <si>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</si>
  <si>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</si>
  <si>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</si>
  <si>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</si>
  <si>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</si>
  <si>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</si>
  <si>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</si>
  <si>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</si>
  <si>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</si>
  <si>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</si>
  <si>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</si>
  <si>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</si>
  <si>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</si>
  <si>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</si>
  <si>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</si>
  <si>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</si>
  <si>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</si>
  <si>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</si>
  <si>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</si>
  <si>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</si>
  <si>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</si>
  <si>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</si>
  <si>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</si>
  <si>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</si>
  <si>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</si>
  <si>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</si>
  <si>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</si>
  <si>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</si>
  <si>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</si>
  <si>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</si>
  <si>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</si>
  <si>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</si>
  <si>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</si>
  <si>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</si>
  <si>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</si>
  <si>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</si>
  <si>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</si>
  <si>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</si>
  <si>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</si>
  <si>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</si>
  <si>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</si>
  <si>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</si>
  <si>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</si>
  <si>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</si>
  <si>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</si>
  <si>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</si>
  <si>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</si>
  <si>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</si>
  <si>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</si>
  <si>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</si>
  <si>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</si>
  <si>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</si>
  <si>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</si>
  <si>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</si>
  <si>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</si>
  <si>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</si>
  <si>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</si>
  <si>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</si>
  <si>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</si>
  <si>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</si>
  <si>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</si>
  <si>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</si>
  <si>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</si>
  <si>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</si>
  <si>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</si>
  <si>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</si>
  <si>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</si>
  <si>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</si>
  <si>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</si>
  <si>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</si>
  <si>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</si>
  <si>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</si>
  <si>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</si>
  <si>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</si>
  <si>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</si>
  <si>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</si>
  <si>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</si>
  <si>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</si>
  <si>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</si>
  <si>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</si>
  <si>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</si>
  <si>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</si>
  <si>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</si>
  <si>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</si>
  <si>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</si>
  <si>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</si>
  <si>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</si>
  <si>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</si>
  <si>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</si>
  <si>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</si>
  <si>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</si>
  <si>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</si>
  <si>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</si>
  <si>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</si>
  <si>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</si>
  <si>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</si>
  <si>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</si>
  <si>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</si>
  <si>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</si>
  <si>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</si>
  <si>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</si>
  <si>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</si>
  <si>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</si>
  <si>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</si>
  <si>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</si>
  <si>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</si>
  <si>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</si>
  <si>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</si>
  <si>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</si>
  <si>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</si>
  <si>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</si>
  <si>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</si>
  <si>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</si>
  <si>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</si>
  <si>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</si>
  <si>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</si>
  <si>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</si>
  <si>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</si>
  <si>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</si>
  <si>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</si>
  <si>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</si>
  <si>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</si>
  <si>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</si>
  <si>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</si>
  <si>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</si>
  <si>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</si>
  <si>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</si>
  <si>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</si>
  <si>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</si>
  <si>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</si>
  <si>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</si>
  <si>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</si>
  <si>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</si>
  <si>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</si>
  <si>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</si>
  <si>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</si>
  <si>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</si>
  <si>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</si>
  <si>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</si>
  <si>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</si>
  <si>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</si>
  <si>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</si>
  <si>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</si>
  <si>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</si>
  <si>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</si>
  <si>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</si>
  <si>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</si>
  <si>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</si>
  <si>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</si>
  <si>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</si>
  <si>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</si>
  <si>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</si>
  <si>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</si>
  <si>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</si>
  <si>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</si>
  <si>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</si>
  <si>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</si>
  <si>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</si>
  <si>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</si>
  <si>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</si>
  <si>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</si>
  <si>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</si>
  <si>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</si>
  <si>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</si>
  <si>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</si>
  <si>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</si>
  <si>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</si>
  <si>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</si>
  <si>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</si>
  <si>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</si>
  <si>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</si>
  <si>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</si>
  <si>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</si>
  <si>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</si>
  <si>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</si>
  <si>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</si>
  <si>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</si>
  <si>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</si>
  <si>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</si>
  <si>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</si>
  <si>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</si>
  <si>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</si>
  <si>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</si>
  <si>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</si>
  <si>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</si>
  <si>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</si>
  <si>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</si>
  <si>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</si>
  <si>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</si>
  <si>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</si>
  <si>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</si>
  <si>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</si>
  <si>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</si>
  <si>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</si>
  <si>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</si>
  <si>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</si>
  <si>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</si>
  <si>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</si>
  <si>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</si>
  <si>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</si>
  <si>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</si>
  <si>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</si>
  <si>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</si>
  <si>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</si>
  <si>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</si>
  <si>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</si>
  <si>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</si>
  <si>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</si>
  <si>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</si>
  <si>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</si>
  <si>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Gurukrupa Realcon Infrabuild LLP</t>
  </si>
  <si>
    <t>Gurukrupa Dhyanam</t>
  </si>
  <si>
    <t>Devendra Naik : 7208119728</t>
  </si>
  <si>
    <t>P51800055801</t>
  </si>
  <si>
    <t>https://maps.app.goo.gl/cCougz7Jx7vEx4fj6</t>
  </si>
  <si>
    <t>19.1295222,72.8244391</t>
  </si>
  <si>
    <t>4.5 KM from Andheri Railway Station</t>
  </si>
  <si>
    <t>Gita Prakash CHS</t>
  </si>
  <si>
    <t>831/1 &amp; Redevelopement of building "Gita Prakash CHS"</t>
  </si>
  <si>
    <t>Ambivali, Four Bunglows</t>
  </si>
  <si>
    <t>J.P.Road</t>
  </si>
  <si>
    <t>Andheri (West)</t>
  </si>
  <si>
    <t>Ratan nagar</t>
  </si>
  <si>
    <t>Geeta Kiran Apartment</t>
  </si>
  <si>
    <t>Geeta Kiran Apartments</t>
  </si>
  <si>
    <t>Existing Bldg</t>
  </si>
  <si>
    <t>Gita Kiran (CTS No.831/2)</t>
  </si>
  <si>
    <t>Evershine (CTS No.831)</t>
  </si>
  <si>
    <t>27.40 M.Wide J.P.Road</t>
  </si>
  <si>
    <t>CTS No.831/4</t>
  </si>
  <si>
    <t>P-16328/2023/(831/1)K/W Ward/AMBIVALI</t>
  </si>
  <si>
    <t>JUHU/WEST/B/030223/744206</t>
  </si>
  <si>
    <t>77.05 M (Restricted) (AMSL)</t>
  </si>
  <si>
    <t>MMRDA Metro NOC</t>
  </si>
  <si>
    <t>T&amp;C/VAG/NOC_278/369/2023</t>
  </si>
  <si>
    <t>As per RERA - 31/03/2027</t>
  </si>
  <si>
    <t>Wing A &amp; B</t>
  </si>
  <si>
    <t>02 Wings</t>
  </si>
  <si>
    <t>Ground Floor for Commercial &amp; Parking</t>
  </si>
  <si>
    <t>Shop</t>
  </si>
  <si>
    <t>Shop
(Shoes Shop)</t>
  </si>
  <si>
    <t>Shop
(Pathological Lab)</t>
  </si>
  <si>
    <t>Wing A</t>
  </si>
  <si>
    <t>3BHK</t>
  </si>
  <si>
    <t>2BHK</t>
  </si>
  <si>
    <t>Sale / Rehab</t>
  </si>
  <si>
    <t>Rehab</t>
  </si>
  <si>
    <t>Wing B</t>
  </si>
  <si>
    <t>-</t>
  </si>
  <si>
    <t>Refuge Area</t>
  </si>
  <si>
    <t>Sale</t>
  </si>
  <si>
    <r>
      <t xml:space="preserve">Flat No.
</t>
    </r>
    <r>
      <rPr>
        <b/>
        <sz val="11"/>
        <rFont val="Times New Roman"/>
        <family val="1"/>
      </rPr>
      <t>(Approved Plan)</t>
    </r>
  </si>
  <si>
    <r>
      <t xml:space="preserve">Shop No.
</t>
    </r>
    <r>
      <rPr>
        <b/>
        <sz val="11"/>
        <rFont val="Times New Roman"/>
        <family val="1"/>
      </rPr>
      <t>(Approved Plan)</t>
    </r>
  </si>
  <si>
    <t>Residential Area Details : (Sale Units)</t>
  </si>
  <si>
    <t>Residential Area Details : (Rehab Units)</t>
  </si>
  <si>
    <r>
      <t xml:space="preserve">Proposed Amenities :                                                                                                                                                                                                                         </t>
    </r>
    <r>
      <rPr>
        <b/>
        <sz val="12"/>
        <rFont val="Times New Roman"/>
        <family val="1"/>
      </rPr>
      <t xml:space="preserve">                                               </t>
    </r>
  </si>
  <si>
    <t>We considered Gross carpet area = Net carpet.</t>
  </si>
  <si>
    <t>Online</t>
  </si>
  <si>
    <t>Visitor</t>
  </si>
  <si>
    <t>MIS</t>
  </si>
  <si>
    <t>Builder</t>
  </si>
  <si>
    <t>Approved Plans, CC, Airport Noc, Metro Noc</t>
  </si>
  <si>
    <t>We refer Metro Noc &amp; Airport Noc from MCGM site.</t>
  </si>
  <si>
    <t xml:space="preserve">Commencement-CC No
Valid Up to: </t>
  </si>
  <si>
    <t>Miss. Manali Chavan : 8779622593</t>
  </si>
  <si>
    <t>Construction work is in process at the time of Visit.</t>
  </si>
  <si>
    <t>Wing A + B</t>
  </si>
  <si>
    <t>Shop
(Imitation Jewelers)</t>
  </si>
  <si>
    <t>Shop
(Cake Shop)</t>
  </si>
  <si>
    <t>Shop
(Cloth &amp; Garment Shop)</t>
  </si>
  <si>
    <t>Shop
(Ladies Beauty Parlour)</t>
  </si>
  <si>
    <t>Shop
(Book &amp; Stationary)</t>
  </si>
  <si>
    <t>Shop
(Sports Equip. Shop)</t>
  </si>
  <si>
    <t>Shop
(Confectionary Shop)</t>
  </si>
  <si>
    <t>Shop
(Ladies Boutique)</t>
  </si>
  <si>
    <t>1st &amp; 2nd Podium Floor for Parking</t>
  </si>
  <si>
    <t>3rd Podium Floor for Fitness Center &amp; Other Amenities</t>
  </si>
  <si>
    <t>3rd Podium Floor for Society Office, Parking &amp; Other Amenities</t>
  </si>
  <si>
    <t>1st to 4thFloor for Residential</t>
  </si>
  <si>
    <t>5th Floor (Part Refuge Area)</t>
  </si>
  <si>
    <t>12th Floor (Part Refuge Area)</t>
  </si>
  <si>
    <t>17th to 19th Floor</t>
  </si>
  <si>
    <t>Wing A &amp; B = Gr/Stilt + P1 to P3 + 1st to 19th Floor</t>
  </si>
  <si>
    <t>Recreation Facilities, Fire Fighting System, 24X7 Water Supply, CCTV, Power Backup, Gymnasium, Kids Play Area, Swimming Pool</t>
  </si>
  <si>
    <t>8th Floor</t>
  </si>
  <si>
    <t>9th Floor</t>
  </si>
  <si>
    <t>6th Floor</t>
  </si>
  <si>
    <t>7th Floor</t>
  </si>
  <si>
    <t>10th Floor</t>
  </si>
  <si>
    <t>11th, 13th &amp; 14th Floor</t>
  </si>
  <si>
    <t>15th &amp; 16th Floor</t>
  </si>
  <si>
    <t>6th &amp; 7th Floor</t>
  </si>
  <si>
    <t>10th, 11th, 13th &amp; 14th Floor</t>
  </si>
  <si>
    <t>Residential Area Details :</t>
  </si>
  <si>
    <t>1st, 3rd, 4th Floor for Residential</t>
  </si>
  <si>
    <t>Not Mentioned</t>
  </si>
  <si>
    <t>As per approved plans, In B wing Flat No. 1703, 1803 and 1903 doesnt have sale/rehab bifercation. Please check before any disbursement for above flats.</t>
  </si>
  <si>
    <t>Sale Flats - 59, Rehab Flats - 48, Shops - 10
Flats - 03</t>
  </si>
  <si>
    <t>P-16328/2023/(831/1)/K/W
Ward/AMBIVALI/FCC/4/Amend</t>
  </si>
  <si>
    <t>F.C.C. up to top of 19th floor, i.e. height 69.99 mt. AGL as per the approved plans dtd. 31.03.2025 with reduced height of LMR &amp; OHT within the permissible height of Civil Aviation NOC.</t>
  </si>
  <si>
    <t>We have updated revised approved CC from MCGM site (On 14/07/2025).</t>
  </si>
  <si>
    <t xml:space="preserve">Please provide revised approved plans.
</t>
  </si>
  <si>
    <t>We have updated latest approved floor plans (On 26/04/2025).</t>
  </si>
  <si>
    <t>Kunal Kadam</t>
  </si>
  <si>
    <t>Pratik Niwate</t>
  </si>
  <si>
    <t>Recommended Rates of the Property have been revised on 26/04/2025.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</si>
</sst>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
      <b/>
      <sz val="11.5"/>
      <name val="Times New Roman"/>
      <family val="1"/>
    </font>
    <font>
      <sz val="11"/>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265">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3" fillId="0" borderId="1" xfId="1" applyFont="1" applyBorder="1" applyAlignment="1" applyProtection="1">
      <alignment horizontal="center" vertical="top"/>
      <protection locked="0"/>
    </xf>
    <xf numFmtId="0" fontId="16" fillId="0" borderId="11" xfId="0" applyFont="1" applyBorder="1" applyProtection="1">
      <protection hidden="1"/>
    </xf>
    <xf numFmtId="0" fontId="10" fillId="0" borderId="4" xfId="1" applyFont="1" applyBorder="1" applyAlignment="1" applyProtection="1">
      <alignment horizontal="center" vertical="top"/>
      <protection locked="0"/>
    </xf>
    <xf numFmtId="0" fontId="10"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10" xfId="1" applyFont="1" applyBorder="1"/>
    <xf numFmtId="0" fontId="16"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2" fillId="2" borderId="30" xfId="0" applyFont="1" applyFill="1" applyBorder="1"/>
    <xf numFmtId="0" fontId="23" fillId="0" borderId="31" xfId="0" applyFont="1" applyBorder="1"/>
    <xf numFmtId="0" fontId="23" fillId="0" borderId="1" xfId="0" applyFont="1" applyBorder="1"/>
    <xf numFmtId="0" fontId="23"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3" fillId="0" borderId="1" xfId="1" applyFont="1" applyBorder="1" applyAlignment="1" applyProtection="1">
      <alignment horizontal="center" vertical="top" wrapText="1"/>
      <protection locked="0"/>
    </xf>
    <xf numFmtId="1" fontId="13" fillId="0" borderId="1" xfId="1" applyNumberFormat="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1" fontId="10" fillId="0" borderId="1" xfId="1" applyNumberFormat="1" applyFont="1" applyBorder="1" applyAlignment="1" applyProtection="1">
      <alignment horizontal="center" vertical="center" wrapText="1"/>
      <protection locked="0"/>
    </xf>
    <xf numFmtId="1" fontId="11" fillId="0" borderId="3" xfId="1" applyNumberFormat="1" applyFont="1" applyBorder="1" applyAlignment="1" applyProtection="1">
      <alignment horizontal="center" vertical="top" wrapText="1"/>
      <protection locked="0"/>
    </xf>
    <xf numFmtId="9" fontId="11" fillId="0" borderId="16" xfId="8" applyFont="1" applyFill="1" applyBorder="1" applyAlignment="1" applyProtection="1">
      <alignment horizontal="center" vertical="top" wrapText="1"/>
      <protection locked="0"/>
    </xf>
    <xf numFmtId="1" fontId="6" fillId="0" borderId="1" xfId="1" applyNumberFormat="1" applyFont="1" applyBorder="1" applyAlignment="1">
      <alignment horizontal="center" vertical="center"/>
    </xf>
    <xf numFmtId="9" fontId="10" fillId="0" borderId="1"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top" wrapText="1"/>
      <protection locked="0"/>
    </xf>
    <xf numFmtId="9" fontId="10" fillId="0" borderId="7" xfId="8" applyFont="1" applyFill="1" applyBorder="1" applyAlignment="1" applyProtection="1">
      <alignment horizontal="center" vertical="top" wrapText="1"/>
      <protection locked="0"/>
    </xf>
    <xf numFmtId="0" fontId="13" fillId="0" borderId="0" xfId="1" applyFont="1" applyAlignment="1">
      <alignment horizontal="center" vertical="center"/>
    </xf>
    <xf numFmtId="0" fontId="30" fillId="0" borderId="0" xfId="1" applyFont="1" applyAlignment="1">
      <alignment horizontal="center" vertical="center"/>
    </xf>
    <xf numFmtId="0" fontId="13" fillId="0" borderId="0" xfId="2" applyFont="1" applyAlignment="1">
      <alignment horizontal="center" vertical="center"/>
    </xf>
    <xf numFmtId="1" fontId="13" fillId="0" borderId="0" xfId="1" applyNumberFormat="1" applyFont="1" applyAlignment="1">
      <alignment horizontal="center" vertical="center"/>
    </xf>
    <xf numFmtId="1" fontId="7" fillId="0" borderId="1" xfId="1"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0" fontId="22" fillId="2" borderId="15" xfId="0" applyFont="1" applyFill="1" applyBorder="1"/>
    <xf numFmtId="0" fontId="23" fillId="0" borderId="9" xfId="0" applyFont="1" applyBorder="1"/>
    <xf numFmtId="2" fontId="6" fillId="0" borderId="0" xfId="1" applyNumberFormat="1" applyFont="1" applyAlignment="1">
      <alignment horizontal="center" vertical="center"/>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6" fillId="0" borderId="25" xfId="1" applyFont="1" applyBorder="1" applyAlignment="1">
      <alignment horizontal="center"/>
    </xf>
    <xf numFmtId="0" fontId="6" fillId="0" borderId="0" xfId="1" applyFont="1" applyAlignment="1">
      <alignment horizontal="center"/>
    </xf>
    <xf numFmtId="167" fontId="10" fillId="0" borderId="1" xfId="9" applyNumberFormat="1" applyFont="1" applyFill="1" applyBorder="1" applyAlignment="1" applyProtection="1">
      <alignment horizontal="left" vertical="top"/>
      <protection locked="0"/>
    </xf>
    <xf numFmtId="0" fontId="11"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1" fontId="10" fillId="0" borderId="8" xfId="1" applyNumberFormat="1" applyFont="1" applyBorder="1" applyAlignment="1" applyProtection="1">
      <alignment horizontal="center" vertical="center" wrapText="1"/>
      <protection locked="0"/>
    </xf>
    <xf numFmtId="1" fontId="10" fillId="0" borderId="9" xfId="1" applyNumberFormat="1" applyFont="1" applyBorder="1" applyAlignment="1" applyProtection="1">
      <alignment horizontal="center" vertical="center"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0" fontId="11"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10" fillId="0" borderId="4"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4" fontId="5" fillId="0" borderId="1" xfId="1" applyNumberFormat="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10" fillId="0" borderId="1"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20" xfId="1" applyFont="1" applyBorder="1" applyAlignment="1" applyProtection="1">
      <alignment horizontal="left" vertical="top" wrapText="1"/>
      <protection locked="0"/>
    </xf>
    <xf numFmtId="0" fontId="10" fillId="0" borderId="17" xfId="1" applyFont="1" applyBorder="1" applyAlignment="1" applyProtection="1">
      <alignment horizontal="left" vertical="top" wrapText="1"/>
      <protection locked="0"/>
    </xf>
    <xf numFmtId="0" fontId="10" fillId="0" borderId="18" xfId="1" applyFont="1" applyBorder="1" applyAlignment="1" applyProtection="1">
      <alignment horizontal="left" vertical="top" wrapText="1"/>
      <protection locked="0"/>
    </xf>
    <xf numFmtId="0" fontId="10" fillId="0" borderId="19" xfId="1" applyFont="1" applyBorder="1" applyAlignment="1" applyProtection="1">
      <alignment horizontal="left" vertical="top" wrapText="1"/>
      <protection locked="0"/>
    </xf>
    <xf numFmtId="0" fontId="10" fillId="0" borderId="20"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10" fillId="0" borderId="24"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11" fillId="0" borderId="1" xfId="0" applyNumberFormat="1" applyFont="1" applyBorder="1" applyAlignment="1" applyProtection="1">
      <alignment horizontal="center" vertical="top" wrapText="1"/>
      <protection locked="0"/>
    </xf>
    <xf numFmtId="1" fontId="11" fillId="0" borderId="3" xfId="1" applyNumberFormat="1" applyFont="1" applyBorder="1" applyAlignment="1" applyProtection="1">
      <alignment horizontal="center" vertical="top" wrapText="1"/>
      <protection locked="0"/>
    </xf>
    <xf numFmtId="1" fontId="11" fillId="0" borderId="16" xfId="1" applyNumberFormat="1" applyFont="1" applyBorder="1" applyAlignment="1" applyProtection="1">
      <alignment horizontal="center"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9" fillId="0" borderId="1" xfId="0" applyFont="1" applyBorder="1" applyAlignment="1" applyProtection="1">
      <alignment horizontal="center" vertical="center"/>
      <protection locked="0"/>
    </xf>
    <xf numFmtId="1"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6" fillId="0" borderId="5" xfId="1" applyFont="1" applyBorder="1" applyAlignment="1" applyProtection="1">
      <alignment horizontal="center" vertical="top"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 fontId="9" fillId="0" borderId="3" xfId="0" applyNumberFormat="1"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1" fontId="11" fillId="0" borderId="3" xfId="0" applyNumberFormat="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1" fontId="10" fillId="0" borderId="1" xfId="0" applyNumberFormat="1" applyFont="1" applyBorder="1" applyAlignment="1" applyProtection="1">
      <alignment horizontal="center" vertical="center" wrapText="1"/>
      <protection locked="0"/>
    </xf>
    <xf numFmtId="1" fontId="15" fillId="0" borderId="8" xfId="0" applyNumberFormat="1" applyFont="1" applyBorder="1" applyAlignment="1" applyProtection="1">
      <alignment vertical="top" wrapText="1"/>
      <protection locked="0"/>
    </xf>
    <xf numFmtId="1" fontId="15" fillId="0" borderId="21" xfId="0" applyNumberFormat="1" applyFont="1" applyBorder="1" applyAlignment="1" applyProtection="1">
      <alignment vertical="top" wrapText="1"/>
      <protection locked="0"/>
    </xf>
    <xf numFmtId="1" fontId="15" fillId="0" borderId="9" xfId="0" applyNumberFormat="1" applyFont="1" applyBorder="1" applyAlignment="1" applyProtection="1">
      <alignment vertical="top" wrapText="1"/>
      <protection locked="0"/>
    </xf>
    <xf numFmtId="0" fontId="29" fillId="0" borderId="1" xfId="1" applyFont="1" applyBorder="1" applyAlignment="1" applyProtection="1">
      <alignment horizontal="center" vertical="top" wrapText="1"/>
      <protection locked="0"/>
    </xf>
    <xf numFmtId="0" fontId="11" fillId="0" borderId="1" xfId="1" applyFont="1" applyBorder="1" applyAlignment="1" applyProtection="1">
      <alignment horizontal="left" vertical="top"/>
      <protection locked="0"/>
    </xf>
    <xf numFmtId="14" fontId="10"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center" vertical="top"/>
      <protection locked="0"/>
    </xf>
    <xf numFmtId="0" fontId="10" fillId="0" borderId="1" xfId="1" applyFont="1" applyBorder="1" applyAlignment="1" applyProtection="1">
      <alignment horizontal="left"/>
      <protection locked="0"/>
    </xf>
    <xf numFmtId="0" fontId="10" fillId="0" borderId="1" xfId="1" applyFont="1" applyBorder="1" applyAlignment="1" applyProtection="1">
      <alignment horizontal="center"/>
      <protection locked="0"/>
    </xf>
    <xf numFmtId="0" fontId="11" fillId="0" borderId="1" xfId="1" applyFont="1" applyBorder="1" applyAlignment="1" applyProtection="1">
      <alignment horizontal="center"/>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2" fontId="5" fillId="0" borderId="1" xfId="1" applyNumberFormat="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9" fontId="10" fillId="0" borderId="17" xfId="8" applyFont="1" applyFill="1" applyBorder="1" applyAlignment="1" applyProtection="1">
      <alignment horizontal="center" vertical="center" wrapText="1"/>
      <protection locked="0"/>
    </xf>
    <xf numFmtId="9" fontId="10" fillId="0" borderId="18" xfId="8" applyFont="1" applyFill="1" applyBorder="1" applyAlignment="1" applyProtection="1">
      <alignment horizontal="center" vertical="center" wrapText="1"/>
      <protection locked="0"/>
    </xf>
    <xf numFmtId="9" fontId="10" fillId="0" borderId="25" xfId="8" applyFont="1" applyFill="1" applyBorder="1" applyAlignment="1" applyProtection="1">
      <alignment horizontal="center" vertical="center" wrapText="1"/>
      <protection locked="0"/>
    </xf>
    <xf numFmtId="9" fontId="10" fillId="0" borderId="26" xfId="8" applyFont="1" applyFill="1" applyBorder="1" applyAlignment="1" applyProtection="1">
      <alignment horizontal="center" vertical="center" wrapText="1"/>
      <protection locked="0"/>
    </xf>
    <xf numFmtId="9" fontId="10" fillId="0" borderId="28" xfId="8" applyFont="1" applyFill="1" applyBorder="1" applyAlignment="1" applyProtection="1">
      <alignment horizontal="center" vertical="center" wrapText="1"/>
      <protection locked="0"/>
    </xf>
    <xf numFmtId="9" fontId="10" fillId="0" borderId="29" xfId="8" applyFont="1" applyFill="1" applyBorder="1" applyAlignment="1" applyProtection="1">
      <alignment horizontal="center" vertical="center" wrapText="1"/>
      <protection locked="0"/>
    </xf>
    <xf numFmtId="9" fontId="10" fillId="0" borderId="27" xfId="8" applyFont="1" applyFill="1" applyBorder="1" applyAlignment="1" applyProtection="1">
      <alignment horizontal="center" vertical="center" wrapText="1"/>
      <protection locked="0"/>
    </xf>
    <xf numFmtId="9" fontId="10" fillId="0" borderId="10" xfId="8" applyFont="1" applyFill="1" applyBorder="1" applyAlignment="1" applyProtection="1">
      <alignment horizontal="center" vertical="center" wrapText="1"/>
      <protection locked="0"/>
    </xf>
    <xf numFmtId="9" fontId="10" fillId="0" borderId="12" xfId="8" applyFont="1" applyFill="1" applyBorder="1" applyAlignment="1" applyProtection="1">
      <alignment horizontal="center" vertical="center" wrapText="1"/>
      <protection locked="0"/>
    </xf>
    <xf numFmtId="0" fontId="10" fillId="0" borderId="6" xfId="1" applyFont="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1"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11" fillId="0" borderId="4" xfId="1" applyFont="1" applyBorder="1" applyAlignment="1" applyProtection="1">
      <alignment horizontal="left" vertical="top"/>
      <protection locked="0"/>
    </xf>
    <xf numFmtId="0" fontId="6" fillId="0" borderId="0" xfId="1" applyFont="1" applyAlignment="1">
      <alignment horizontal="center" vertical="center"/>
    </xf>
    <xf numFmtId="1" fontId="11" fillId="0" borderId="8"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1" fontId="28" fillId="0" borderId="3" xfId="1" applyNumberFormat="1" applyFont="1" applyBorder="1" applyAlignment="1" applyProtection="1">
      <alignment horizontal="center" vertical="top" wrapText="1"/>
      <protection locked="0"/>
    </xf>
    <xf numFmtId="1" fontId="28" fillId="0" borderId="16" xfId="1" applyNumberFormat="1" applyFont="1" applyBorder="1" applyAlignment="1" applyProtection="1">
      <alignment horizontal="center" vertical="top" wrapText="1"/>
      <protection locked="0"/>
    </xf>
    <xf numFmtId="0" fontId="11" fillId="0" borderId="1" xfId="1" applyFont="1" applyBorder="1" applyAlignment="1" applyProtection="1">
      <alignment horizontal="left" vertical="top" wrapText="1"/>
      <protection locked="0"/>
    </xf>
    <xf numFmtId="0" fontId="11" fillId="0" borderId="5" xfId="1" applyFont="1" applyBorder="1" applyAlignment="1" applyProtection="1">
      <alignment horizontal="left" vertical="top" wrapText="1"/>
      <protection locked="0"/>
    </xf>
    <xf numFmtId="0" fontId="24" fillId="0" borderId="1" xfId="10" applyFill="1" applyBorder="1" applyAlignment="1" applyProtection="1">
      <alignment horizontal="left"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11" fillId="0" borderId="35" xfId="1" applyFont="1" applyBorder="1" applyAlignment="1" applyProtection="1">
      <alignment horizontal="left" vertical="top" wrapText="1"/>
      <protection locked="0"/>
    </xf>
    <xf numFmtId="0" fontId="11" fillId="0" borderId="30" xfId="1" applyFont="1" applyBorder="1" applyAlignment="1" applyProtection="1">
      <alignment horizontal="left" vertical="top" wrapText="1"/>
      <protection locked="0"/>
    </xf>
    <xf numFmtId="0" fontId="11" fillId="0" borderId="31" xfId="1" applyFont="1" applyBorder="1" applyAlignment="1" applyProtection="1">
      <alignment horizontal="left" vertical="top" wrapText="1"/>
      <protection locked="0"/>
    </xf>
    <xf numFmtId="0" fontId="11" fillId="0" borderId="8" xfId="1" applyFont="1" applyBorder="1" applyAlignment="1" applyProtection="1">
      <alignment horizontal="left" vertical="top"/>
      <protection locked="0"/>
    </xf>
    <xf numFmtId="0" fontId="11" fillId="0" borderId="21"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0" fontId="7" fillId="0" borderId="16" xfId="1" applyFont="1" applyBorder="1" applyAlignment="1" applyProtection="1">
      <alignment horizontal="left" vertical="top"/>
      <protection locked="0"/>
    </xf>
    <xf numFmtId="0" fontId="10" fillId="0" borderId="8" xfId="1" applyFont="1" applyBorder="1" applyAlignment="1" applyProtection="1">
      <alignment horizontal="left" vertical="top" wrapText="1"/>
      <protection locked="0"/>
    </xf>
    <xf numFmtId="0" fontId="10" fillId="0" borderId="9" xfId="1" applyFont="1" applyBorder="1" applyAlignment="1" applyProtection="1">
      <alignment horizontal="left"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6" fillId="0" borderId="0" xfId="1" applyNumberFormat="1" applyFont="1" applyAlignment="1">
      <alignment horizontal="center" vertical="center"/>
    </xf>
    <xf numFmtId="1" fontId="7" fillId="0" borderId="3" xfId="0" applyNumberFormat="1" applyFont="1" applyBorder="1" applyAlignment="1" applyProtection="1">
      <alignment horizontal="center" vertical="top" wrapText="1"/>
      <protection locked="0"/>
    </xf>
    <xf numFmtId="1" fontId="11" fillId="0" borderId="3"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top" wrapText="1"/>
      <protection locked="0"/>
    </xf>
    <xf numFmtId="0" fontId="5" fillId="0" borderId="3" xfId="1" applyFont="1" applyBorder="1" applyAlignment="1" applyProtection="1">
      <alignment horizontal="left" vertical="top" wrapText="1"/>
      <protection locked="0"/>
    </xf>
    <xf numFmtId="0" fontId="10" fillId="0" borderId="3" xfId="1" applyFont="1" applyBorder="1" applyAlignment="1" applyProtection="1">
      <alignment horizontal="left" vertical="top" wrapText="1"/>
      <protection locked="0"/>
    </xf>
    <xf numFmtId="0" fontId="10" fillId="0" borderId="5" xfId="1" applyFont="1" applyBorder="1" applyAlignment="1" applyProtection="1">
      <alignment horizontal="center" vertical="top" wrapText="1"/>
      <protection locked="0"/>
    </xf>
    <xf numFmtId="0" fontId="7" fillId="0" borderId="16" xfId="1" applyFont="1" applyBorder="1" applyAlignment="1" applyProtection="1">
      <alignment horizontal="center" vertical="top"/>
      <protection locked="0"/>
    </xf>
    <xf numFmtId="1" fontId="11" fillId="5" borderId="8" xfId="1" applyNumberFormat="1" applyFont="1" applyFill="1" applyBorder="1" applyAlignment="1" applyProtection="1">
      <alignment horizontal="center" vertical="center" wrapText="1"/>
      <protection locked="0"/>
    </xf>
    <xf numFmtId="1" fontId="11" fillId="5" borderId="21" xfId="1" applyNumberFormat="1" applyFont="1" applyFill="1" applyBorder="1" applyAlignment="1" applyProtection="1">
      <alignment horizontal="center" vertical="center" wrapText="1"/>
      <protection locked="0"/>
    </xf>
    <xf numFmtId="1" fontId="11" fillId="5" borderId="9" xfId="1" applyNumberFormat="1" applyFont="1" applyFill="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1" fontId="10" fillId="0" borderId="21" xfId="1" applyNumberFormat="1" applyFont="1" applyBorder="1" applyAlignment="1" applyProtection="1">
      <alignment horizontal="center" vertical="center" wrapText="1"/>
      <protection locked="0"/>
    </xf>
    <xf numFmtId="0" fontId="11" fillId="0" borderId="16" xfId="1" applyFont="1" applyBorder="1" applyAlignment="1" applyProtection="1">
      <alignment horizontal="center" vertical="top"/>
      <protection locked="0"/>
    </xf>
    <xf numFmtId="1" fontId="11" fillId="0" borderId="17" xfId="1" applyNumberFormat="1" applyFont="1" applyBorder="1" applyAlignment="1" applyProtection="1">
      <alignment horizontal="center" vertical="top" wrapText="1"/>
      <protection locked="0"/>
    </xf>
    <xf numFmtId="1" fontId="11" fillId="0" borderId="19" xfId="1" applyNumberFormat="1" applyFont="1" applyBorder="1" applyAlignment="1" applyProtection="1">
      <alignment horizontal="center"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1" fontId="9" fillId="0" borderId="33" xfId="0" applyNumberFormat="1"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1" fontId="9" fillId="0" borderId="33" xfId="0" applyNumberFormat="1" applyFont="1" applyBorder="1" applyAlignment="1" applyProtection="1">
      <alignment horizontal="center" vertical="top" wrapText="1"/>
      <protection locked="0"/>
    </xf>
    <xf numFmtId="1" fontId="7" fillId="5" borderId="8" xfId="1" applyNumberFormat="1" applyFont="1" applyFill="1" applyBorder="1" applyAlignment="1" applyProtection="1">
      <alignment horizontal="center" vertical="center" wrapText="1"/>
      <protection locked="0"/>
    </xf>
    <xf numFmtId="1" fontId="7" fillId="5" borderId="21" xfId="1" applyNumberFormat="1" applyFont="1" applyFill="1" applyBorder="1" applyAlignment="1" applyProtection="1">
      <alignment horizontal="center" vertical="center" wrapText="1"/>
      <protection locked="0"/>
    </xf>
    <xf numFmtId="1" fontId="7" fillId="5" borderId="9" xfId="1" applyNumberFormat="1" applyFont="1" applyFill="1" applyBorder="1" applyAlignment="1" applyProtection="1">
      <alignment horizontal="center" vertical="center" wrapText="1"/>
      <protection locked="0"/>
    </xf>
    <xf numFmtId="1" fontId="11" fillId="0" borderId="8" xfId="0" applyNumberFormat="1" applyFont="1" applyBorder="1" applyAlignment="1" applyProtection="1">
      <alignment vertical="top" wrapText="1"/>
      <protection locked="0"/>
    </xf>
    <xf numFmtId="1" fontId="11" fillId="0" borderId="21" xfId="0" applyNumberFormat="1" applyFont="1" applyBorder="1" applyAlignment="1" applyProtection="1">
      <alignment vertical="top" wrapText="1"/>
      <protection locked="0"/>
    </xf>
    <xf numFmtId="1" fontId="11"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xdr:from>
      <xdr:col>0</xdr:col>
      <xdr:colOff>596900</xdr:colOff>
      <xdr:row>375</xdr:row>
      <xdr:rowOff>57150</xdr:rowOff>
    </xdr:from>
    <xdr:to>
      <xdr:col>7</xdr:col>
      <xdr:colOff>142200</xdr:colOff>
      <xdr:row>415</xdr:row>
      <xdr:rowOff>0</xdr:rowOff>
    </xdr:to>
    <xdr:grpSp>
      <xdr:nvGrpSpPr>
        <xdr:cNvPr id="22" name="Group 21">
          <a:extLst>
            <a:ext uri="{FF2B5EF4-FFF2-40B4-BE49-F238E27FC236}">
              <a16:creationId xmlns:a16="http://schemas.microsoft.com/office/drawing/2014/main" id="{00000000-0008-0000-0000-000016000000}"/>
            </a:ext>
          </a:extLst>
        </xdr:cNvPr>
        <xdr:cNvGrpSpPr/>
      </xdr:nvGrpSpPr>
      <xdr:grpSpPr>
        <a:xfrm>
          <a:off x="596900" y="75601830"/>
          <a:ext cx="5306020" cy="7867650"/>
          <a:chOff x="596900" y="69951600"/>
          <a:chExt cx="5126950" cy="8093734"/>
        </a:xfrm>
      </xdr:grpSpPr>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596900" y="69951600"/>
            <a:ext cx="5126950" cy="3823960"/>
          </a:xfrm>
          <a:prstGeom prst="rect">
            <a:avLst/>
          </a:prstGeom>
          <a:ln>
            <a:solidFill>
              <a:schemeClr val="tx1"/>
            </a:solidFill>
          </a:ln>
        </xdr:spPr>
      </xdr:pic>
      <xdr:grpSp>
        <xdr:nvGrpSpPr>
          <xdr:cNvPr id="20" name="Group 19">
            <a:extLst>
              <a:ext uri="{FF2B5EF4-FFF2-40B4-BE49-F238E27FC236}">
                <a16:creationId xmlns:a16="http://schemas.microsoft.com/office/drawing/2014/main" id="{00000000-0008-0000-0000-000014000000}"/>
              </a:ext>
            </a:extLst>
          </xdr:cNvPr>
          <xdr:cNvGrpSpPr/>
        </xdr:nvGrpSpPr>
        <xdr:grpSpPr>
          <a:xfrm>
            <a:off x="596900" y="73910693"/>
            <a:ext cx="5126950" cy="4134641"/>
            <a:chOff x="596900" y="73910693"/>
            <a:chExt cx="5126950" cy="4134641"/>
          </a:xfrm>
        </xdr:grpSpPr>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596900" y="73910693"/>
              <a:ext cx="5126950" cy="4134641"/>
            </a:xfrm>
            <a:prstGeom prst="rect">
              <a:avLst/>
            </a:prstGeom>
            <a:ln>
              <a:solidFill>
                <a:schemeClr val="tx1"/>
              </a:solidFill>
            </a:ln>
          </xdr:spPr>
        </xdr:pic>
        <xdr:sp macro="" textlink="">
          <xdr:nvSpPr>
            <xdr:cNvPr id="5" name="Rectangle 4">
              <a:extLst>
                <a:ext uri="{FF2B5EF4-FFF2-40B4-BE49-F238E27FC236}">
                  <a16:creationId xmlns:a16="http://schemas.microsoft.com/office/drawing/2014/main" id="{00000000-0008-0000-0000-000005000000}"/>
                </a:ext>
              </a:extLst>
            </xdr:cNvPr>
            <xdr:cNvSpPr/>
          </xdr:nvSpPr>
          <xdr:spPr>
            <a:xfrm rot="957162">
              <a:off x="2411070" y="75879475"/>
              <a:ext cx="660117" cy="915158"/>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grpSp>
    </xdr:grpSp>
    <xdr:clientData/>
  </xdr:twoCellAnchor>
  <xdr:twoCellAnchor>
    <xdr:from>
      <xdr:col>1</xdr:col>
      <xdr:colOff>615950</xdr:colOff>
      <xdr:row>333</xdr:row>
      <xdr:rowOff>63500</xdr:rowOff>
    </xdr:from>
    <xdr:to>
      <xdr:col>6</xdr:col>
      <xdr:colOff>204126</xdr:colOff>
      <xdr:row>372</xdr:row>
      <xdr:rowOff>154264</xdr:rowOff>
    </xdr:to>
    <xdr:grpSp>
      <xdr:nvGrpSpPr>
        <xdr:cNvPr id="25" name="Group 24">
          <a:extLst>
            <a:ext uri="{FF2B5EF4-FFF2-40B4-BE49-F238E27FC236}">
              <a16:creationId xmlns:a16="http://schemas.microsoft.com/office/drawing/2014/main" id="{00000000-0008-0000-0000-000019000000}"/>
            </a:ext>
          </a:extLst>
        </xdr:cNvPr>
        <xdr:cNvGrpSpPr/>
      </xdr:nvGrpSpPr>
      <xdr:grpSpPr>
        <a:xfrm>
          <a:off x="1400810" y="67287140"/>
          <a:ext cx="3809656" cy="7817444"/>
          <a:chOff x="1377950" y="61356875"/>
          <a:chExt cx="3674401" cy="7891739"/>
        </a:xfrm>
      </xdr:grpSpPr>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1966589" y="66324164"/>
            <a:ext cx="2535222" cy="2924450"/>
          </a:xfrm>
          <a:prstGeom prst="rect">
            <a:avLst/>
          </a:prstGeom>
          <a:ln>
            <a:solidFill>
              <a:schemeClr val="tx1"/>
            </a:solidFill>
          </a:ln>
        </xdr:spPr>
      </xdr:pic>
      <xdr:grpSp>
        <xdr:nvGrpSpPr>
          <xdr:cNvPr id="23" name="Group 22">
            <a:extLst>
              <a:ext uri="{FF2B5EF4-FFF2-40B4-BE49-F238E27FC236}">
                <a16:creationId xmlns:a16="http://schemas.microsoft.com/office/drawing/2014/main" id="{00000000-0008-0000-0000-000017000000}"/>
              </a:ext>
            </a:extLst>
          </xdr:cNvPr>
          <xdr:cNvGrpSpPr/>
        </xdr:nvGrpSpPr>
        <xdr:grpSpPr>
          <a:xfrm>
            <a:off x="1377950" y="61356875"/>
            <a:ext cx="3674401" cy="4756200"/>
            <a:chOff x="1377950" y="61356875"/>
            <a:chExt cx="3674401" cy="4756200"/>
          </a:xfrm>
        </xdr:grpSpPr>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stretch>
              <a:fillRect/>
            </a:stretch>
          </xdr:blipFill>
          <xdr:spPr>
            <a:xfrm>
              <a:off x="1377950" y="61356875"/>
              <a:ext cx="3674401" cy="4756200"/>
            </a:xfrm>
            <a:prstGeom prst="rect">
              <a:avLst/>
            </a:prstGeom>
            <a:ln>
              <a:solidFill>
                <a:schemeClr val="tx1"/>
              </a:solidFill>
            </a:ln>
          </xdr:spPr>
        </xdr:pic>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4225925" y="61439425"/>
              <a:ext cx="596574" cy="26456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Wing A</a:t>
              </a:r>
            </a:p>
          </xdr:txBody>
        </xdr:sp>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1936750" y="61464825"/>
              <a:ext cx="596574" cy="26456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Wing B</a:t>
              </a:r>
            </a:p>
          </xdr:txBody>
        </xdr:sp>
        <xdr:cxnSp macro="">
          <xdr:nvCxnSpPr>
            <xdr:cNvPr id="21" name="Straight Arrow Connector 20">
              <a:extLst>
                <a:ext uri="{FF2B5EF4-FFF2-40B4-BE49-F238E27FC236}">
                  <a16:creationId xmlns:a16="http://schemas.microsoft.com/office/drawing/2014/main" id="{00000000-0008-0000-0000-000015000000}"/>
                </a:ext>
              </a:extLst>
            </xdr:cNvPr>
            <xdr:cNvCxnSpPr>
              <a:stCxn id="19" idx="2"/>
            </xdr:cNvCxnSpPr>
          </xdr:nvCxnSpPr>
          <xdr:spPr>
            <a:xfrm>
              <a:off x="2235037" y="61735735"/>
              <a:ext cx="447838" cy="105306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xnSp macro="">
          <xdr:nvCxnSpPr>
            <xdr:cNvPr id="24" name="Straight Arrow Connector 23">
              <a:extLst>
                <a:ext uri="{FF2B5EF4-FFF2-40B4-BE49-F238E27FC236}">
                  <a16:creationId xmlns:a16="http://schemas.microsoft.com/office/drawing/2014/main" id="{00000000-0008-0000-0000-000018000000}"/>
                </a:ext>
              </a:extLst>
            </xdr:cNvPr>
            <xdr:cNvCxnSpPr>
              <a:stCxn id="18" idx="2"/>
            </xdr:cNvCxnSpPr>
          </xdr:nvCxnSpPr>
          <xdr:spPr>
            <a:xfrm flipH="1">
              <a:off x="4244975" y="61710335"/>
              <a:ext cx="279237" cy="82129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grpSp>
    </xdr:grpSp>
    <xdr:clientData/>
  </xdr:twoCellAnchor>
  <xdr:twoCellAnchor editAs="oneCell">
    <xdr:from>
      <xdr:col>8</xdr:col>
      <xdr:colOff>361950</xdr:colOff>
      <xdr:row>15</xdr:row>
      <xdr:rowOff>69850</xdr:rowOff>
    </xdr:from>
    <xdr:to>
      <xdr:col>13</xdr:col>
      <xdr:colOff>273672</xdr:colOff>
      <xdr:row>20</xdr:row>
      <xdr:rowOff>111363</xdr:rowOff>
    </xdr:to>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5"/>
        <a:stretch>
          <a:fillRect/>
        </a:stretch>
      </xdr:blipFill>
      <xdr:spPr>
        <a:xfrm>
          <a:off x="6985000" y="3422650"/>
          <a:ext cx="4458322" cy="1705213"/>
        </a:xfrm>
        <a:prstGeom prst="rect">
          <a:avLst/>
        </a:prstGeom>
        <a:ln>
          <a:solidFill>
            <a:schemeClr val="tx1"/>
          </a:solidFill>
        </a:ln>
      </xdr:spPr>
    </xdr:pic>
    <xdr:clientData/>
  </xdr:twoCellAnchor>
  <xdr:twoCellAnchor editAs="oneCell">
    <xdr:from>
      <xdr:col>8</xdr:col>
      <xdr:colOff>158750</xdr:colOff>
      <xdr:row>49</xdr:row>
      <xdr:rowOff>31750</xdr:rowOff>
    </xdr:from>
    <xdr:to>
      <xdr:col>13</xdr:col>
      <xdr:colOff>292150</xdr:colOff>
      <xdr:row>49</xdr:row>
      <xdr:rowOff>341274</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6"/>
        <a:stretch>
          <a:fillRect/>
        </a:stretch>
      </xdr:blipFill>
      <xdr:spPr>
        <a:xfrm>
          <a:off x="6781800" y="11207750"/>
          <a:ext cx="4680000" cy="309524"/>
        </a:xfrm>
        <a:prstGeom prst="rect">
          <a:avLst/>
        </a:prstGeom>
        <a:ln>
          <a:solidFill>
            <a:sysClr val="windowText" lastClr="000000"/>
          </a:solidFill>
        </a:ln>
      </xdr:spPr>
    </xdr:pic>
    <xdr:clientData/>
  </xdr:twoCellAnchor>
  <xdr:twoCellAnchor>
    <xdr:from>
      <xdr:col>9</xdr:col>
      <xdr:colOff>123190</xdr:colOff>
      <xdr:row>290</xdr:row>
      <xdr:rowOff>170180</xdr:rowOff>
    </xdr:from>
    <xdr:to>
      <xdr:col>16</xdr:col>
      <xdr:colOff>351532</xdr:colOff>
      <xdr:row>322</xdr:row>
      <xdr:rowOff>129906</xdr:rowOff>
    </xdr:to>
    <xdr:grpSp>
      <xdr:nvGrpSpPr>
        <xdr:cNvPr id="27" name="Group 26">
          <a:extLst>
            <a:ext uri="{FF2B5EF4-FFF2-40B4-BE49-F238E27FC236}">
              <a16:creationId xmlns:a16="http://schemas.microsoft.com/office/drawing/2014/main" id="{00000000-0008-0000-0000-00001B000000}"/>
            </a:ext>
          </a:extLst>
        </xdr:cNvPr>
        <xdr:cNvGrpSpPr/>
      </xdr:nvGrpSpPr>
      <xdr:grpSpPr>
        <a:xfrm>
          <a:off x="7834630" y="58882280"/>
          <a:ext cx="5996682" cy="6291946"/>
          <a:chOff x="357512" y="137046"/>
          <a:chExt cx="6090662" cy="6252576"/>
        </a:xfrm>
      </xdr:grpSpPr>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367175" y="4229622"/>
            <a:ext cx="1617750" cy="2160000"/>
          </a:xfrm>
          <a:prstGeom prst="rect">
            <a:avLst/>
          </a:prstGeom>
          <a:ln>
            <a:solidFill>
              <a:schemeClr val="tx1"/>
            </a:solidFill>
          </a:ln>
        </xdr:spPr>
      </xdr:pic>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357512" y="137046"/>
            <a:ext cx="2965875" cy="3960000"/>
          </a:xfrm>
          <a:prstGeom prst="rect">
            <a:avLst/>
          </a:prstGeom>
          <a:ln>
            <a:solidFill>
              <a:schemeClr val="tx1"/>
            </a:solidFill>
          </a:ln>
        </xdr:spPr>
      </xdr:pic>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482299" y="137046"/>
            <a:ext cx="2965875" cy="3960000"/>
          </a:xfrm>
          <a:prstGeom prst="rect">
            <a:avLst/>
          </a:prstGeom>
          <a:ln>
            <a:solidFill>
              <a:schemeClr val="tx1"/>
            </a:solidFill>
          </a:ln>
        </xdr:spPr>
      </xdr:pic>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849001" y="4229622"/>
            <a:ext cx="1617750" cy="2160000"/>
          </a:xfrm>
          <a:prstGeom prst="rect">
            <a:avLst/>
          </a:prstGeom>
          <a:ln>
            <a:solidFill>
              <a:schemeClr val="tx1"/>
            </a:solidFill>
          </a:ln>
        </xdr:spPr>
      </xdr:pic>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608088" y="4229622"/>
            <a:ext cx="1617750" cy="2160000"/>
          </a:xfrm>
          <a:prstGeom prst="rect">
            <a:avLst/>
          </a:prstGeom>
          <a:ln>
            <a:solidFill>
              <a:schemeClr val="tx1"/>
            </a:solidFill>
          </a:ln>
        </xdr:spPr>
      </xdr:pic>
    </xdr:grpSp>
    <xdr:clientData/>
  </xdr:twoCellAnchor>
  <xdr:twoCellAnchor editAs="oneCell">
    <xdr:from>
      <xdr:col>8</xdr:col>
      <xdr:colOff>679450</xdr:colOff>
      <xdr:row>148</xdr:row>
      <xdr:rowOff>44451</xdr:rowOff>
    </xdr:from>
    <xdr:to>
      <xdr:col>12</xdr:col>
      <xdr:colOff>558350</xdr:colOff>
      <xdr:row>155</xdr:row>
      <xdr:rowOff>419390</xdr:rowOff>
    </xdr:to>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2"/>
        <a:stretch>
          <a:fillRect/>
        </a:stretch>
      </xdr:blipFill>
      <xdr:spPr>
        <a:xfrm>
          <a:off x="7302500" y="24599901"/>
          <a:ext cx="3600000" cy="3384839"/>
        </a:xfrm>
        <a:prstGeom prst="rect">
          <a:avLst/>
        </a:prstGeom>
        <a:ln>
          <a:solidFill>
            <a:schemeClr val="tx1"/>
          </a:solidFill>
        </a:ln>
      </xdr:spPr>
    </xdr:pic>
    <xdr:clientData/>
  </xdr:twoCellAnchor>
  <xdr:twoCellAnchor editAs="oneCell">
    <xdr:from>
      <xdr:col>10</xdr:col>
      <xdr:colOff>2957</xdr:colOff>
      <xdr:row>168</xdr:row>
      <xdr:rowOff>323850</xdr:rowOff>
    </xdr:from>
    <xdr:to>
      <xdr:col>14</xdr:col>
      <xdr:colOff>114806</xdr:colOff>
      <xdr:row>184</xdr:row>
      <xdr:rowOff>133685</xdr:rowOff>
    </xdr:to>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rotWithShape="1">
        <a:blip xmlns:r="http://schemas.openxmlformats.org/officeDocument/2006/relationships" r:embed="rId13"/>
        <a:srcRect t="-1" r="51174" b="-675"/>
        <a:stretch/>
      </xdr:blipFill>
      <xdr:spPr>
        <a:xfrm>
          <a:off x="8645307" y="32639000"/>
          <a:ext cx="3515449" cy="3359485"/>
        </a:xfrm>
        <a:prstGeom prst="rect">
          <a:avLst/>
        </a:prstGeom>
        <a:ln>
          <a:solidFill>
            <a:schemeClr val="tx1"/>
          </a:solidFill>
        </a:ln>
      </xdr:spPr>
    </xdr:pic>
    <xdr:clientData/>
  </xdr:twoCellAnchor>
  <xdr:twoCellAnchor editAs="oneCell">
    <xdr:from>
      <xdr:col>9</xdr:col>
      <xdr:colOff>127000</xdr:colOff>
      <xdr:row>221</xdr:row>
      <xdr:rowOff>38100</xdr:rowOff>
    </xdr:from>
    <xdr:to>
      <xdr:col>13</xdr:col>
      <xdr:colOff>559306</xdr:colOff>
      <xdr:row>238</xdr:row>
      <xdr:rowOff>51135</xdr:rowOff>
    </xdr:to>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rotWithShape="1">
        <a:blip xmlns:r="http://schemas.openxmlformats.org/officeDocument/2006/relationships" r:embed="rId13"/>
        <a:srcRect l="47782" t="-1" b="-675"/>
        <a:stretch/>
      </xdr:blipFill>
      <xdr:spPr>
        <a:xfrm>
          <a:off x="7969250" y="44227750"/>
          <a:ext cx="3759706" cy="3359485"/>
        </a:xfrm>
        <a:prstGeom prst="rect">
          <a:avLst/>
        </a:prstGeom>
        <a:ln>
          <a:solidFill>
            <a:schemeClr val="tx1"/>
          </a:solidFill>
        </a:ln>
      </xdr:spPr>
    </xdr:pic>
    <xdr:clientData/>
  </xdr:twoCellAnchor>
  <xdr:twoCellAnchor editAs="oneCell">
    <xdr:from>
      <xdr:col>8</xdr:col>
      <xdr:colOff>749300</xdr:colOff>
      <xdr:row>264</xdr:row>
      <xdr:rowOff>139700</xdr:rowOff>
    </xdr:from>
    <xdr:to>
      <xdr:col>12</xdr:col>
      <xdr:colOff>628200</xdr:colOff>
      <xdr:row>278</xdr:row>
      <xdr:rowOff>159268</xdr:rowOff>
    </xdr:to>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4"/>
        <a:stretch>
          <a:fillRect/>
        </a:stretch>
      </xdr:blipFill>
      <xdr:spPr>
        <a:xfrm>
          <a:off x="7372350" y="52006500"/>
          <a:ext cx="3600000" cy="2781818"/>
        </a:xfrm>
        <a:prstGeom prst="rect">
          <a:avLst/>
        </a:prstGeom>
        <a:ln>
          <a:solidFill>
            <a:schemeClr val="tx1"/>
          </a:solidFill>
        </a:ln>
      </xdr:spPr>
    </xdr:pic>
    <xdr:clientData/>
  </xdr:twoCellAnchor>
  <xdr:twoCellAnchor>
    <xdr:from>
      <xdr:col>0</xdr:col>
      <xdr:colOff>274320</xdr:colOff>
      <xdr:row>292</xdr:row>
      <xdr:rowOff>7620</xdr:rowOff>
    </xdr:from>
    <xdr:to>
      <xdr:col>7</xdr:col>
      <xdr:colOff>454419</xdr:colOff>
      <xdr:row>325</xdr:row>
      <xdr:rowOff>39753</xdr:rowOff>
    </xdr:to>
    <xdr:grpSp>
      <xdr:nvGrpSpPr>
        <xdr:cNvPr id="2" name="Group 1">
          <a:extLst>
            <a:ext uri="{FF2B5EF4-FFF2-40B4-BE49-F238E27FC236}">
              <a16:creationId xmlns:a16="http://schemas.microsoft.com/office/drawing/2014/main" id="{11A3D1A1-497D-4780-CA9F-C77E725BC1A4}"/>
            </a:ext>
          </a:extLst>
        </xdr:cNvPr>
        <xdr:cNvGrpSpPr/>
      </xdr:nvGrpSpPr>
      <xdr:grpSpPr>
        <a:xfrm>
          <a:off x="274320" y="59115960"/>
          <a:ext cx="5940819" cy="6562473"/>
          <a:chOff x="368181" y="176829"/>
          <a:chExt cx="5940819" cy="6562473"/>
        </a:xfrm>
      </xdr:grpSpPr>
      <xdr:pic>
        <xdr:nvPicPr>
          <xdr:cNvPr id="8" name="Picture 7">
            <a:extLst>
              <a:ext uri="{FF2B5EF4-FFF2-40B4-BE49-F238E27FC236}">
                <a16:creationId xmlns:a16="http://schemas.microsoft.com/office/drawing/2014/main" id="{CAB27253-8079-31BF-B851-1CE38BC8C95F}"/>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3429000" y="176829"/>
            <a:ext cx="2880000" cy="3840000"/>
          </a:xfrm>
          <a:prstGeom prst="rect">
            <a:avLst/>
          </a:prstGeom>
          <a:ln>
            <a:solidFill>
              <a:schemeClr val="tx1"/>
            </a:solidFill>
          </a:ln>
        </xdr:spPr>
      </xdr:pic>
      <xdr:pic>
        <xdr:nvPicPr>
          <xdr:cNvPr id="9" name="Picture 8">
            <a:extLst>
              <a:ext uri="{FF2B5EF4-FFF2-40B4-BE49-F238E27FC236}">
                <a16:creationId xmlns:a16="http://schemas.microsoft.com/office/drawing/2014/main" id="{49751FF0-34CA-03D9-B194-C9BAFC0FA143}"/>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368181" y="176829"/>
            <a:ext cx="2880000" cy="3840000"/>
          </a:xfrm>
          <a:prstGeom prst="rect">
            <a:avLst/>
          </a:prstGeom>
          <a:ln>
            <a:solidFill>
              <a:schemeClr val="tx1"/>
            </a:solidFill>
          </a:ln>
        </xdr:spPr>
      </xdr:pic>
      <xdr:pic>
        <xdr:nvPicPr>
          <xdr:cNvPr id="10" name="Picture 9">
            <a:extLst>
              <a:ext uri="{FF2B5EF4-FFF2-40B4-BE49-F238E27FC236}">
                <a16:creationId xmlns:a16="http://schemas.microsoft.com/office/drawing/2014/main" id="{EB160251-BF2D-C3AF-5622-166C2A17195B}"/>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3429000" y="4219302"/>
            <a:ext cx="1890000" cy="2520000"/>
          </a:xfrm>
          <a:prstGeom prst="rect">
            <a:avLst/>
          </a:prstGeom>
          <a:ln>
            <a:solidFill>
              <a:schemeClr val="tx1"/>
            </a:solidFill>
          </a:ln>
        </xdr:spPr>
      </xdr:pic>
      <xdr:pic>
        <xdr:nvPicPr>
          <xdr:cNvPr id="11" name="Picture 10">
            <a:extLst>
              <a:ext uri="{FF2B5EF4-FFF2-40B4-BE49-F238E27FC236}">
                <a16:creationId xmlns:a16="http://schemas.microsoft.com/office/drawing/2014/main" id="{90739442-182F-180A-75EB-3920F186A9A7}"/>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1358181" y="4219302"/>
            <a:ext cx="1890000" cy="252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186765</xdr:colOff>
      <xdr:row>14</xdr:row>
      <xdr:rowOff>112059</xdr:rowOff>
    </xdr:from>
    <xdr:to>
      <xdr:col>5</xdr:col>
      <xdr:colOff>216824</xdr:colOff>
      <xdr:row>28</xdr:row>
      <xdr:rowOff>129656</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799353" y="2808941"/>
          <a:ext cx="5760000" cy="2647244"/>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cCougz7Jx7vEx4fj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375"/>
  <sheetViews>
    <sheetView tabSelected="1" view="pageBreakPreview" zoomScaleNormal="100" zoomScaleSheetLayoutView="100" zoomScalePageLayoutView="85" workbookViewId="0">
      <selection activeCell="I7" sqref="I7"/>
    </sheetView>
  </sheetViews>
  <sheetFormatPr defaultColWidth="9.21875" defaultRowHeight="15.6" x14ac:dyDescent="0.3"/>
  <cols>
    <col min="1" max="1" width="11.44140625" style="40" customWidth="1"/>
    <col min="2" max="2" width="12" style="40" customWidth="1"/>
    <col min="3" max="3" width="12.77734375" style="40" customWidth="1"/>
    <col min="4" max="4" width="13.77734375" style="40" customWidth="1"/>
    <col min="5" max="5" width="11.77734375" style="40" customWidth="1"/>
    <col min="6" max="6" width="11.21875" style="40" customWidth="1"/>
    <col min="7" max="8" width="11" style="40" customWidth="1"/>
    <col min="9" max="9" width="17.44140625" style="21" customWidth="1"/>
    <col min="10" max="10" width="11.44140625" style="21" customWidth="1"/>
    <col min="11" max="11" width="10.5546875" style="21" bestFit="1" customWidth="1"/>
    <col min="12" max="12" width="13.77734375" style="21" bestFit="1" customWidth="1"/>
    <col min="13" max="13" width="11.77734375" style="21" customWidth="1"/>
    <col min="14" max="14" width="12.5546875" style="21" customWidth="1"/>
    <col min="15" max="15" width="12.21875" style="21" customWidth="1"/>
    <col min="16" max="16" width="11.77734375" style="21" customWidth="1"/>
    <col min="17" max="18" width="9.21875" style="21"/>
    <col min="19" max="19" width="10.77734375" style="21" bestFit="1" customWidth="1"/>
    <col min="20" max="20" width="10.77734375" style="21" customWidth="1"/>
    <col min="21" max="247" width="9.21875" style="21"/>
    <col min="248" max="248" width="8.77734375" style="21" customWidth="1"/>
    <col min="249" max="249" width="9.77734375" style="21" customWidth="1"/>
    <col min="250" max="250" width="14.44140625" style="21" customWidth="1"/>
    <col min="251" max="251" width="7.21875" style="21" customWidth="1"/>
    <col min="252" max="252" width="5.5546875" style="21" customWidth="1"/>
    <col min="253" max="253" width="9" style="21" customWidth="1"/>
    <col min="254" max="255" width="9.77734375" style="21" customWidth="1"/>
    <col min="256" max="256" width="11.21875" style="21" customWidth="1"/>
    <col min="257" max="257" width="2.77734375" style="21" customWidth="1"/>
    <col min="258" max="258" width="3.5546875" style="21" customWidth="1"/>
    <col min="259" max="503" width="9.21875" style="21"/>
    <col min="504" max="504" width="8.77734375" style="21" customWidth="1"/>
    <col min="505" max="505" width="9.77734375" style="21" customWidth="1"/>
    <col min="506" max="506" width="14.44140625" style="21" customWidth="1"/>
    <col min="507" max="507" width="7.21875" style="21" customWidth="1"/>
    <col min="508" max="508" width="5.5546875" style="21" customWidth="1"/>
    <col min="509" max="509" width="9" style="21" customWidth="1"/>
    <col min="510" max="511" width="9.77734375" style="21" customWidth="1"/>
    <col min="512" max="512" width="11.21875" style="21" customWidth="1"/>
    <col min="513" max="513" width="2.77734375" style="21" customWidth="1"/>
    <col min="514" max="514" width="3.5546875" style="21" customWidth="1"/>
    <col min="515" max="759" width="9.21875" style="21"/>
    <col min="760" max="760" width="8.77734375" style="21" customWidth="1"/>
    <col min="761" max="761" width="9.77734375" style="21" customWidth="1"/>
    <col min="762" max="762" width="14.44140625" style="21" customWidth="1"/>
    <col min="763" max="763" width="7.21875" style="21" customWidth="1"/>
    <col min="764" max="764" width="5.5546875" style="21" customWidth="1"/>
    <col min="765" max="765" width="9" style="21" customWidth="1"/>
    <col min="766" max="767" width="9.77734375" style="21" customWidth="1"/>
    <col min="768" max="768" width="11.21875" style="21" customWidth="1"/>
    <col min="769" max="769" width="2.77734375" style="21" customWidth="1"/>
    <col min="770" max="770" width="3.5546875" style="21" customWidth="1"/>
    <col min="771" max="1015" width="9.21875" style="21"/>
    <col min="1016" max="1016" width="8.77734375" style="21" customWidth="1"/>
    <col min="1017" max="1017" width="9.77734375" style="21" customWidth="1"/>
    <col min="1018" max="1018" width="14.44140625" style="21" customWidth="1"/>
    <col min="1019" max="1019" width="7.21875" style="21" customWidth="1"/>
    <col min="1020" max="1020" width="5.5546875" style="21" customWidth="1"/>
    <col min="1021" max="1021" width="9" style="21" customWidth="1"/>
    <col min="1022" max="1023" width="9.77734375" style="21" customWidth="1"/>
    <col min="1024" max="1024" width="11.21875" style="21" customWidth="1"/>
    <col min="1025" max="1025" width="2.77734375" style="21" customWidth="1"/>
    <col min="1026" max="1026" width="3.5546875" style="21" customWidth="1"/>
    <col min="1027" max="1271" width="9.21875" style="21"/>
    <col min="1272" max="1272" width="8.77734375" style="21" customWidth="1"/>
    <col min="1273" max="1273" width="9.77734375" style="21" customWidth="1"/>
    <col min="1274" max="1274" width="14.44140625" style="21" customWidth="1"/>
    <col min="1275" max="1275" width="7.21875" style="21" customWidth="1"/>
    <col min="1276" max="1276" width="5.5546875" style="21" customWidth="1"/>
    <col min="1277" max="1277" width="9" style="21" customWidth="1"/>
    <col min="1278" max="1279" width="9.77734375" style="21" customWidth="1"/>
    <col min="1280" max="1280" width="11.21875" style="21" customWidth="1"/>
    <col min="1281" max="1281" width="2.77734375" style="21" customWidth="1"/>
    <col min="1282" max="1282" width="3.5546875" style="21" customWidth="1"/>
    <col min="1283" max="1527" width="9.21875" style="21"/>
    <col min="1528" max="1528" width="8.77734375" style="21" customWidth="1"/>
    <col min="1529" max="1529" width="9.77734375" style="21" customWidth="1"/>
    <col min="1530" max="1530" width="14.44140625" style="21" customWidth="1"/>
    <col min="1531" max="1531" width="7.21875" style="21" customWidth="1"/>
    <col min="1532" max="1532" width="5.5546875" style="21" customWidth="1"/>
    <col min="1533" max="1533" width="9" style="21" customWidth="1"/>
    <col min="1534" max="1535" width="9.77734375" style="21" customWidth="1"/>
    <col min="1536" max="1536" width="11.21875" style="21" customWidth="1"/>
    <col min="1537" max="1537" width="2.77734375" style="21" customWidth="1"/>
    <col min="1538" max="1538" width="3.5546875" style="21" customWidth="1"/>
    <col min="1539" max="1783" width="9.21875" style="21"/>
    <col min="1784" max="1784" width="8.77734375" style="21" customWidth="1"/>
    <col min="1785" max="1785" width="9.77734375" style="21" customWidth="1"/>
    <col min="1786" max="1786" width="14.44140625" style="21" customWidth="1"/>
    <col min="1787" max="1787" width="7.21875" style="21" customWidth="1"/>
    <col min="1788" max="1788" width="5.5546875" style="21" customWidth="1"/>
    <col min="1789" max="1789" width="9" style="21" customWidth="1"/>
    <col min="1790" max="1791" width="9.77734375" style="21" customWidth="1"/>
    <col min="1792" max="1792" width="11.21875" style="21" customWidth="1"/>
    <col min="1793" max="1793" width="2.77734375" style="21" customWidth="1"/>
    <col min="1794" max="1794" width="3.5546875" style="21" customWidth="1"/>
    <col min="1795" max="2039" width="9.21875" style="21"/>
    <col min="2040" max="2040" width="8.77734375" style="21" customWidth="1"/>
    <col min="2041" max="2041" width="9.77734375" style="21" customWidth="1"/>
    <col min="2042" max="2042" width="14.44140625" style="21" customWidth="1"/>
    <col min="2043" max="2043" width="7.21875" style="21" customWidth="1"/>
    <col min="2044" max="2044" width="5.5546875" style="21" customWidth="1"/>
    <col min="2045" max="2045" width="9" style="21" customWidth="1"/>
    <col min="2046" max="2047" width="9.77734375" style="21" customWidth="1"/>
    <col min="2048" max="2048" width="11.21875" style="21" customWidth="1"/>
    <col min="2049" max="2049" width="2.77734375" style="21" customWidth="1"/>
    <col min="2050" max="2050" width="3.5546875" style="21" customWidth="1"/>
    <col min="2051" max="2295" width="9.21875" style="21"/>
    <col min="2296" max="2296" width="8.77734375" style="21" customWidth="1"/>
    <col min="2297" max="2297" width="9.77734375" style="21" customWidth="1"/>
    <col min="2298" max="2298" width="14.44140625" style="21" customWidth="1"/>
    <col min="2299" max="2299" width="7.21875" style="21" customWidth="1"/>
    <col min="2300" max="2300" width="5.5546875" style="21" customWidth="1"/>
    <col min="2301" max="2301" width="9" style="21" customWidth="1"/>
    <col min="2302" max="2303" width="9.77734375" style="21" customWidth="1"/>
    <col min="2304" max="2304" width="11.21875" style="21" customWidth="1"/>
    <col min="2305" max="2305" width="2.77734375" style="21" customWidth="1"/>
    <col min="2306" max="2306" width="3.5546875" style="21" customWidth="1"/>
    <col min="2307" max="2551" width="9.21875" style="21"/>
    <col min="2552" max="2552" width="8.77734375" style="21" customWidth="1"/>
    <col min="2553" max="2553" width="9.77734375" style="21" customWidth="1"/>
    <col min="2554" max="2554" width="14.44140625" style="21" customWidth="1"/>
    <col min="2555" max="2555" width="7.21875" style="21" customWidth="1"/>
    <col min="2556" max="2556" width="5.5546875" style="21" customWidth="1"/>
    <col min="2557" max="2557" width="9" style="21" customWidth="1"/>
    <col min="2558" max="2559" width="9.77734375" style="21" customWidth="1"/>
    <col min="2560" max="2560" width="11.21875" style="21" customWidth="1"/>
    <col min="2561" max="2561" width="2.77734375" style="21" customWidth="1"/>
    <col min="2562" max="2562" width="3.5546875" style="21" customWidth="1"/>
    <col min="2563" max="2807" width="9.21875" style="21"/>
    <col min="2808" max="2808" width="8.77734375" style="21" customWidth="1"/>
    <col min="2809" max="2809" width="9.77734375" style="21" customWidth="1"/>
    <col min="2810" max="2810" width="14.44140625" style="21" customWidth="1"/>
    <col min="2811" max="2811" width="7.21875" style="21" customWidth="1"/>
    <col min="2812" max="2812" width="5.5546875" style="21" customWidth="1"/>
    <col min="2813" max="2813" width="9" style="21" customWidth="1"/>
    <col min="2814" max="2815" width="9.77734375" style="21" customWidth="1"/>
    <col min="2816" max="2816" width="11.21875" style="21" customWidth="1"/>
    <col min="2817" max="2817" width="2.77734375" style="21" customWidth="1"/>
    <col min="2818" max="2818" width="3.5546875" style="21" customWidth="1"/>
    <col min="2819" max="3063" width="9.21875" style="21"/>
    <col min="3064" max="3064" width="8.77734375" style="21" customWidth="1"/>
    <col min="3065" max="3065" width="9.77734375" style="21" customWidth="1"/>
    <col min="3066" max="3066" width="14.44140625" style="21" customWidth="1"/>
    <col min="3067" max="3067" width="7.21875" style="21" customWidth="1"/>
    <col min="3068" max="3068" width="5.5546875" style="21" customWidth="1"/>
    <col min="3069" max="3069" width="9" style="21" customWidth="1"/>
    <col min="3070" max="3071" width="9.77734375" style="21" customWidth="1"/>
    <col min="3072" max="3072" width="11.21875" style="21" customWidth="1"/>
    <col min="3073" max="3073" width="2.77734375" style="21" customWidth="1"/>
    <col min="3074" max="3074" width="3.5546875" style="21" customWidth="1"/>
    <col min="3075" max="3319" width="9.21875" style="21"/>
    <col min="3320" max="3320" width="8.77734375" style="21" customWidth="1"/>
    <col min="3321" max="3321" width="9.77734375" style="21" customWidth="1"/>
    <col min="3322" max="3322" width="14.44140625" style="21" customWidth="1"/>
    <col min="3323" max="3323" width="7.21875" style="21" customWidth="1"/>
    <col min="3324" max="3324" width="5.5546875" style="21" customWidth="1"/>
    <col min="3325" max="3325" width="9" style="21" customWidth="1"/>
    <col min="3326" max="3327" width="9.77734375" style="21" customWidth="1"/>
    <col min="3328" max="3328" width="11.21875" style="21" customWidth="1"/>
    <col min="3329" max="3329" width="2.77734375" style="21" customWidth="1"/>
    <col min="3330" max="3330" width="3.5546875" style="21" customWidth="1"/>
    <col min="3331" max="3575" width="9.21875" style="21"/>
    <col min="3576" max="3576" width="8.77734375" style="21" customWidth="1"/>
    <col min="3577" max="3577" width="9.77734375" style="21" customWidth="1"/>
    <col min="3578" max="3578" width="14.44140625" style="21" customWidth="1"/>
    <col min="3579" max="3579" width="7.21875" style="21" customWidth="1"/>
    <col min="3580" max="3580" width="5.5546875" style="21" customWidth="1"/>
    <col min="3581" max="3581" width="9" style="21" customWidth="1"/>
    <col min="3582" max="3583" width="9.77734375" style="21" customWidth="1"/>
    <col min="3584" max="3584" width="11.21875" style="21" customWidth="1"/>
    <col min="3585" max="3585" width="2.77734375" style="21" customWidth="1"/>
    <col min="3586" max="3586" width="3.5546875" style="21" customWidth="1"/>
    <col min="3587" max="3831" width="9.21875" style="21"/>
    <col min="3832" max="3832" width="8.77734375" style="21" customWidth="1"/>
    <col min="3833" max="3833" width="9.77734375" style="21" customWidth="1"/>
    <col min="3834" max="3834" width="14.44140625" style="21" customWidth="1"/>
    <col min="3835" max="3835" width="7.21875" style="21" customWidth="1"/>
    <col min="3836" max="3836" width="5.5546875" style="21" customWidth="1"/>
    <col min="3837" max="3837" width="9" style="21" customWidth="1"/>
    <col min="3838" max="3839" width="9.77734375" style="21" customWidth="1"/>
    <col min="3840" max="3840" width="11.21875" style="21" customWidth="1"/>
    <col min="3841" max="3841" width="2.77734375" style="21" customWidth="1"/>
    <col min="3842" max="3842" width="3.5546875" style="21" customWidth="1"/>
    <col min="3843" max="4087" width="9.21875" style="21"/>
    <col min="4088" max="4088" width="8.77734375" style="21" customWidth="1"/>
    <col min="4089" max="4089" width="9.77734375" style="21" customWidth="1"/>
    <col min="4090" max="4090" width="14.44140625" style="21" customWidth="1"/>
    <col min="4091" max="4091" width="7.21875" style="21" customWidth="1"/>
    <col min="4092" max="4092" width="5.5546875" style="21" customWidth="1"/>
    <col min="4093" max="4093" width="9" style="21" customWidth="1"/>
    <col min="4094" max="4095" width="9.77734375" style="21" customWidth="1"/>
    <col min="4096" max="4096" width="11.21875" style="21" customWidth="1"/>
    <col min="4097" max="4097" width="2.77734375" style="21" customWidth="1"/>
    <col min="4098" max="4098" width="3.5546875" style="21" customWidth="1"/>
    <col min="4099" max="4343" width="9.21875" style="21"/>
    <col min="4344" max="4344" width="8.77734375" style="21" customWidth="1"/>
    <col min="4345" max="4345" width="9.77734375" style="21" customWidth="1"/>
    <col min="4346" max="4346" width="14.44140625" style="21" customWidth="1"/>
    <col min="4347" max="4347" width="7.21875" style="21" customWidth="1"/>
    <col min="4348" max="4348" width="5.5546875" style="21" customWidth="1"/>
    <col min="4349" max="4349" width="9" style="21" customWidth="1"/>
    <col min="4350" max="4351" width="9.77734375" style="21" customWidth="1"/>
    <col min="4352" max="4352" width="11.21875" style="21" customWidth="1"/>
    <col min="4353" max="4353" width="2.77734375" style="21" customWidth="1"/>
    <col min="4354" max="4354" width="3.5546875" style="21" customWidth="1"/>
    <col min="4355" max="4599" width="9.21875" style="21"/>
    <col min="4600" max="4600" width="8.77734375" style="21" customWidth="1"/>
    <col min="4601" max="4601" width="9.77734375" style="21" customWidth="1"/>
    <col min="4602" max="4602" width="14.44140625" style="21" customWidth="1"/>
    <col min="4603" max="4603" width="7.21875" style="21" customWidth="1"/>
    <col min="4604" max="4604" width="5.5546875" style="21" customWidth="1"/>
    <col min="4605" max="4605" width="9" style="21" customWidth="1"/>
    <col min="4606" max="4607" width="9.77734375" style="21" customWidth="1"/>
    <col min="4608" max="4608" width="11.21875" style="21" customWidth="1"/>
    <col min="4609" max="4609" width="2.77734375" style="21" customWidth="1"/>
    <col min="4610" max="4610" width="3.5546875" style="21" customWidth="1"/>
    <col min="4611" max="4855" width="9.21875" style="21"/>
    <col min="4856" max="4856" width="8.77734375" style="21" customWidth="1"/>
    <col min="4857" max="4857" width="9.77734375" style="21" customWidth="1"/>
    <col min="4858" max="4858" width="14.44140625" style="21" customWidth="1"/>
    <col min="4859" max="4859" width="7.21875" style="21" customWidth="1"/>
    <col min="4860" max="4860" width="5.5546875" style="21" customWidth="1"/>
    <col min="4861" max="4861" width="9" style="21" customWidth="1"/>
    <col min="4862" max="4863" width="9.77734375" style="21" customWidth="1"/>
    <col min="4864" max="4864" width="11.21875" style="21" customWidth="1"/>
    <col min="4865" max="4865" width="2.77734375" style="21" customWidth="1"/>
    <col min="4866" max="4866" width="3.5546875" style="21" customWidth="1"/>
    <col min="4867" max="5111" width="9.21875" style="21"/>
    <col min="5112" max="5112" width="8.77734375" style="21" customWidth="1"/>
    <col min="5113" max="5113" width="9.77734375" style="21" customWidth="1"/>
    <col min="5114" max="5114" width="14.44140625" style="21" customWidth="1"/>
    <col min="5115" max="5115" width="7.21875" style="21" customWidth="1"/>
    <col min="5116" max="5116" width="5.5546875" style="21" customWidth="1"/>
    <col min="5117" max="5117" width="9" style="21" customWidth="1"/>
    <col min="5118" max="5119" width="9.77734375" style="21" customWidth="1"/>
    <col min="5120" max="5120" width="11.21875" style="21" customWidth="1"/>
    <col min="5121" max="5121" width="2.77734375" style="21" customWidth="1"/>
    <col min="5122" max="5122" width="3.5546875" style="21" customWidth="1"/>
    <col min="5123" max="5367" width="9.21875" style="21"/>
    <col min="5368" max="5368" width="8.77734375" style="21" customWidth="1"/>
    <col min="5369" max="5369" width="9.77734375" style="21" customWidth="1"/>
    <col min="5370" max="5370" width="14.44140625" style="21" customWidth="1"/>
    <col min="5371" max="5371" width="7.21875" style="21" customWidth="1"/>
    <col min="5372" max="5372" width="5.5546875" style="21" customWidth="1"/>
    <col min="5373" max="5373" width="9" style="21" customWidth="1"/>
    <col min="5374" max="5375" width="9.77734375" style="21" customWidth="1"/>
    <col min="5376" max="5376" width="11.21875" style="21" customWidth="1"/>
    <col min="5377" max="5377" width="2.77734375" style="21" customWidth="1"/>
    <col min="5378" max="5378" width="3.5546875" style="21" customWidth="1"/>
    <col min="5379" max="5623" width="9.21875" style="21"/>
    <col min="5624" max="5624" width="8.77734375" style="21" customWidth="1"/>
    <col min="5625" max="5625" width="9.77734375" style="21" customWidth="1"/>
    <col min="5626" max="5626" width="14.44140625" style="21" customWidth="1"/>
    <col min="5627" max="5627" width="7.21875" style="21" customWidth="1"/>
    <col min="5628" max="5628" width="5.5546875" style="21" customWidth="1"/>
    <col min="5629" max="5629" width="9" style="21" customWidth="1"/>
    <col min="5630" max="5631" width="9.77734375" style="21" customWidth="1"/>
    <col min="5632" max="5632" width="11.21875" style="21" customWidth="1"/>
    <col min="5633" max="5633" width="2.77734375" style="21" customWidth="1"/>
    <col min="5634" max="5634" width="3.5546875" style="21" customWidth="1"/>
    <col min="5635" max="5879" width="9.21875" style="21"/>
    <col min="5880" max="5880" width="8.77734375" style="21" customWidth="1"/>
    <col min="5881" max="5881" width="9.77734375" style="21" customWidth="1"/>
    <col min="5882" max="5882" width="14.44140625" style="21" customWidth="1"/>
    <col min="5883" max="5883" width="7.21875" style="21" customWidth="1"/>
    <col min="5884" max="5884" width="5.5546875" style="21" customWidth="1"/>
    <col min="5885" max="5885" width="9" style="21" customWidth="1"/>
    <col min="5886" max="5887" width="9.77734375" style="21" customWidth="1"/>
    <col min="5888" max="5888" width="11.21875" style="21" customWidth="1"/>
    <col min="5889" max="5889" width="2.77734375" style="21" customWidth="1"/>
    <col min="5890" max="5890" width="3.5546875" style="21" customWidth="1"/>
    <col min="5891" max="6135" width="9.21875" style="21"/>
    <col min="6136" max="6136" width="8.77734375" style="21" customWidth="1"/>
    <col min="6137" max="6137" width="9.77734375" style="21" customWidth="1"/>
    <col min="6138" max="6138" width="14.44140625" style="21" customWidth="1"/>
    <col min="6139" max="6139" width="7.21875" style="21" customWidth="1"/>
    <col min="6140" max="6140" width="5.5546875" style="21" customWidth="1"/>
    <col min="6141" max="6141" width="9" style="21" customWidth="1"/>
    <col min="6142" max="6143" width="9.77734375" style="21" customWidth="1"/>
    <col min="6144" max="6144" width="11.21875" style="21" customWidth="1"/>
    <col min="6145" max="6145" width="2.77734375" style="21" customWidth="1"/>
    <col min="6146" max="6146" width="3.5546875" style="21" customWidth="1"/>
    <col min="6147" max="6391" width="9.21875" style="21"/>
    <col min="6392" max="6392" width="8.77734375" style="21" customWidth="1"/>
    <col min="6393" max="6393" width="9.77734375" style="21" customWidth="1"/>
    <col min="6394" max="6394" width="14.44140625" style="21" customWidth="1"/>
    <col min="6395" max="6395" width="7.21875" style="21" customWidth="1"/>
    <col min="6396" max="6396" width="5.5546875" style="21" customWidth="1"/>
    <col min="6397" max="6397" width="9" style="21" customWidth="1"/>
    <col min="6398" max="6399" width="9.77734375" style="21" customWidth="1"/>
    <col min="6400" max="6400" width="11.21875" style="21" customWidth="1"/>
    <col min="6401" max="6401" width="2.77734375" style="21" customWidth="1"/>
    <col min="6402" max="6402" width="3.5546875" style="21" customWidth="1"/>
    <col min="6403" max="6647" width="9.21875" style="21"/>
    <col min="6648" max="6648" width="8.77734375" style="21" customWidth="1"/>
    <col min="6649" max="6649" width="9.77734375" style="21" customWidth="1"/>
    <col min="6650" max="6650" width="14.44140625" style="21" customWidth="1"/>
    <col min="6651" max="6651" width="7.21875" style="21" customWidth="1"/>
    <col min="6652" max="6652" width="5.5546875" style="21" customWidth="1"/>
    <col min="6653" max="6653" width="9" style="21" customWidth="1"/>
    <col min="6654" max="6655" width="9.77734375" style="21" customWidth="1"/>
    <col min="6656" max="6656" width="11.21875" style="21" customWidth="1"/>
    <col min="6657" max="6657" width="2.77734375" style="21" customWidth="1"/>
    <col min="6658" max="6658" width="3.5546875" style="21" customWidth="1"/>
    <col min="6659" max="6903" width="9.21875" style="21"/>
    <col min="6904" max="6904" width="8.77734375" style="21" customWidth="1"/>
    <col min="6905" max="6905" width="9.77734375" style="21" customWidth="1"/>
    <col min="6906" max="6906" width="14.44140625" style="21" customWidth="1"/>
    <col min="6907" max="6907" width="7.21875" style="21" customWidth="1"/>
    <col min="6908" max="6908" width="5.5546875" style="21" customWidth="1"/>
    <col min="6909" max="6909" width="9" style="21" customWidth="1"/>
    <col min="6910" max="6911" width="9.77734375" style="21" customWidth="1"/>
    <col min="6912" max="6912" width="11.21875" style="21" customWidth="1"/>
    <col min="6913" max="6913" width="2.77734375" style="21" customWidth="1"/>
    <col min="6914" max="6914" width="3.5546875" style="21" customWidth="1"/>
    <col min="6915" max="7159" width="9.21875" style="21"/>
    <col min="7160" max="7160" width="8.77734375" style="21" customWidth="1"/>
    <col min="7161" max="7161" width="9.77734375" style="21" customWidth="1"/>
    <col min="7162" max="7162" width="14.44140625" style="21" customWidth="1"/>
    <col min="7163" max="7163" width="7.21875" style="21" customWidth="1"/>
    <col min="7164" max="7164" width="5.5546875" style="21" customWidth="1"/>
    <col min="7165" max="7165" width="9" style="21" customWidth="1"/>
    <col min="7166" max="7167" width="9.77734375" style="21" customWidth="1"/>
    <col min="7168" max="7168" width="11.21875" style="21" customWidth="1"/>
    <col min="7169" max="7169" width="2.77734375" style="21" customWidth="1"/>
    <col min="7170" max="7170" width="3.5546875" style="21" customWidth="1"/>
    <col min="7171" max="7415" width="9.21875" style="21"/>
    <col min="7416" max="7416" width="8.77734375" style="21" customWidth="1"/>
    <col min="7417" max="7417" width="9.77734375" style="21" customWidth="1"/>
    <col min="7418" max="7418" width="14.44140625" style="21" customWidth="1"/>
    <col min="7419" max="7419" width="7.21875" style="21" customWidth="1"/>
    <col min="7420" max="7420" width="5.5546875" style="21" customWidth="1"/>
    <col min="7421" max="7421" width="9" style="21" customWidth="1"/>
    <col min="7422" max="7423" width="9.77734375" style="21" customWidth="1"/>
    <col min="7424" max="7424" width="11.21875" style="21" customWidth="1"/>
    <col min="7425" max="7425" width="2.77734375" style="21" customWidth="1"/>
    <col min="7426" max="7426" width="3.5546875" style="21" customWidth="1"/>
    <col min="7427" max="7671" width="9.21875" style="21"/>
    <col min="7672" max="7672" width="8.77734375" style="21" customWidth="1"/>
    <col min="7673" max="7673" width="9.77734375" style="21" customWidth="1"/>
    <col min="7674" max="7674" width="14.44140625" style="21" customWidth="1"/>
    <col min="7675" max="7675" width="7.21875" style="21" customWidth="1"/>
    <col min="7676" max="7676" width="5.5546875" style="21" customWidth="1"/>
    <col min="7677" max="7677" width="9" style="21" customWidth="1"/>
    <col min="7678" max="7679" width="9.77734375" style="21" customWidth="1"/>
    <col min="7680" max="7680" width="11.21875" style="21" customWidth="1"/>
    <col min="7681" max="7681" width="2.77734375" style="21" customWidth="1"/>
    <col min="7682" max="7682" width="3.5546875" style="21" customWidth="1"/>
    <col min="7683" max="7927" width="9.21875" style="21"/>
    <col min="7928" max="7928" width="8.77734375" style="21" customWidth="1"/>
    <col min="7929" max="7929" width="9.77734375" style="21" customWidth="1"/>
    <col min="7930" max="7930" width="14.44140625" style="21" customWidth="1"/>
    <col min="7931" max="7931" width="7.21875" style="21" customWidth="1"/>
    <col min="7932" max="7932" width="5.5546875" style="21" customWidth="1"/>
    <col min="7933" max="7933" width="9" style="21" customWidth="1"/>
    <col min="7934" max="7935" width="9.77734375" style="21" customWidth="1"/>
    <col min="7936" max="7936" width="11.21875" style="21" customWidth="1"/>
    <col min="7937" max="7937" width="2.77734375" style="21" customWidth="1"/>
    <col min="7938" max="7938" width="3.5546875" style="21" customWidth="1"/>
    <col min="7939" max="8183" width="9.21875" style="21"/>
    <col min="8184" max="8184" width="8.77734375" style="21" customWidth="1"/>
    <col min="8185" max="8185" width="9.77734375" style="21" customWidth="1"/>
    <col min="8186" max="8186" width="14.44140625" style="21" customWidth="1"/>
    <col min="8187" max="8187" width="7.21875" style="21" customWidth="1"/>
    <col min="8188" max="8188" width="5.5546875" style="21" customWidth="1"/>
    <col min="8189" max="8189" width="9" style="21" customWidth="1"/>
    <col min="8190" max="8191" width="9.77734375" style="21" customWidth="1"/>
    <col min="8192" max="8192" width="11.21875" style="21" customWidth="1"/>
    <col min="8193" max="8193" width="2.77734375" style="21" customWidth="1"/>
    <col min="8194" max="8194" width="3.5546875" style="21" customWidth="1"/>
    <col min="8195" max="8439" width="9.21875" style="21"/>
    <col min="8440" max="8440" width="8.77734375" style="21" customWidth="1"/>
    <col min="8441" max="8441" width="9.77734375" style="21" customWidth="1"/>
    <col min="8442" max="8442" width="14.44140625" style="21" customWidth="1"/>
    <col min="8443" max="8443" width="7.21875" style="21" customWidth="1"/>
    <col min="8444" max="8444" width="5.5546875" style="21" customWidth="1"/>
    <col min="8445" max="8445" width="9" style="21" customWidth="1"/>
    <col min="8446" max="8447" width="9.77734375" style="21" customWidth="1"/>
    <col min="8448" max="8448" width="11.21875" style="21" customWidth="1"/>
    <col min="8449" max="8449" width="2.77734375" style="21" customWidth="1"/>
    <col min="8450" max="8450" width="3.5546875" style="21" customWidth="1"/>
    <col min="8451" max="8695" width="9.21875" style="21"/>
    <col min="8696" max="8696" width="8.77734375" style="21" customWidth="1"/>
    <col min="8697" max="8697" width="9.77734375" style="21" customWidth="1"/>
    <col min="8698" max="8698" width="14.44140625" style="21" customWidth="1"/>
    <col min="8699" max="8699" width="7.21875" style="21" customWidth="1"/>
    <col min="8700" max="8700" width="5.5546875" style="21" customWidth="1"/>
    <col min="8701" max="8701" width="9" style="21" customWidth="1"/>
    <col min="8702" max="8703" width="9.77734375" style="21" customWidth="1"/>
    <col min="8704" max="8704" width="11.21875" style="21" customWidth="1"/>
    <col min="8705" max="8705" width="2.77734375" style="21" customWidth="1"/>
    <col min="8706" max="8706" width="3.5546875" style="21" customWidth="1"/>
    <col min="8707" max="8951" width="9.21875" style="21"/>
    <col min="8952" max="8952" width="8.77734375" style="21" customWidth="1"/>
    <col min="8953" max="8953" width="9.77734375" style="21" customWidth="1"/>
    <col min="8954" max="8954" width="14.44140625" style="21" customWidth="1"/>
    <col min="8955" max="8955" width="7.21875" style="21" customWidth="1"/>
    <col min="8956" max="8956" width="5.5546875" style="21" customWidth="1"/>
    <col min="8957" max="8957" width="9" style="21" customWidth="1"/>
    <col min="8958" max="8959" width="9.77734375" style="21" customWidth="1"/>
    <col min="8960" max="8960" width="11.21875" style="21" customWidth="1"/>
    <col min="8961" max="8961" width="2.77734375" style="21" customWidth="1"/>
    <col min="8962" max="8962" width="3.5546875" style="21" customWidth="1"/>
    <col min="8963" max="9207" width="9.21875" style="21"/>
    <col min="9208" max="9208" width="8.77734375" style="21" customWidth="1"/>
    <col min="9209" max="9209" width="9.77734375" style="21" customWidth="1"/>
    <col min="9210" max="9210" width="14.44140625" style="21" customWidth="1"/>
    <col min="9211" max="9211" width="7.21875" style="21" customWidth="1"/>
    <col min="9212" max="9212" width="5.5546875" style="21" customWidth="1"/>
    <col min="9213" max="9213" width="9" style="21" customWidth="1"/>
    <col min="9214" max="9215" width="9.77734375" style="21" customWidth="1"/>
    <col min="9216" max="9216" width="11.21875" style="21" customWidth="1"/>
    <col min="9217" max="9217" width="2.77734375" style="21" customWidth="1"/>
    <col min="9218" max="9218" width="3.5546875" style="21" customWidth="1"/>
    <col min="9219" max="9463" width="9.21875" style="21"/>
    <col min="9464" max="9464" width="8.77734375" style="21" customWidth="1"/>
    <col min="9465" max="9465" width="9.77734375" style="21" customWidth="1"/>
    <col min="9466" max="9466" width="14.44140625" style="21" customWidth="1"/>
    <col min="9467" max="9467" width="7.21875" style="21" customWidth="1"/>
    <col min="9468" max="9468" width="5.5546875" style="21" customWidth="1"/>
    <col min="9469" max="9469" width="9" style="21" customWidth="1"/>
    <col min="9470" max="9471" width="9.77734375" style="21" customWidth="1"/>
    <col min="9472" max="9472" width="11.21875" style="21" customWidth="1"/>
    <col min="9473" max="9473" width="2.77734375" style="21" customWidth="1"/>
    <col min="9474" max="9474" width="3.5546875" style="21" customWidth="1"/>
    <col min="9475" max="9719" width="9.21875" style="21"/>
    <col min="9720" max="9720" width="8.77734375" style="21" customWidth="1"/>
    <col min="9721" max="9721" width="9.77734375" style="21" customWidth="1"/>
    <col min="9722" max="9722" width="14.44140625" style="21" customWidth="1"/>
    <col min="9723" max="9723" width="7.21875" style="21" customWidth="1"/>
    <col min="9724" max="9724" width="5.5546875" style="21" customWidth="1"/>
    <col min="9725" max="9725" width="9" style="21" customWidth="1"/>
    <col min="9726" max="9727" width="9.77734375" style="21" customWidth="1"/>
    <col min="9728" max="9728" width="11.21875" style="21" customWidth="1"/>
    <col min="9729" max="9729" width="2.77734375" style="21" customWidth="1"/>
    <col min="9730" max="9730" width="3.5546875" style="21" customWidth="1"/>
    <col min="9731" max="9975" width="9.21875" style="21"/>
    <col min="9976" max="9976" width="8.77734375" style="21" customWidth="1"/>
    <col min="9977" max="9977" width="9.77734375" style="21" customWidth="1"/>
    <col min="9978" max="9978" width="14.44140625" style="21" customWidth="1"/>
    <col min="9979" max="9979" width="7.21875" style="21" customWidth="1"/>
    <col min="9980" max="9980" width="5.5546875" style="21" customWidth="1"/>
    <col min="9981" max="9981" width="9" style="21" customWidth="1"/>
    <col min="9982" max="9983" width="9.77734375" style="21" customWidth="1"/>
    <col min="9984" max="9984" width="11.21875" style="21" customWidth="1"/>
    <col min="9985" max="9985" width="2.77734375" style="21" customWidth="1"/>
    <col min="9986" max="9986" width="3.5546875" style="21" customWidth="1"/>
    <col min="9987" max="10231" width="9.21875" style="21"/>
    <col min="10232" max="10232" width="8.77734375" style="21" customWidth="1"/>
    <col min="10233" max="10233" width="9.77734375" style="21" customWidth="1"/>
    <col min="10234" max="10234" width="14.44140625" style="21" customWidth="1"/>
    <col min="10235" max="10235" width="7.21875" style="21" customWidth="1"/>
    <col min="10236" max="10236" width="5.5546875" style="21" customWidth="1"/>
    <col min="10237" max="10237" width="9" style="21" customWidth="1"/>
    <col min="10238" max="10239" width="9.77734375" style="21" customWidth="1"/>
    <col min="10240" max="10240" width="11.21875" style="21" customWidth="1"/>
    <col min="10241" max="10241" width="2.77734375" style="21" customWidth="1"/>
    <col min="10242" max="10242" width="3.5546875" style="21" customWidth="1"/>
    <col min="10243" max="10487" width="9.21875" style="21"/>
    <col min="10488" max="10488" width="8.77734375" style="21" customWidth="1"/>
    <col min="10489" max="10489" width="9.77734375" style="21" customWidth="1"/>
    <col min="10490" max="10490" width="14.44140625" style="21" customWidth="1"/>
    <col min="10491" max="10491" width="7.21875" style="21" customWidth="1"/>
    <col min="10492" max="10492" width="5.5546875" style="21" customWidth="1"/>
    <col min="10493" max="10493" width="9" style="21" customWidth="1"/>
    <col min="10494" max="10495" width="9.77734375" style="21" customWidth="1"/>
    <col min="10496" max="10496" width="11.21875" style="21" customWidth="1"/>
    <col min="10497" max="10497" width="2.77734375" style="21" customWidth="1"/>
    <col min="10498" max="10498" width="3.5546875" style="21" customWidth="1"/>
    <col min="10499" max="10743" width="9.21875" style="21"/>
    <col min="10744" max="10744" width="8.77734375" style="21" customWidth="1"/>
    <col min="10745" max="10745" width="9.77734375" style="21" customWidth="1"/>
    <col min="10746" max="10746" width="14.44140625" style="21" customWidth="1"/>
    <col min="10747" max="10747" width="7.21875" style="21" customWidth="1"/>
    <col min="10748" max="10748" width="5.5546875" style="21" customWidth="1"/>
    <col min="10749" max="10749" width="9" style="21" customWidth="1"/>
    <col min="10750" max="10751" width="9.77734375" style="21" customWidth="1"/>
    <col min="10752" max="10752" width="11.21875" style="21" customWidth="1"/>
    <col min="10753" max="10753" width="2.77734375" style="21" customWidth="1"/>
    <col min="10754" max="10754" width="3.5546875" style="21" customWidth="1"/>
    <col min="10755" max="10999" width="9.21875" style="21"/>
    <col min="11000" max="11000" width="8.77734375" style="21" customWidth="1"/>
    <col min="11001" max="11001" width="9.77734375" style="21" customWidth="1"/>
    <col min="11002" max="11002" width="14.44140625" style="21" customWidth="1"/>
    <col min="11003" max="11003" width="7.21875" style="21" customWidth="1"/>
    <col min="11004" max="11004" width="5.5546875" style="21" customWidth="1"/>
    <col min="11005" max="11005" width="9" style="21" customWidth="1"/>
    <col min="11006" max="11007" width="9.77734375" style="21" customWidth="1"/>
    <col min="11008" max="11008" width="11.21875" style="21" customWidth="1"/>
    <col min="11009" max="11009" width="2.77734375" style="21" customWidth="1"/>
    <col min="11010" max="11010" width="3.5546875" style="21" customWidth="1"/>
    <col min="11011" max="11255" width="9.21875" style="21"/>
    <col min="11256" max="11256" width="8.77734375" style="21" customWidth="1"/>
    <col min="11257" max="11257" width="9.77734375" style="21" customWidth="1"/>
    <col min="11258" max="11258" width="14.44140625" style="21" customWidth="1"/>
    <col min="11259" max="11259" width="7.21875" style="21" customWidth="1"/>
    <col min="11260" max="11260" width="5.5546875" style="21" customWidth="1"/>
    <col min="11261" max="11261" width="9" style="21" customWidth="1"/>
    <col min="11262" max="11263" width="9.77734375" style="21" customWidth="1"/>
    <col min="11264" max="11264" width="11.21875" style="21" customWidth="1"/>
    <col min="11265" max="11265" width="2.77734375" style="21" customWidth="1"/>
    <col min="11266" max="11266" width="3.5546875" style="21" customWidth="1"/>
    <col min="11267" max="11511" width="9.21875" style="21"/>
    <col min="11512" max="11512" width="8.77734375" style="21" customWidth="1"/>
    <col min="11513" max="11513" width="9.77734375" style="21" customWidth="1"/>
    <col min="11514" max="11514" width="14.44140625" style="21" customWidth="1"/>
    <col min="11515" max="11515" width="7.21875" style="21" customWidth="1"/>
    <col min="11516" max="11516" width="5.5546875" style="21" customWidth="1"/>
    <col min="11517" max="11517" width="9" style="21" customWidth="1"/>
    <col min="11518" max="11519" width="9.77734375" style="21" customWidth="1"/>
    <col min="11520" max="11520" width="11.21875" style="21" customWidth="1"/>
    <col min="11521" max="11521" width="2.77734375" style="21" customWidth="1"/>
    <col min="11522" max="11522" width="3.5546875" style="21" customWidth="1"/>
    <col min="11523" max="11767" width="9.21875" style="21"/>
    <col min="11768" max="11768" width="8.77734375" style="21" customWidth="1"/>
    <col min="11769" max="11769" width="9.77734375" style="21" customWidth="1"/>
    <col min="11770" max="11770" width="14.44140625" style="21" customWidth="1"/>
    <col min="11771" max="11771" width="7.21875" style="21" customWidth="1"/>
    <col min="11772" max="11772" width="5.5546875" style="21" customWidth="1"/>
    <col min="11773" max="11773" width="9" style="21" customWidth="1"/>
    <col min="11774" max="11775" width="9.77734375" style="21" customWidth="1"/>
    <col min="11776" max="11776" width="11.21875" style="21" customWidth="1"/>
    <col min="11777" max="11777" width="2.77734375" style="21" customWidth="1"/>
    <col min="11778" max="11778" width="3.5546875" style="21" customWidth="1"/>
    <col min="11779" max="12023" width="9.21875" style="21"/>
    <col min="12024" max="12024" width="8.77734375" style="21" customWidth="1"/>
    <col min="12025" max="12025" width="9.77734375" style="21" customWidth="1"/>
    <col min="12026" max="12026" width="14.44140625" style="21" customWidth="1"/>
    <col min="12027" max="12027" width="7.21875" style="21" customWidth="1"/>
    <col min="12028" max="12028" width="5.5546875" style="21" customWidth="1"/>
    <col min="12029" max="12029" width="9" style="21" customWidth="1"/>
    <col min="12030" max="12031" width="9.77734375" style="21" customWidth="1"/>
    <col min="12032" max="12032" width="11.21875" style="21" customWidth="1"/>
    <col min="12033" max="12033" width="2.77734375" style="21" customWidth="1"/>
    <col min="12034" max="12034" width="3.5546875" style="21" customWidth="1"/>
    <col min="12035" max="12279" width="9.21875" style="21"/>
    <col min="12280" max="12280" width="8.77734375" style="21" customWidth="1"/>
    <col min="12281" max="12281" width="9.77734375" style="21" customWidth="1"/>
    <col min="12282" max="12282" width="14.44140625" style="21" customWidth="1"/>
    <col min="12283" max="12283" width="7.21875" style="21" customWidth="1"/>
    <col min="12284" max="12284" width="5.5546875" style="21" customWidth="1"/>
    <col min="12285" max="12285" width="9" style="21" customWidth="1"/>
    <col min="12286" max="12287" width="9.77734375" style="21" customWidth="1"/>
    <col min="12288" max="12288" width="11.21875" style="21" customWidth="1"/>
    <col min="12289" max="12289" width="2.77734375" style="21" customWidth="1"/>
    <col min="12290" max="12290" width="3.5546875" style="21" customWidth="1"/>
    <col min="12291" max="12535" width="9.21875" style="21"/>
    <col min="12536" max="12536" width="8.77734375" style="21" customWidth="1"/>
    <col min="12537" max="12537" width="9.77734375" style="21" customWidth="1"/>
    <col min="12538" max="12538" width="14.44140625" style="21" customWidth="1"/>
    <col min="12539" max="12539" width="7.21875" style="21" customWidth="1"/>
    <col min="12540" max="12540" width="5.5546875" style="21" customWidth="1"/>
    <col min="12541" max="12541" width="9" style="21" customWidth="1"/>
    <col min="12542" max="12543" width="9.77734375" style="21" customWidth="1"/>
    <col min="12544" max="12544" width="11.21875" style="21" customWidth="1"/>
    <col min="12545" max="12545" width="2.77734375" style="21" customWidth="1"/>
    <col min="12546" max="12546" width="3.5546875" style="21" customWidth="1"/>
    <col min="12547" max="12791" width="9.21875" style="21"/>
    <col min="12792" max="12792" width="8.77734375" style="21" customWidth="1"/>
    <col min="12793" max="12793" width="9.77734375" style="21" customWidth="1"/>
    <col min="12794" max="12794" width="14.44140625" style="21" customWidth="1"/>
    <col min="12795" max="12795" width="7.21875" style="21" customWidth="1"/>
    <col min="12796" max="12796" width="5.5546875" style="21" customWidth="1"/>
    <col min="12797" max="12797" width="9" style="21" customWidth="1"/>
    <col min="12798" max="12799" width="9.77734375" style="21" customWidth="1"/>
    <col min="12800" max="12800" width="11.21875" style="21" customWidth="1"/>
    <col min="12801" max="12801" width="2.77734375" style="21" customWidth="1"/>
    <col min="12802" max="12802" width="3.5546875" style="21" customWidth="1"/>
    <col min="12803" max="13047" width="9.21875" style="21"/>
    <col min="13048" max="13048" width="8.77734375" style="21" customWidth="1"/>
    <col min="13049" max="13049" width="9.77734375" style="21" customWidth="1"/>
    <col min="13050" max="13050" width="14.44140625" style="21" customWidth="1"/>
    <col min="13051" max="13051" width="7.21875" style="21" customWidth="1"/>
    <col min="13052" max="13052" width="5.5546875" style="21" customWidth="1"/>
    <col min="13053" max="13053" width="9" style="21" customWidth="1"/>
    <col min="13054" max="13055" width="9.77734375" style="21" customWidth="1"/>
    <col min="13056" max="13056" width="11.21875" style="21" customWidth="1"/>
    <col min="13057" max="13057" width="2.77734375" style="21" customWidth="1"/>
    <col min="13058" max="13058" width="3.5546875" style="21" customWidth="1"/>
    <col min="13059" max="13303" width="9.21875" style="21"/>
    <col min="13304" max="13304" width="8.77734375" style="21" customWidth="1"/>
    <col min="13305" max="13305" width="9.77734375" style="21" customWidth="1"/>
    <col min="13306" max="13306" width="14.44140625" style="21" customWidth="1"/>
    <col min="13307" max="13307" width="7.21875" style="21" customWidth="1"/>
    <col min="13308" max="13308" width="5.5546875" style="21" customWidth="1"/>
    <col min="13309" max="13309" width="9" style="21" customWidth="1"/>
    <col min="13310" max="13311" width="9.77734375" style="21" customWidth="1"/>
    <col min="13312" max="13312" width="11.21875" style="21" customWidth="1"/>
    <col min="13313" max="13313" width="2.77734375" style="21" customWidth="1"/>
    <col min="13314" max="13314" width="3.5546875" style="21" customWidth="1"/>
    <col min="13315" max="13559" width="9.21875" style="21"/>
    <col min="13560" max="13560" width="8.77734375" style="21" customWidth="1"/>
    <col min="13561" max="13561" width="9.77734375" style="21" customWidth="1"/>
    <col min="13562" max="13562" width="14.44140625" style="21" customWidth="1"/>
    <col min="13563" max="13563" width="7.21875" style="21" customWidth="1"/>
    <col min="13564" max="13564" width="5.5546875" style="21" customWidth="1"/>
    <col min="13565" max="13565" width="9" style="21" customWidth="1"/>
    <col min="13566" max="13567" width="9.77734375" style="21" customWidth="1"/>
    <col min="13568" max="13568" width="11.21875" style="21" customWidth="1"/>
    <col min="13569" max="13569" width="2.77734375" style="21" customWidth="1"/>
    <col min="13570" max="13570" width="3.5546875" style="21" customWidth="1"/>
    <col min="13571" max="13815" width="9.21875" style="21"/>
    <col min="13816" max="13816" width="8.77734375" style="21" customWidth="1"/>
    <col min="13817" max="13817" width="9.77734375" style="21" customWidth="1"/>
    <col min="13818" max="13818" width="14.44140625" style="21" customWidth="1"/>
    <col min="13819" max="13819" width="7.21875" style="21" customWidth="1"/>
    <col min="13820" max="13820" width="5.5546875" style="21" customWidth="1"/>
    <col min="13821" max="13821" width="9" style="21" customWidth="1"/>
    <col min="13822" max="13823" width="9.77734375" style="21" customWidth="1"/>
    <col min="13824" max="13824" width="11.21875" style="21" customWidth="1"/>
    <col min="13825" max="13825" width="2.77734375" style="21" customWidth="1"/>
    <col min="13826" max="13826" width="3.5546875" style="21" customWidth="1"/>
    <col min="13827" max="14071" width="9.21875" style="21"/>
    <col min="14072" max="14072" width="8.77734375" style="21" customWidth="1"/>
    <col min="14073" max="14073" width="9.77734375" style="21" customWidth="1"/>
    <col min="14074" max="14074" width="14.44140625" style="21" customWidth="1"/>
    <col min="14075" max="14075" width="7.21875" style="21" customWidth="1"/>
    <col min="14076" max="14076" width="5.5546875" style="21" customWidth="1"/>
    <col min="14077" max="14077" width="9" style="21" customWidth="1"/>
    <col min="14078" max="14079" width="9.77734375" style="21" customWidth="1"/>
    <col min="14080" max="14080" width="11.21875" style="21" customWidth="1"/>
    <col min="14081" max="14081" width="2.77734375" style="21" customWidth="1"/>
    <col min="14082" max="14082" width="3.5546875" style="21" customWidth="1"/>
    <col min="14083" max="14327" width="9.21875" style="21"/>
    <col min="14328" max="14328" width="8.77734375" style="21" customWidth="1"/>
    <col min="14329" max="14329" width="9.77734375" style="21" customWidth="1"/>
    <col min="14330" max="14330" width="14.44140625" style="21" customWidth="1"/>
    <col min="14331" max="14331" width="7.21875" style="21" customWidth="1"/>
    <col min="14332" max="14332" width="5.5546875" style="21" customWidth="1"/>
    <col min="14333" max="14333" width="9" style="21" customWidth="1"/>
    <col min="14334" max="14335" width="9.77734375" style="21" customWidth="1"/>
    <col min="14336" max="14336" width="11.21875" style="21" customWidth="1"/>
    <col min="14337" max="14337" width="2.77734375" style="21" customWidth="1"/>
    <col min="14338" max="14338" width="3.5546875" style="21" customWidth="1"/>
    <col min="14339" max="14583" width="9.21875" style="21"/>
    <col min="14584" max="14584" width="8.77734375" style="21" customWidth="1"/>
    <col min="14585" max="14585" width="9.77734375" style="21" customWidth="1"/>
    <col min="14586" max="14586" width="14.44140625" style="21" customWidth="1"/>
    <col min="14587" max="14587" width="7.21875" style="21" customWidth="1"/>
    <col min="14588" max="14588" width="5.5546875" style="21" customWidth="1"/>
    <col min="14589" max="14589" width="9" style="21" customWidth="1"/>
    <col min="14590" max="14591" width="9.77734375" style="21" customWidth="1"/>
    <col min="14592" max="14592" width="11.21875" style="21" customWidth="1"/>
    <col min="14593" max="14593" width="2.77734375" style="21" customWidth="1"/>
    <col min="14594" max="14594" width="3.5546875" style="21" customWidth="1"/>
    <col min="14595" max="14839" width="9.21875" style="21"/>
    <col min="14840" max="14840" width="8.77734375" style="21" customWidth="1"/>
    <col min="14841" max="14841" width="9.77734375" style="21" customWidth="1"/>
    <col min="14842" max="14842" width="14.44140625" style="21" customWidth="1"/>
    <col min="14843" max="14843" width="7.21875" style="21" customWidth="1"/>
    <col min="14844" max="14844" width="5.5546875" style="21" customWidth="1"/>
    <col min="14845" max="14845" width="9" style="21" customWidth="1"/>
    <col min="14846" max="14847" width="9.77734375" style="21" customWidth="1"/>
    <col min="14848" max="14848" width="11.21875" style="21" customWidth="1"/>
    <col min="14849" max="14849" width="2.77734375" style="21" customWidth="1"/>
    <col min="14850" max="14850" width="3.5546875" style="21" customWidth="1"/>
    <col min="14851" max="15095" width="9.21875" style="21"/>
    <col min="15096" max="15096" width="8.77734375" style="21" customWidth="1"/>
    <col min="15097" max="15097" width="9.77734375" style="21" customWidth="1"/>
    <col min="15098" max="15098" width="14.44140625" style="21" customWidth="1"/>
    <col min="15099" max="15099" width="7.21875" style="21" customWidth="1"/>
    <col min="15100" max="15100" width="5.5546875" style="21" customWidth="1"/>
    <col min="15101" max="15101" width="9" style="21" customWidth="1"/>
    <col min="15102" max="15103" width="9.77734375" style="21" customWidth="1"/>
    <col min="15104" max="15104" width="11.21875" style="21" customWidth="1"/>
    <col min="15105" max="15105" width="2.77734375" style="21" customWidth="1"/>
    <col min="15106" max="15106" width="3.5546875" style="21" customWidth="1"/>
    <col min="15107" max="15351" width="9.21875" style="21"/>
    <col min="15352" max="15352" width="8.77734375" style="21" customWidth="1"/>
    <col min="15353" max="15353" width="9.77734375" style="21" customWidth="1"/>
    <col min="15354" max="15354" width="14.44140625" style="21" customWidth="1"/>
    <col min="15355" max="15355" width="7.21875" style="21" customWidth="1"/>
    <col min="15356" max="15356" width="5.5546875" style="21" customWidth="1"/>
    <col min="15357" max="15357" width="9" style="21" customWidth="1"/>
    <col min="15358" max="15359" width="9.77734375" style="21" customWidth="1"/>
    <col min="15360" max="15360" width="11.21875" style="21" customWidth="1"/>
    <col min="15361" max="15361" width="2.77734375" style="21" customWidth="1"/>
    <col min="15362" max="15362" width="3.5546875" style="21" customWidth="1"/>
    <col min="15363" max="15607" width="9.21875" style="21"/>
    <col min="15608" max="15608" width="8.77734375" style="21" customWidth="1"/>
    <col min="15609" max="15609" width="9.77734375" style="21" customWidth="1"/>
    <col min="15610" max="15610" width="14.44140625" style="21" customWidth="1"/>
    <col min="15611" max="15611" width="7.21875" style="21" customWidth="1"/>
    <col min="15612" max="15612" width="5.5546875" style="21" customWidth="1"/>
    <col min="15613" max="15613" width="9" style="21" customWidth="1"/>
    <col min="15614" max="15615" width="9.77734375" style="21" customWidth="1"/>
    <col min="15616" max="15616" width="11.21875" style="21" customWidth="1"/>
    <col min="15617" max="15617" width="2.77734375" style="21" customWidth="1"/>
    <col min="15618" max="15618" width="3.5546875" style="21" customWidth="1"/>
    <col min="15619" max="15863" width="9.21875" style="21"/>
    <col min="15864" max="15864" width="8.77734375" style="21" customWidth="1"/>
    <col min="15865" max="15865" width="9.77734375" style="21" customWidth="1"/>
    <col min="15866" max="15866" width="14.44140625" style="21" customWidth="1"/>
    <col min="15867" max="15867" width="7.21875" style="21" customWidth="1"/>
    <col min="15868" max="15868" width="5.5546875" style="21" customWidth="1"/>
    <col min="15869" max="15869" width="9" style="21" customWidth="1"/>
    <col min="15870" max="15871" width="9.77734375" style="21" customWidth="1"/>
    <col min="15872" max="15872" width="11.21875" style="21" customWidth="1"/>
    <col min="15873" max="15873" width="2.77734375" style="21" customWidth="1"/>
    <col min="15874" max="15874" width="3.5546875" style="21" customWidth="1"/>
    <col min="15875" max="16119" width="9.21875" style="21"/>
    <col min="16120" max="16120" width="8.77734375" style="21" customWidth="1"/>
    <col min="16121" max="16121" width="9.77734375" style="21" customWidth="1"/>
    <col min="16122" max="16122" width="14.44140625" style="21" customWidth="1"/>
    <col min="16123" max="16123" width="7.21875" style="21" customWidth="1"/>
    <col min="16124" max="16124" width="5.5546875" style="21" customWidth="1"/>
    <col min="16125" max="16125" width="9" style="21" customWidth="1"/>
    <col min="16126" max="16127" width="9.77734375" style="21" customWidth="1"/>
    <col min="16128" max="16128" width="11.21875" style="21" customWidth="1"/>
    <col min="16129" max="16129" width="2.77734375" style="21" customWidth="1"/>
    <col min="16130" max="16130" width="3.5546875" style="21" customWidth="1"/>
    <col min="16131" max="16384" width="9.21875" style="21"/>
  </cols>
  <sheetData>
    <row r="1" spans="1:26" ht="46.5" customHeight="1" x14ac:dyDescent="0.3">
      <c r="A1" s="181" t="s">
        <v>161</v>
      </c>
      <c r="B1" s="181"/>
      <c r="C1" s="181"/>
      <c r="D1" s="181"/>
      <c r="E1" s="181"/>
      <c r="F1" s="181"/>
      <c r="G1" s="181"/>
      <c r="H1" s="181"/>
    </row>
    <row r="2" spans="1:26" ht="16.5" customHeight="1" x14ac:dyDescent="0.3">
      <c r="A2" s="96" t="s">
        <v>0</v>
      </c>
      <c r="B2" s="96"/>
      <c r="C2" s="96"/>
      <c r="D2" s="96"/>
      <c r="E2" s="96"/>
      <c r="F2" s="96"/>
      <c r="G2" s="96"/>
      <c r="H2" s="96"/>
    </row>
    <row r="3" spans="1:26" x14ac:dyDescent="0.3">
      <c r="A3" s="123" t="s">
        <v>1</v>
      </c>
      <c r="B3" s="123"/>
      <c r="C3" s="123"/>
      <c r="D3" s="123"/>
      <c r="E3" s="123" t="str">
        <f ca="1">TEXT(TODAY(),"DD/MM/YYYY")</f>
        <v>18/07/2025</v>
      </c>
      <c r="F3" s="123"/>
      <c r="G3" s="123"/>
      <c r="H3" s="123"/>
      <c r="K3" s="55" t="s">
        <v>235</v>
      </c>
      <c r="L3" s="54" t="s">
        <v>233</v>
      </c>
      <c r="M3" s="54" t="s">
        <v>238</v>
      </c>
      <c r="N3" s="54" t="s">
        <v>236</v>
      </c>
      <c r="O3" s="54" t="s">
        <v>237</v>
      </c>
      <c r="P3" s="54" t="s">
        <v>239</v>
      </c>
    </row>
    <row r="4" spans="1:26" ht="15" customHeight="1" x14ac:dyDescent="0.3">
      <c r="A4" s="123" t="s">
        <v>232</v>
      </c>
      <c r="B4" s="123"/>
      <c r="C4" s="123"/>
      <c r="D4" s="123"/>
      <c r="E4" s="123" t="s">
        <v>233</v>
      </c>
      <c r="F4" s="123"/>
      <c r="G4" s="123"/>
      <c r="H4" s="123"/>
      <c r="K4" s="53" t="s">
        <v>234</v>
      </c>
      <c r="L4" s="54" t="s">
        <v>167</v>
      </c>
      <c r="M4" s="54" t="s">
        <v>243</v>
      </c>
      <c r="N4" s="54" t="s">
        <v>245</v>
      </c>
      <c r="O4" s="54" t="s">
        <v>247</v>
      </c>
      <c r="P4" s="54"/>
    </row>
    <row r="5" spans="1:26" ht="15" customHeight="1" x14ac:dyDescent="0.3">
      <c r="A5" s="123" t="s">
        <v>2</v>
      </c>
      <c r="B5" s="123"/>
      <c r="C5" s="123"/>
      <c r="D5" s="123"/>
      <c r="E5" s="123" t="s">
        <v>240</v>
      </c>
      <c r="F5" s="123"/>
      <c r="G5" s="123"/>
      <c r="H5" s="123"/>
      <c r="K5" s="53"/>
      <c r="L5" s="54" t="s">
        <v>240</v>
      </c>
      <c r="M5" s="54" t="s">
        <v>244</v>
      </c>
      <c r="N5" s="54" t="s">
        <v>246</v>
      </c>
      <c r="O5" s="54" t="s">
        <v>248</v>
      </c>
      <c r="P5" s="54"/>
    </row>
    <row r="6" spans="1:26" x14ac:dyDescent="0.3">
      <c r="A6" s="123" t="s">
        <v>3</v>
      </c>
      <c r="B6" s="123"/>
      <c r="C6" s="123"/>
      <c r="D6" s="123"/>
      <c r="E6" s="183">
        <v>45847</v>
      </c>
      <c r="F6" s="123"/>
      <c r="G6" s="123"/>
      <c r="H6" s="123"/>
      <c r="K6" s="53"/>
      <c r="L6" s="54" t="s">
        <v>241</v>
      </c>
      <c r="M6" s="54"/>
      <c r="N6" s="54"/>
      <c r="O6" s="54" t="s">
        <v>249</v>
      </c>
      <c r="P6" s="54"/>
    </row>
    <row r="7" spans="1:26" ht="16.5" customHeight="1" x14ac:dyDescent="0.3">
      <c r="A7" s="123" t="s">
        <v>4</v>
      </c>
      <c r="B7" s="123"/>
      <c r="C7" s="123"/>
      <c r="D7" s="123"/>
      <c r="E7" s="123" t="s">
        <v>331</v>
      </c>
      <c r="F7" s="123"/>
      <c r="G7" s="123"/>
      <c r="H7" s="123"/>
      <c r="K7" s="53"/>
      <c r="L7" s="54" t="s">
        <v>242</v>
      </c>
      <c r="M7" s="54"/>
      <c r="N7" s="54"/>
      <c r="O7" s="54" t="s">
        <v>249</v>
      </c>
      <c r="P7" s="54"/>
    </row>
    <row r="8" spans="1:26" ht="15" customHeight="1" x14ac:dyDescent="0.3">
      <c r="A8" s="123" t="s">
        <v>5</v>
      </c>
      <c r="B8" s="123"/>
      <c r="C8" s="123"/>
      <c r="D8" s="123"/>
      <c r="E8" s="123" t="str">
        <f>E7</f>
        <v>Gurukrupa Realcon Infrabuild LLP</v>
      </c>
      <c r="F8" s="123"/>
      <c r="G8" s="123"/>
      <c r="H8" s="123"/>
      <c r="K8" s="53"/>
      <c r="L8" s="54"/>
      <c r="M8" s="54"/>
      <c r="N8" s="54"/>
      <c r="O8" s="54" t="s">
        <v>250</v>
      </c>
      <c r="P8" s="54"/>
    </row>
    <row r="9" spans="1:26" x14ac:dyDescent="0.3">
      <c r="A9" s="123" t="s">
        <v>6</v>
      </c>
      <c r="B9" s="123"/>
      <c r="C9" s="123"/>
      <c r="D9" s="123"/>
      <c r="E9" s="182" t="s">
        <v>332</v>
      </c>
      <c r="F9" s="182"/>
      <c r="G9" s="182"/>
      <c r="H9" s="182"/>
      <c r="K9" s="53"/>
      <c r="L9" s="54"/>
      <c r="M9" s="54"/>
      <c r="N9" s="54"/>
      <c r="O9" s="54" t="s">
        <v>251</v>
      </c>
      <c r="P9" s="54"/>
    </row>
    <row r="10" spans="1:26" x14ac:dyDescent="0.3">
      <c r="A10" s="123" t="s">
        <v>164</v>
      </c>
      <c r="B10" s="123"/>
      <c r="C10" s="123"/>
      <c r="D10" s="123"/>
      <c r="E10" s="123" t="s">
        <v>333</v>
      </c>
      <c r="F10" s="123"/>
      <c r="G10" s="123"/>
      <c r="H10" s="123"/>
      <c r="K10" s="53"/>
      <c r="L10" s="54"/>
      <c r="M10" s="54"/>
      <c r="N10" s="54"/>
      <c r="O10" s="54"/>
      <c r="P10" s="54"/>
    </row>
    <row r="11" spans="1:26" x14ac:dyDescent="0.3">
      <c r="A11" s="123" t="s">
        <v>165</v>
      </c>
      <c r="B11" s="123"/>
      <c r="C11" s="123"/>
      <c r="D11" s="123"/>
      <c r="E11" s="123" t="s">
        <v>385</v>
      </c>
      <c r="F11" s="123"/>
      <c r="G11" s="123"/>
      <c r="H11" s="123"/>
    </row>
    <row r="12" spans="1:26" x14ac:dyDescent="0.3">
      <c r="A12" s="123" t="s">
        <v>7</v>
      </c>
      <c r="B12" s="123"/>
      <c r="C12" s="123"/>
      <c r="D12" s="123"/>
      <c r="E12" s="123" t="s">
        <v>357</v>
      </c>
      <c r="F12" s="123"/>
      <c r="G12" s="123"/>
      <c r="H12" s="123"/>
    </row>
    <row r="13" spans="1:26" x14ac:dyDescent="0.3">
      <c r="A13" s="123" t="s">
        <v>168</v>
      </c>
      <c r="B13" s="123"/>
      <c r="C13" s="123"/>
      <c r="D13" s="123"/>
      <c r="E13" s="123" t="s">
        <v>338</v>
      </c>
      <c r="F13" s="123"/>
      <c r="G13" s="123"/>
      <c r="H13" s="123"/>
      <c r="S13" s="54" t="s">
        <v>176</v>
      </c>
      <c r="T13" s="54" t="s">
        <v>186</v>
      </c>
      <c r="U13" s="54" t="s">
        <v>169</v>
      </c>
      <c r="V13" s="54" t="s">
        <v>191</v>
      </c>
      <c r="W13" s="54" t="s">
        <v>209</v>
      </c>
      <c r="X13"/>
      <c r="Y13" t="s">
        <v>191</v>
      </c>
      <c r="Z13" t="e">
        <f ca="1">OFFSET($S$13,1,MATCH($G20,$S$13:$W$13,0)-1,15,1)</f>
        <v>#VALUE!</v>
      </c>
    </row>
    <row r="14" spans="1:26" x14ac:dyDescent="0.3">
      <c r="A14" s="123" t="s">
        <v>278</v>
      </c>
      <c r="B14" s="123"/>
      <c r="C14" s="123"/>
      <c r="D14" s="123"/>
      <c r="E14" s="122" t="s">
        <v>382</v>
      </c>
      <c r="F14" s="122"/>
      <c r="G14" s="122"/>
      <c r="H14" s="122"/>
      <c r="S14" s="54" t="s">
        <v>177</v>
      </c>
      <c r="T14" s="54" t="s">
        <v>184</v>
      </c>
      <c r="U14" s="54" t="s">
        <v>206</v>
      </c>
      <c r="V14" s="54" t="s">
        <v>192</v>
      </c>
      <c r="W14" s="54" t="s">
        <v>210</v>
      </c>
      <c r="X14"/>
      <c r="Y14"/>
      <c r="Z14"/>
    </row>
    <row r="15" spans="1:26" x14ac:dyDescent="0.3">
      <c r="A15" s="123" t="s">
        <v>8</v>
      </c>
      <c r="B15" s="123"/>
      <c r="C15" s="123"/>
      <c r="D15" s="123"/>
      <c r="E15" s="122" t="s">
        <v>334</v>
      </c>
      <c r="F15" s="123"/>
      <c r="G15" s="123"/>
      <c r="H15" s="123"/>
      <c r="I15" s="93" t="e">
        <f ca="1">OFFSET($D$5,1,MATCH($J13,$D$5:$H$5,0)-1,15,1)</f>
        <v>#N/A</v>
      </c>
      <c r="J15" s="94"/>
      <c r="K15" s="94"/>
      <c r="L15" s="94"/>
      <c r="M15" s="94"/>
      <c r="N15" s="94"/>
      <c r="O15" s="94"/>
      <c r="P15" s="94"/>
      <c r="S15" s="54" t="s">
        <v>178</v>
      </c>
      <c r="T15" s="54" t="s">
        <v>185</v>
      </c>
      <c r="U15" s="54" t="s">
        <v>207</v>
      </c>
      <c r="V15" s="54" t="s">
        <v>193</v>
      </c>
      <c r="W15" s="54" t="s">
        <v>223</v>
      </c>
      <c r="X15"/>
      <c r="Y15"/>
      <c r="Z15"/>
    </row>
    <row r="16" spans="1:26" ht="48.75" customHeight="1" x14ac:dyDescent="0.3">
      <c r="A16" s="122" t="s">
        <v>9</v>
      </c>
      <c r="B16" s="122"/>
      <c r="C16" s="122" t="str">
        <f>CONCATENATE((IF(OR(E9="",E9="NA"),"",E9)),", ",(IF(OR(A17="",A17="NA"),"",A17)),".",(IF(OR(C17="",C17="NA"),"",C17)),", near ",(IF(OR(C22="",C22="NA"),"",C22)),", ",(IF(OR(C19="",C19="NA"),"",C19)),", ",(IF(OR(C18="",C18="NA"),"",C18)),", ",(IF(OR(G19="",G19="NA"),"",G19)),", ",(IF(OR(C20="",C20="NA"),"",C20)),", ",(IF(OR(C21="",C21="NA"),"",C21)),", ",(IF(OR(G20="",G20="NA"),"",G20))," - ",(IF(OR(G21="",G21="NA"),"",G21)),".")</f>
        <v>Gurukrupa Dhyanam, CTS No.831/1 &amp; Redevelopement of building "Gita Prakash CHS", near Geeta Kiran Apartment, J.P.Road, Ratan nagar, Ambivali, Four Bunglows, Andheri (West), Andheri, Mumbai - 400053.</v>
      </c>
      <c r="D16" s="122"/>
      <c r="E16" s="122"/>
      <c r="F16" s="122"/>
      <c r="G16" s="122"/>
      <c r="H16" s="122"/>
      <c r="S16" s="54" t="s">
        <v>179</v>
      </c>
      <c r="T16" s="54" t="s">
        <v>187</v>
      </c>
      <c r="U16" s="54" t="s">
        <v>208</v>
      </c>
      <c r="V16" s="54" t="s">
        <v>194</v>
      </c>
      <c r="W16" s="54" t="s">
        <v>211</v>
      </c>
      <c r="X16"/>
      <c r="Y16"/>
      <c r="Z16"/>
    </row>
    <row r="17" spans="1:26" x14ac:dyDescent="0.3">
      <c r="A17" s="122" t="s">
        <v>173</v>
      </c>
      <c r="B17" s="122"/>
      <c r="C17" s="122" t="s">
        <v>339</v>
      </c>
      <c r="D17" s="122"/>
      <c r="E17" s="122"/>
      <c r="F17" s="122"/>
      <c r="G17" s="122"/>
      <c r="H17" s="122"/>
      <c r="S17" s="54" t="s">
        <v>180</v>
      </c>
      <c r="T17" s="54" t="s">
        <v>188</v>
      </c>
      <c r="U17" s="54" t="s">
        <v>169</v>
      </c>
      <c r="V17" s="54" t="s">
        <v>195</v>
      </c>
      <c r="W17" s="54" t="s">
        <v>212</v>
      </c>
      <c r="X17"/>
      <c r="Y17"/>
      <c r="Z17"/>
    </row>
    <row r="18" spans="1:26" ht="15.75" customHeight="1" x14ac:dyDescent="0.3">
      <c r="A18" s="122" t="s">
        <v>159</v>
      </c>
      <c r="B18" s="122"/>
      <c r="C18" s="122" t="s">
        <v>343</v>
      </c>
      <c r="D18" s="122"/>
      <c r="E18" s="122"/>
      <c r="F18" s="122"/>
      <c r="G18" s="122"/>
      <c r="H18" s="122"/>
      <c r="S18" s="54" t="s">
        <v>181</v>
      </c>
      <c r="T18" s="54" t="s">
        <v>186</v>
      </c>
      <c r="U18" s="54"/>
      <c r="V18" s="54" t="s">
        <v>196</v>
      </c>
      <c r="W18" s="54" t="s">
        <v>213</v>
      </c>
      <c r="X18"/>
      <c r="Y18"/>
      <c r="Z18"/>
    </row>
    <row r="19" spans="1:26" ht="36" customHeight="1" x14ac:dyDescent="0.3">
      <c r="A19" s="122" t="s">
        <v>10</v>
      </c>
      <c r="B19" s="122"/>
      <c r="C19" s="123" t="s">
        <v>341</v>
      </c>
      <c r="D19" s="123"/>
      <c r="E19" s="122" t="s">
        <v>69</v>
      </c>
      <c r="F19" s="122"/>
      <c r="G19" s="122" t="s">
        <v>340</v>
      </c>
      <c r="H19" s="122"/>
      <c r="S19" s="54" t="s">
        <v>182</v>
      </c>
      <c r="T19" s="54" t="s">
        <v>189</v>
      </c>
      <c r="U19" s="54"/>
      <c r="V19" s="54" t="s">
        <v>197</v>
      </c>
      <c r="W19" s="54" t="s">
        <v>214</v>
      </c>
      <c r="X19"/>
      <c r="Y19"/>
      <c r="Z19"/>
    </row>
    <row r="20" spans="1:26" x14ac:dyDescent="0.3">
      <c r="A20" s="123" t="s">
        <v>12</v>
      </c>
      <c r="B20" s="123"/>
      <c r="C20" s="122" t="s">
        <v>342</v>
      </c>
      <c r="D20" s="122"/>
      <c r="E20" s="122" t="s">
        <v>11</v>
      </c>
      <c r="F20" s="122"/>
      <c r="G20" s="185" t="s">
        <v>169</v>
      </c>
      <c r="H20" s="185"/>
      <c r="S20" s="54" t="s">
        <v>183</v>
      </c>
      <c r="T20" s="54" t="s">
        <v>190</v>
      </c>
      <c r="U20" s="54"/>
      <c r="V20" s="54" t="s">
        <v>198</v>
      </c>
      <c r="W20" s="54" t="s">
        <v>215</v>
      </c>
      <c r="X20"/>
      <c r="Y20"/>
      <c r="Z20"/>
    </row>
    <row r="21" spans="1:26" x14ac:dyDescent="0.3">
      <c r="A21" s="123" t="s">
        <v>70</v>
      </c>
      <c r="B21" s="123"/>
      <c r="C21" s="122" t="s">
        <v>206</v>
      </c>
      <c r="D21" s="122"/>
      <c r="E21" s="122" t="s">
        <v>13</v>
      </c>
      <c r="F21" s="122"/>
      <c r="G21" s="122">
        <v>400053</v>
      </c>
      <c r="H21" s="122"/>
      <c r="S21" s="54"/>
      <c r="T21" s="54"/>
      <c r="U21" s="54"/>
      <c r="V21" s="54" t="s">
        <v>199</v>
      </c>
      <c r="W21" s="54" t="s">
        <v>216</v>
      </c>
      <c r="X21"/>
      <c r="Y21"/>
      <c r="Z21"/>
    </row>
    <row r="22" spans="1:26" ht="32.25" customHeight="1" x14ac:dyDescent="0.3">
      <c r="A22" s="123" t="s">
        <v>119</v>
      </c>
      <c r="B22" s="123"/>
      <c r="C22" s="122" t="s">
        <v>344</v>
      </c>
      <c r="D22" s="122"/>
      <c r="E22" s="122" t="s">
        <v>14</v>
      </c>
      <c r="F22" s="122"/>
      <c r="G22" s="122" t="s">
        <v>337</v>
      </c>
      <c r="H22" s="122"/>
      <c r="S22" s="54"/>
      <c r="T22" s="54"/>
      <c r="U22" s="54"/>
      <c r="V22" s="54" t="s">
        <v>200</v>
      </c>
      <c r="W22" s="54" t="s">
        <v>217</v>
      </c>
      <c r="X22"/>
      <c r="Y22"/>
      <c r="Z22"/>
    </row>
    <row r="23" spans="1:26" ht="15" customHeight="1" x14ac:dyDescent="0.3">
      <c r="A23" s="106" t="s">
        <v>72</v>
      </c>
      <c r="B23" s="106"/>
      <c r="C23" s="106"/>
      <c r="D23" s="106"/>
      <c r="E23" s="123" t="s">
        <v>15</v>
      </c>
      <c r="F23" s="123"/>
      <c r="G23" s="123"/>
      <c r="H23" s="123"/>
      <c r="S23" s="54"/>
      <c r="T23" s="54"/>
      <c r="U23" s="54"/>
      <c r="V23" s="54" t="s">
        <v>201</v>
      </c>
      <c r="W23" s="54" t="s">
        <v>218</v>
      </c>
      <c r="X23"/>
      <c r="Y23"/>
      <c r="Z23"/>
    </row>
    <row r="24" spans="1:26" ht="18.75" customHeight="1" x14ac:dyDescent="0.3">
      <c r="A24" s="106"/>
      <c r="B24" s="106"/>
      <c r="C24" s="106"/>
      <c r="D24" s="106"/>
      <c r="E24" s="123"/>
      <c r="F24" s="123"/>
      <c r="G24" s="123"/>
      <c r="H24" s="123"/>
      <c r="S24" s="54"/>
      <c r="T24" s="54"/>
      <c r="U24" s="54"/>
      <c r="V24" s="54" t="s">
        <v>202</v>
      </c>
      <c r="W24" s="54" t="s">
        <v>219</v>
      </c>
      <c r="X24"/>
      <c r="Y24"/>
      <c r="Z24"/>
    </row>
    <row r="25" spans="1:26" ht="15" customHeight="1" x14ac:dyDescent="0.3">
      <c r="A25" s="106" t="s">
        <v>16</v>
      </c>
      <c r="B25" s="106"/>
      <c r="C25" s="106"/>
      <c r="D25" s="106"/>
      <c r="E25" s="122" t="s">
        <v>17</v>
      </c>
      <c r="F25" s="122"/>
      <c r="G25" s="122"/>
      <c r="H25" s="122"/>
      <c r="S25" s="54"/>
      <c r="T25" s="54"/>
      <c r="U25" s="54"/>
      <c r="V25" s="54" t="s">
        <v>203</v>
      </c>
      <c r="W25" s="54" t="s">
        <v>220</v>
      </c>
      <c r="X25"/>
      <c r="Y25"/>
      <c r="Z25"/>
    </row>
    <row r="26" spans="1:26" ht="15" customHeight="1" x14ac:dyDescent="0.3">
      <c r="A26" s="98" t="s">
        <v>18</v>
      </c>
      <c r="B26" s="98"/>
      <c r="C26" s="98"/>
      <c r="D26" s="98"/>
      <c r="E26" s="122" t="str">
        <f>IF(AND(G20="Mumbai"),"Upper Class","Middle Class")</f>
        <v>Upper Class</v>
      </c>
      <c r="F26" s="122"/>
      <c r="G26" s="122"/>
      <c r="H26" s="122"/>
      <c r="S26" s="54"/>
      <c r="T26" s="54"/>
      <c r="U26" s="54"/>
      <c r="V26" s="54" t="s">
        <v>204</v>
      </c>
      <c r="W26" s="54" t="s">
        <v>221</v>
      </c>
      <c r="X26"/>
      <c r="Y26"/>
      <c r="Z26"/>
    </row>
    <row r="27" spans="1:26" x14ac:dyDescent="0.3">
      <c r="A27" s="98" t="s">
        <v>19</v>
      </c>
      <c r="B27" s="98"/>
      <c r="C27" s="98"/>
      <c r="D27" s="98"/>
      <c r="E27" s="122" t="s">
        <v>20</v>
      </c>
      <c r="F27" s="122"/>
      <c r="G27" s="122"/>
      <c r="H27" s="122"/>
      <c r="S27" s="54"/>
      <c r="T27" s="54"/>
      <c r="U27" s="54"/>
      <c r="V27" s="54" t="s">
        <v>205</v>
      </c>
      <c r="W27" s="54" t="s">
        <v>222</v>
      </c>
      <c r="X27"/>
      <c r="Y27"/>
      <c r="Z27"/>
    </row>
    <row r="28" spans="1:26" ht="15.75" customHeight="1" x14ac:dyDescent="0.3">
      <c r="A28" s="98" t="s">
        <v>21</v>
      </c>
      <c r="B28" s="98"/>
      <c r="C28" s="98"/>
      <c r="D28" s="98"/>
      <c r="E28" s="122" t="str">
        <f>IF(AND(G20="Mumbai"),"Developed","Developing")</f>
        <v>Developed</v>
      </c>
      <c r="F28" s="122"/>
      <c r="G28" s="122"/>
      <c r="H28" s="122"/>
    </row>
    <row r="29" spans="1:26" x14ac:dyDescent="0.3">
      <c r="A29" s="98" t="s">
        <v>22</v>
      </c>
      <c r="B29" s="98"/>
      <c r="C29" s="98"/>
      <c r="D29" s="98"/>
      <c r="E29" s="122" t="s">
        <v>23</v>
      </c>
      <c r="F29" s="122"/>
      <c r="G29" s="122"/>
      <c r="H29" s="122"/>
    </row>
    <row r="30" spans="1:26" ht="15.75" customHeight="1" x14ac:dyDescent="0.3">
      <c r="A30" s="98" t="s">
        <v>77</v>
      </c>
      <c r="B30" s="98"/>
      <c r="C30" s="98"/>
      <c r="D30" s="98"/>
      <c r="E30" s="122" t="s">
        <v>78</v>
      </c>
      <c r="F30" s="122"/>
      <c r="G30" s="122"/>
      <c r="H30" s="122"/>
    </row>
    <row r="31" spans="1:26" ht="15" customHeight="1" x14ac:dyDescent="0.3">
      <c r="A31" s="98" t="s">
        <v>30</v>
      </c>
      <c r="B31" s="98"/>
      <c r="C31" s="98"/>
      <c r="D31" s="98"/>
      <c r="E31" s="122"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 + Commercial</v>
      </c>
      <c r="F31" s="122"/>
      <c r="G31" s="122"/>
      <c r="H31" s="122"/>
    </row>
    <row r="32" spans="1:26" ht="15.75" customHeight="1" x14ac:dyDescent="0.3">
      <c r="A32" s="98" t="s">
        <v>89</v>
      </c>
      <c r="B32" s="98"/>
      <c r="C32" s="98"/>
      <c r="D32" s="98"/>
      <c r="E32" s="122" t="s">
        <v>31</v>
      </c>
      <c r="F32" s="122"/>
      <c r="G32" s="122"/>
      <c r="H32" s="122"/>
    </row>
    <row r="33" spans="1:19" s="22" customFormat="1" x14ac:dyDescent="0.3">
      <c r="A33" s="187" t="s">
        <v>90</v>
      </c>
      <c r="B33" s="187"/>
      <c r="C33" s="96" t="s">
        <v>170</v>
      </c>
      <c r="D33" s="96"/>
      <c r="E33" s="96"/>
      <c r="F33" s="96" t="s">
        <v>29</v>
      </c>
      <c r="G33" s="96"/>
      <c r="H33" s="96"/>
      <c r="S33" s="22" t="e">
        <f ca="1">OFFSET($S$13,1,MATCH($G20,$S$13:$W$13,0)-1,15,1)</f>
        <v>#VALUE!</v>
      </c>
    </row>
    <row r="34" spans="1:19" s="22" customFormat="1" x14ac:dyDescent="0.3">
      <c r="A34" s="186" t="s">
        <v>24</v>
      </c>
      <c r="B34" s="186" t="s">
        <v>28</v>
      </c>
      <c r="C34" s="184" t="s">
        <v>347</v>
      </c>
      <c r="D34" s="184"/>
      <c r="E34" s="184"/>
      <c r="F34" s="184" t="s">
        <v>345</v>
      </c>
      <c r="G34" s="184"/>
      <c r="H34" s="184"/>
    </row>
    <row r="35" spans="1:19" x14ac:dyDescent="0.3">
      <c r="A35" s="186" t="s">
        <v>25</v>
      </c>
      <c r="B35" s="186" t="s">
        <v>28</v>
      </c>
      <c r="C35" s="184" t="s">
        <v>348</v>
      </c>
      <c r="D35" s="184"/>
      <c r="E35" s="184"/>
      <c r="F35" s="184" t="s">
        <v>346</v>
      </c>
      <c r="G35" s="184"/>
      <c r="H35" s="184"/>
    </row>
    <row r="36" spans="1:19" s="22" customFormat="1" x14ac:dyDescent="0.3">
      <c r="A36" s="186" t="s">
        <v>27</v>
      </c>
      <c r="B36" s="186" t="s">
        <v>28</v>
      </c>
      <c r="C36" s="184" t="s">
        <v>349</v>
      </c>
      <c r="D36" s="184"/>
      <c r="E36" s="184"/>
      <c r="F36" s="184" t="s">
        <v>341</v>
      </c>
      <c r="G36" s="184"/>
      <c r="H36" s="184"/>
    </row>
    <row r="37" spans="1:19" x14ac:dyDescent="0.3">
      <c r="A37" s="186" t="s">
        <v>26</v>
      </c>
      <c r="B37" s="186" t="s">
        <v>28</v>
      </c>
      <c r="C37" s="184" t="s">
        <v>350</v>
      </c>
      <c r="D37" s="184"/>
      <c r="E37" s="184"/>
      <c r="F37" s="184" t="s">
        <v>346</v>
      </c>
      <c r="G37" s="184"/>
      <c r="H37" s="184"/>
    </row>
    <row r="38" spans="1:19" x14ac:dyDescent="0.3">
      <c r="A38" s="98" t="s">
        <v>279</v>
      </c>
      <c r="B38" s="98"/>
      <c r="C38" s="98"/>
      <c r="D38" s="98"/>
      <c r="E38" s="98"/>
      <c r="F38" s="98"/>
      <c r="G38" s="98"/>
      <c r="H38" s="98"/>
    </row>
    <row r="39" spans="1:19" ht="15.75" customHeight="1" x14ac:dyDescent="0.3">
      <c r="A39" s="98" t="s">
        <v>162</v>
      </c>
      <c r="B39" s="98"/>
      <c r="C39" s="176" t="s">
        <v>336</v>
      </c>
      <c r="D39" s="176"/>
      <c r="E39" s="176"/>
      <c r="F39" s="176"/>
      <c r="G39" s="176"/>
      <c r="H39" s="176"/>
    </row>
    <row r="40" spans="1:19" x14ac:dyDescent="0.3">
      <c r="A40" s="98" t="s">
        <v>158</v>
      </c>
      <c r="B40" s="98"/>
      <c r="C40" s="215" t="s">
        <v>335</v>
      </c>
      <c r="D40" s="122"/>
      <c r="E40" s="122"/>
      <c r="F40" s="122"/>
      <c r="G40" s="122"/>
      <c r="H40" s="122"/>
    </row>
    <row r="41" spans="1:19" x14ac:dyDescent="0.3">
      <c r="A41" s="176" t="s">
        <v>32</v>
      </c>
      <c r="B41" s="176"/>
      <c r="C41" s="176"/>
      <c r="D41" s="176"/>
      <c r="E41" s="176"/>
      <c r="F41" s="176"/>
      <c r="G41" s="176"/>
      <c r="H41" s="176"/>
    </row>
    <row r="42" spans="1:19" x14ac:dyDescent="0.3">
      <c r="A42" s="98" t="s">
        <v>33</v>
      </c>
      <c r="B42" s="98"/>
      <c r="C42" s="98"/>
      <c r="D42" s="98"/>
      <c r="E42" s="191">
        <v>2815.5</v>
      </c>
      <c r="F42" s="191"/>
      <c r="G42" s="191"/>
      <c r="H42" s="191"/>
    </row>
    <row r="43" spans="1:19" x14ac:dyDescent="0.3">
      <c r="A43" s="98" t="s">
        <v>34</v>
      </c>
      <c r="B43" s="98"/>
      <c r="C43" s="98"/>
      <c r="D43" s="98"/>
      <c r="E43" s="107">
        <v>1</v>
      </c>
      <c r="F43" s="107"/>
      <c r="G43" s="107"/>
      <c r="H43" s="107"/>
    </row>
    <row r="44" spans="1:19" x14ac:dyDescent="0.3">
      <c r="A44" s="98" t="s">
        <v>35</v>
      </c>
      <c r="B44" s="98"/>
      <c r="C44" s="98"/>
      <c r="D44" s="98"/>
      <c r="E44" s="107">
        <f>E46/E42-E43</f>
        <v>2.373873201917954</v>
      </c>
      <c r="F44" s="107"/>
      <c r="G44" s="107"/>
      <c r="H44" s="107"/>
    </row>
    <row r="45" spans="1:19" x14ac:dyDescent="0.3">
      <c r="A45" s="98" t="s">
        <v>36</v>
      </c>
      <c r="B45" s="98"/>
      <c r="C45" s="98"/>
      <c r="D45" s="98"/>
      <c r="E45" s="107">
        <f>E43+E44</f>
        <v>3.373873201917954</v>
      </c>
      <c r="F45" s="107"/>
      <c r="G45" s="107"/>
      <c r="H45" s="107"/>
    </row>
    <row r="46" spans="1:19" x14ac:dyDescent="0.3">
      <c r="A46" s="98" t="s">
        <v>88</v>
      </c>
      <c r="B46" s="98"/>
      <c r="C46" s="98"/>
      <c r="D46" s="98"/>
      <c r="E46" s="205">
        <v>9499.14</v>
      </c>
      <c r="F46" s="205"/>
      <c r="G46" s="205"/>
      <c r="H46" s="205"/>
    </row>
    <row r="47" spans="1:19" x14ac:dyDescent="0.3">
      <c r="A47" s="123" t="s">
        <v>37</v>
      </c>
      <c r="B47" s="123"/>
      <c r="C47" s="123"/>
      <c r="D47" s="123"/>
      <c r="E47" s="123" t="s">
        <v>358</v>
      </c>
      <c r="F47" s="123"/>
      <c r="G47" s="123"/>
      <c r="H47" s="123"/>
    </row>
    <row r="48" spans="1:19" x14ac:dyDescent="0.3">
      <c r="A48" s="176" t="s">
        <v>38</v>
      </c>
      <c r="B48" s="176"/>
      <c r="C48" s="176"/>
      <c r="D48" s="176"/>
      <c r="E48" s="176"/>
      <c r="F48" s="176"/>
      <c r="G48" s="176"/>
      <c r="H48" s="176"/>
    </row>
    <row r="49" spans="1:24" ht="33.75" customHeight="1" x14ac:dyDescent="0.3">
      <c r="A49" s="115" t="s">
        <v>148</v>
      </c>
      <c r="B49" s="116"/>
      <c r="C49" s="224" t="s">
        <v>254</v>
      </c>
      <c r="D49" s="225"/>
      <c r="E49" s="225"/>
      <c r="F49" s="225"/>
      <c r="G49" s="225"/>
      <c r="H49" s="226"/>
      <c r="R49" t="s">
        <v>252</v>
      </c>
      <c r="S49" t="s">
        <v>169</v>
      </c>
      <c r="T49" t="s">
        <v>176</v>
      </c>
      <c r="U49" t="s">
        <v>191</v>
      </c>
      <c r="V49" t="s">
        <v>186</v>
      </c>
    </row>
    <row r="50" spans="1:24" ht="31.5" customHeight="1" x14ac:dyDescent="0.3">
      <c r="A50" s="115" t="s">
        <v>39</v>
      </c>
      <c r="B50" s="116"/>
      <c r="C50" s="115" t="s">
        <v>351</v>
      </c>
      <c r="D50" s="118"/>
      <c r="E50" s="116"/>
      <c r="F50" s="18" t="s">
        <v>40</v>
      </c>
      <c r="G50" s="119">
        <v>45747</v>
      </c>
      <c r="H50" s="120"/>
      <c r="R50"/>
      <c r="S50" t="s">
        <v>253</v>
      </c>
      <c r="T50" t="s">
        <v>258</v>
      </c>
      <c r="U50" t="s">
        <v>269</v>
      </c>
      <c r="V50" t="s">
        <v>274</v>
      </c>
    </row>
    <row r="51" spans="1:24" ht="31.05" customHeight="1" x14ac:dyDescent="0.3">
      <c r="A51" s="115" t="s">
        <v>41</v>
      </c>
      <c r="B51" s="116"/>
      <c r="C51" s="115" t="str">
        <f>C50</f>
        <v>P-16328/2023/(831/1)K/W Ward/AMBIVALI</v>
      </c>
      <c r="D51" s="118"/>
      <c r="E51" s="116"/>
      <c r="F51" s="18" t="s">
        <v>40</v>
      </c>
      <c r="G51" s="119">
        <f>G50</f>
        <v>45747</v>
      </c>
      <c r="H51" s="120"/>
      <c r="R51"/>
      <c r="S51" t="s">
        <v>254</v>
      </c>
      <c r="T51" t="s">
        <v>259</v>
      </c>
      <c r="U51" t="s">
        <v>267</v>
      </c>
      <c r="V51" t="s">
        <v>275</v>
      </c>
    </row>
    <row r="52" spans="1:24" s="23" customFormat="1" ht="32.1" customHeight="1" x14ac:dyDescent="0.3">
      <c r="A52" s="134" t="s">
        <v>384</v>
      </c>
      <c r="B52" s="135"/>
      <c r="C52" s="115" t="s">
        <v>419</v>
      </c>
      <c r="D52" s="118"/>
      <c r="E52" s="116"/>
      <c r="F52" s="18" t="s">
        <v>40</v>
      </c>
      <c r="G52" s="119">
        <v>45828</v>
      </c>
      <c r="H52" s="120"/>
      <c r="R52"/>
      <c r="S52" t="s">
        <v>255</v>
      </c>
      <c r="T52" t="s">
        <v>260</v>
      </c>
      <c r="U52" t="s">
        <v>257</v>
      </c>
      <c r="V52" t="s">
        <v>276</v>
      </c>
    </row>
    <row r="53" spans="1:24" s="23" customFormat="1" ht="82.2" customHeight="1" x14ac:dyDescent="0.3">
      <c r="A53" s="136"/>
      <c r="B53" s="137"/>
      <c r="C53" s="115" t="s">
        <v>420</v>
      </c>
      <c r="D53" s="118"/>
      <c r="E53" s="116"/>
      <c r="F53" s="18" t="s">
        <v>118</v>
      </c>
      <c r="G53" s="119">
        <v>46023</v>
      </c>
      <c r="H53" s="120"/>
      <c r="R53"/>
      <c r="S53" t="s">
        <v>256</v>
      </c>
      <c r="T53" t="s">
        <v>263</v>
      </c>
      <c r="U53" t="s">
        <v>270</v>
      </c>
    </row>
    <row r="54" spans="1:24" s="23" customFormat="1" hidden="1" x14ac:dyDescent="0.3">
      <c r="A54" s="126" t="s">
        <v>280</v>
      </c>
      <c r="B54" s="127"/>
      <c r="C54" s="115"/>
      <c r="D54" s="118"/>
      <c r="E54" s="116"/>
      <c r="F54" s="18" t="s">
        <v>40</v>
      </c>
      <c r="G54" s="115"/>
      <c r="H54" s="116"/>
      <c r="R54"/>
      <c r="S54" t="s">
        <v>255</v>
      </c>
      <c r="T54" t="s">
        <v>260</v>
      </c>
      <c r="U54" t="s">
        <v>257</v>
      </c>
      <c r="V54" t="s">
        <v>276</v>
      </c>
    </row>
    <row r="55" spans="1:24" s="23" customFormat="1" ht="32.25" hidden="1" customHeight="1" x14ac:dyDescent="0.3">
      <c r="A55" s="128"/>
      <c r="B55" s="129"/>
      <c r="C55" s="218"/>
      <c r="D55" s="219"/>
      <c r="E55" s="219"/>
      <c r="F55" s="219"/>
      <c r="G55" s="219"/>
      <c r="H55" s="220"/>
      <c r="R55"/>
      <c r="S55" t="s">
        <v>257</v>
      </c>
      <c r="T55" t="s">
        <v>261</v>
      </c>
      <c r="U55" t="s">
        <v>271</v>
      </c>
      <c r="V55" s="21"/>
      <c r="W55" s="21"/>
      <c r="X55" s="21"/>
    </row>
    <row r="56" spans="1:24" s="23" customFormat="1" ht="34.5" hidden="1" customHeight="1" x14ac:dyDescent="0.3">
      <c r="A56" s="126" t="s">
        <v>281</v>
      </c>
      <c r="B56" s="127"/>
      <c r="C56" s="115"/>
      <c r="D56" s="118"/>
      <c r="E56" s="116"/>
      <c r="F56" s="18" t="s">
        <v>40</v>
      </c>
      <c r="G56" s="115"/>
      <c r="H56" s="116"/>
      <c r="R56"/>
      <c r="S56" s="21"/>
      <c r="T56" t="s">
        <v>262</v>
      </c>
      <c r="U56" t="s">
        <v>272</v>
      </c>
      <c r="V56" s="21"/>
      <c r="W56" s="21"/>
      <c r="X56" s="21"/>
    </row>
    <row r="57" spans="1:24" s="23" customFormat="1" ht="41.25" hidden="1" customHeight="1" x14ac:dyDescent="0.3">
      <c r="A57" s="128"/>
      <c r="B57" s="129"/>
      <c r="C57" s="115"/>
      <c r="D57" s="118"/>
      <c r="E57" s="118"/>
      <c r="F57" s="118"/>
      <c r="G57" s="118"/>
      <c r="H57" s="116"/>
      <c r="R57"/>
      <c r="S57" s="21"/>
      <c r="T57" t="s">
        <v>264</v>
      </c>
      <c r="U57" t="s">
        <v>273</v>
      </c>
      <c r="V57" s="21"/>
      <c r="W57" s="21"/>
      <c r="X57" s="21"/>
    </row>
    <row r="58" spans="1:24" s="23" customFormat="1" ht="15.75" customHeight="1" x14ac:dyDescent="0.3">
      <c r="A58" s="130" t="s">
        <v>282</v>
      </c>
      <c r="B58" s="131"/>
      <c r="C58" s="115" t="s">
        <v>352</v>
      </c>
      <c r="D58" s="118"/>
      <c r="E58" s="116"/>
      <c r="F58" s="18" t="s">
        <v>40</v>
      </c>
      <c r="G58" s="119">
        <v>45012</v>
      </c>
      <c r="H58" s="116"/>
      <c r="R58"/>
      <c r="S58" s="21"/>
      <c r="T58" t="s">
        <v>265</v>
      </c>
      <c r="U58" s="21" t="s">
        <v>296</v>
      </c>
      <c r="V58" s="21"/>
      <c r="W58" s="21"/>
      <c r="X58" s="21"/>
    </row>
    <row r="59" spans="1:24" s="23" customFormat="1" ht="33.75" customHeight="1" x14ac:dyDescent="0.3">
      <c r="A59" s="132"/>
      <c r="B59" s="133"/>
      <c r="C59" s="106" t="s">
        <v>353</v>
      </c>
      <c r="D59" s="106"/>
      <c r="E59" s="106"/>
      <c r="F59" s="18" t="s">
        <v>118</v>
      </c>
      <c r="G59" s="117">
        <v>47933</v>
      </c>
      <c r="H59" s="106"/>
      <c r="R59"/>
      <c r="S59" s="21"/>
      <c r="T59" t="s">
        <v>266</v>
      </c>
      <c r="U59" s="21"/>
      <c r="V59" s="21"/>
      <c r="W59" s="21"/>
      <c r="X59" s="21"/>
    </row>
    <row r="60" spans="1:24" s="23" customFormat="1" ht="17.55" customHeight="1" x14ac:dyDescent="0.3">
      <c r="A60" s="228" t="s">
        <v>354</v>
      </c>
      <c r="B60" s="229"/>
      <c r="C60" s="115" t="s">
        <v>355</v>
      </c>
      <c r="D60" s="118"/>
      <c r="E60" s="116"/>
      <c r="F60" s="18" t="s">
        <v>40</v>
      </c>
      <c r="G60" s="119">
        <v>45104</v>
      </c>
      <c r="H60" s="116"/>
      <c r="R60"/>
      <c r="S60" t="s">
        <v>255</v>
      </c>
      <c r="T60" t="s">
        <v>260</v>
      </c>
      <c r="U60" t="s">
        <v>257</v>
      </c>
      <c r="V60" t="s">
        <v>276</v>
      </c>
    </row>
    <row r="61" spans="1:24" x14ac:dyDescent="0.3">
      <c r="A61" s="101" t="s">
        <v>42</v>
      </c>
      <c r="B61" s="102"/>
      <c r="C61" s="101" t="s">
        <v>102</v>
      </c>
      <c r="D61" s="103"/>
      <c r="E61" s="102"/>
      <c r="F61" s="45" t="s">
        <v>40</v>
      </c>
      <c r="G61" s="124" t="s">
        <v>28</v>
      </c>
      <c r="H61" s="125"/>
      <c r="R61"/>
      <c r="T61" t="s">
        <v>268</v>
      </c>
    </row>
    <row r="62" spans="1:24" x14ac:dyDescent="0.3">
      <c r="A62" s="121" t="s">
        <v>44</v>
      </c>
      <c r="B62" s="121"/>
      <c r="C62" s="121"/>
      <c r="D62" s="121"/>
      <c r="E62" s="121"/>
      <c r="F62" s="121"/>
      <c r="G62" s="121"/>
      <c r="H62" s="121"/>
      <c r="T62" t="s">
        <v>277</v>
      </c>
    </row>
    <row r="63" spans="1:24" x14ac:dyDescent="0.3">
      <c r="A63" s="106" t="s">
        <v>87</v>
      </c>
      <c r="B63" s="106"/>
      <c r="C63" s="106"/>
      <c r="D63" s="98">
        <f>E46</f>
        <v>9499.14</v>
      </c>
      <c r="E63" s="98"/>
      <c r="F63" s="98"/>
      <c r="G63" s="98"/>
      <c r="H63" s="98"/>
      <c r="R63"/>
    </row>
    <row r="64" spans="1:24" ht="31.5" customHeight="1" x14ac:dyDescent="0.3">
      <c r="A64" s="122" t="s">
        <v>45</v>
      </c>
      <c r="B64" s="123"/>
      <c r="C64" s="123"/>
      <c r="D64" s="122" t="s">
        <v>418</v>
      </c>
      <c r="E64" s="123"/>
      <c r="F64" s="123"/>
      <c r="G64" s="123"/>
      <c r="H64" s="123"/>
      <c r="I64" s="24"/>
      <c r="J64" s="21">
        <f>58+49</f>
        <v>107</v>
      </c>
      <c r="R64"/>
    </row>
    <row r="65" spans="1:19" x14ac:dyDescent="0.3">
      <c r="A65" s="130" t="s">
        <v>46</v>
      </c>
      <c r="B65" s="138"/>
      <c r="C65" s="131"/>
      <c r="D65" s="122" t="s">
        <v>403</v>
      </c>
      <c r="E65" s="123"/>
      <c r="F65" s="123"/>
      <c r="G65" s="123"/>
      <c r="H65" s="123"/>
      <c r="R65"/>
    </row>
    <row r="66" spans="1:19" ht="15.6" customHeight="1" x14ac:dyDescent="0.3">
      <c r="A66" s="130" t="s">
        <v>85</v>
      </c>
      <c r="B66" s="138"/>
      <c r="C66" s="138"/>
      <c r="D66" s="122" t="s">
        <v>403</v>
      </c>
      <c r="E66" s="123"/>
      <c r="F66" s="123"/>
      <c r="G66" s="123"/>
      <c r="H66" s="123"/>
      <c r="R66"/>
    </row>
    <row r="67" spans="1:19" ht="15.75" customHeight="1" x14ac:dyDescent="0.3">
      <c r="A67" s="98" t="s">
        <v>43</v>
      </c>
      <c r="B67" s="98"/>
      <c r="C67" s="98"/>
      <c r="D67" s="192" t="s">
        <v>356</v>
      </c>
      <c r="E67" s="192"/>
      <c r="F67" s="192"/>
      <c r="G67" s="192"/>
      <c r="H67" s="192"/>
      <c r="J67" s="25"/>
      <c r="K67" s="24"/>
      <c r="N67" s="24"/>
      <c r="S67"/>
    </row>
    <row r="68" spans="1:19" ht="15.75" customHeight="1" x14ac:dyDescent="0.3">
      <c r="A68" s="98" t="s">
        <v>83</v>
      </c>
      <c r="B68" s="98"/>
      <c r="C68" s="98"/>
      <c r="D68" s="204" t="str">
        <f>(IF(G61="NA","60 Years After Completion",IF(G61&lt;&gt;"NA",""&amp;60-ROUNDDOWN((E3-G61)/360,0)&amp;" Years"," ")))</f>
        <v>60 Years After Completion</v>
      </c>
      <c r="E68" s="204"/>
      <c r="F68" s="204"/>
      <c r="G68" s="204"/>
      <c r="H68" s="204"/>
      <c r="N68" s="24"/>
      <c r="S68"/>
    </row>
    <row r="69" spans="1:19" ht="15.75" customHeight="1" x14ac:dyDescent="0.3">
      <c r="A69" s="98" t="s">
        <v>84</v>
      </c>
      <c r="B69" s="98"/>
      <c r="C69" s="98"/>
      <c r="D69" s="106" t="s">
        <v>23</v>
      </c>
      <c r="E69" s="106"/>
      <c r="F69" s="106"/>
      <c r="G69" s="106"/>
      <c r="H69" s="106"/>
      <c r="J69" s="26"/>
      <c r="K69" s="26"/>
      <c r="S69"/>
    </row>
    <row r="70" spans="1:19" ht="51" customHeight="1" x14ac:dyDescent="0.3">
      <c r="A70" s="123" t="s">
        <v>376</v>
      </c>
      <c r="B70" s="123"/>
      <c r="C70" s="123"/>
      <c r="D70" s="122" t="s">
        <v>404</v>
      </c>
      <c r="E70" s="106"/>
      <c r="F70" s="106"/>
      <c r="G70" s="106"/>
      <c r="H70" s="106"/>
      <c r="S70"/>
    </row>
    <row r="71" spans="1:19" x14ac:dyDescent="0.3">
      <c r="A71" s="106" t="s">
        <v>145</v>
      </c>
      <c r="B71" s="106"/>
      <c r="C71" s="106"/>
      <c r="D71" s="106" t="s">
        <v>28</v>
      </c>
      <c r="E71" s="106"/>
      <c r="F71" s="106"/>
      <c r="G71" s="106"/>
      <c r="H71" s="106"/>
      <c r="I71" s="27"/>
      <c r="J71" s="27"/>
      <c r="K71" s="27"/>
      <c r="L71" s="27"/>
      <c r="M71" s="27"/>
      <c r="N71" s="27"/>
    </row>
    <row r="72" spans="1:19" ht="15.75" customHeight="1" x14ac:dyDescent="0.3">
      <c r="A72" s="98" t="s">
        <v>82</v>
      </c>
      <c r="B72" s="98"/>
      <c r="C72" s="98"/>
      <c r="D72" s="122" t="str">
        <f ca="1">(IF(G78&gt;95%,"Nothing",IF(G78&gt;0%,"Cement, Aggregate, Steel, etc",IF(G78=0%,"Work not yet Started"))))</f>
        <v>Cement, Aggregate, Steel, etc</v>
      </c>
      <c r="E72" s="122"/>
      <c r="F72" s="122"/>
      <c r="G72" s="122"/>
      <c r="H72" s="122"/>
      <c r="J72" s="26"/>
      <c r="S72"/>
    </row>
    <row r="73" spans="1:19" ht="33.75" customHeight="1" thickBot="1" x14ac:dyDescent="0.35">
      <c r="A73" s="236" t="s">
        <v>115</v>
      </c>
      <c r="B73" s="236"/>
      <c r="C73" s="236"/>
      <c r="D73" s="237" t="str">
        <f ca="1">(IF(D72="Nothing","Yes",IF(D72="Cement, Aggregate, Steel, etc","Under Construction",IF(D72="Work not yet Started","Work not yet Started"))))</f>
        <v>Under Construction</v>
      </c>
      <c r="E73" s="237"/>
      <c r="F73" s="237" t="str">
        <f ca="1">(IF(D72="Nothing","Yes",IF(D72="Cement, Aggregate, Steel, etc","Under Construction",IF(D72="Work not yet Started","Work not yet Started"))))</f>
        <v>Under Construction</v>
      </c>
      <c r="G73" s="237"/>
      <c r="H73" s="237"/>
      <c r="S73"/>
    </row>
    <row r="74" spans="1:19" ht="15.75" customHeight="1" x14ac:dyDescent="0.3">
      <c r="A74" s="221" t="s">
        <v>137</v>
      </c>
      <c r="B74" s="222"/>
      <c r="C74" s="222" t="str">
        <f>D66</f>
        <v>Wing A &amp; B = Gr/Stilt + P1 to P3 + 1st to 19th Floor</v>
      </c>
      <c r="D74" s="222"/>
      <c r="E74" s="222"/>
      <c r="F74" s="222"/>
      <c r="G74" s="222"/>
      <c r="H74" s="223"/>
      <c r="I74" s="87" t="str">
        <f ca="1">IF(D87=100%,"All work Completed. Possession granted to the Building.",IF(D86=100%,"All work Completed, Waiting for OC",I75&amp;""&amp;I76&amp;""&amp;J75&amp;""&amp;J74&amp;" "&amp;J76))</f>
        <v>Excavation, Plinth, RCC Slab, Brickwork Completed, Internal Plaster upto 15 Floor, External Plaster upto 15 Floor, Flooring upto 10 Floor Completed</v>
      </c>
      <c r="J74" s="50"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Internal Plaster upto 15 Floor, External Plaster upto 15 Floor, Flooring upto 10 Floor</v>
      </c>
      <c r="S74"/>
    </row>
    <row r="75" spans="1:19" x14ac:dyDescent="0.3">
      <c r="A75" s="16" t="s">
        <v>139</v>
      </c>
      <c r="B75" s="47">
        <f>IF(AND(ISNUMBER(SEARCH("1B",C74))),1,IF(AND(ISNUMBER(SEARCH("2B",C74))),2,IF(AND(ISNUMBER(SEARCH("3B",C74))),3,IF(AND(ISNUMBER(SEARCH("4B",C74))),4,IF(ISNUMBER(SEARCH("5B",C74)),5,0)))))</f>
        <v>0</v>
      </c>
      <c r="C75" s="47" t="s">
        <v>68</v>
      </c>
      <c r="D75" s="47">
        <v>1</v>
      </c>
      <c r="E75" s="47" t="s">
        <v>67</v>
      </c>
      <c r="F75" s="47">
        <v>3</v>
      </c>
      <c r="G75" s="47" t="s">
        <v>76</v>
      </c>
      <c r="H75" s="17">
        <f ca="1">--TRIM(RIGHT(SUBSTITUTE(LEFT(C74,_xlfn.AGGREGATE(16,6,FIND({0,1,2,3,4,5,6,7,8,9},C74,ROW(INDIRECT("1:"&amp;LEN(C74)))),1))," ",REPT(" ",LEN(C74))),LEN(C74)))</f>
        <v>19</v>
      </c>
      <c r="I75" s="88" t="str">
        <f ca="1">IF(D78=100%,"Excavation","")&amp;IF(D79=100%,", Plinth","")&amp;IF(D80=100%,", RCC Slab","")&amp;IF(D81=100%,", Brickwork","")&amp;IF(D82=100%,", Internal Plaster","")&amp;IF(D83=100%,", External Plaster","")&amp;IF(D84=100%,", Flooring","")&amp;IF(D85=100%,", Painting","")&amp;IF(D86=100%,", Building common Amenities","")</f>
        <v>Excavation, Plinth, RCC Slab, Brickwork</v>
      </c>
      <c r="J75" s="52"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ht="34.049999999999997" customHeight="1" x14ac:dyDescent="0.3">
      <c r="A76" s="206" t="s">
        <v>86</v>
      </c>
      <c r="B76" s="182"/>
      <c r="C76" s="213" t="str">
        <f ca="1">I74</f>
        <v>Excavation, Plinth, RCC Slab, Brickwork Completed, Internal Plaster upto 15 Floor, External Plaster upto 15 Floor, Flooring upto 10 Floor Completed</v>
      </c>
      <c r="D76" s="213"/>
      <c r="E76" s="213"/>
      <c r="F76" s="213"/>
      <c r="G76" s="213"/>
      <c r="H76" s="214"/>
      <c r="I76" s="88" t="str">
        <f ca="1">IF(I75&lt;&gt;""," Completed","")</f>
        <v xml:space="preserve"> Completed</v>
      </c>
      <c r="J76" s="52" t="str">
        <f ca="1">IF(J74&lt;&gt;"","Completed","")</f>
        <v>Completed</v>
      </c>
      <c r="S76"/>
    </row>
    <row r="77" spans="1:19" ht="15.75" customHeight="1" x14ac:dyDescent="0.3">
      <c r="A77" s="113" t="s">
        <v>47</v>
      </c>
      <c r="B77" s="114"/>
      <c r="C77" s="85" t="s">
        <v>136</v>
      </c>
      <c r="D77" s="85" t="s">
        <v>79</v>
      </c>
      <c r="E77" s="114" t="s">
        <v>81</v>
      </c>
      <c r="F77" s="114"/>
      <c r="G77" s="114" t="s">
        <v>80</v>
      </c>
      <c r="H77" s="238"/>
      <c r="I77" s="13" t="s">
        <v>138</v>
      </c>
      <c r="J77" s="28">
        <f ca="1">H75*25%</f>
        <v>4.75</v>
      </c>
      <c r="S77"/>
    </row>
    <row r="78" spans="1:19" x14ac:dyDescent="0.3">
      <c r="A78" s="113" t="s">
        <v>125</v>
      </c>
      <c r="B78" s="114"/>
      <c r="C78" s="85">
        <f ca="1">J79</f>
        <v>19</v>
      </c>
      <c r="D78" s="77">
        <f ca="1">((100/H75)*C78)/100</f>
        <v>1</v>
      </c>
      <c r="E78" s="193">
        <f ca="1">(((C79/H75*10)+(40/(D75+F75+H75)*C80)+(7.5/(H75)*C81)+(7.5/(H75)*C82)+(10/H75*C83)+(10/H75*C84)+(5/H75*C85)+(5/H75*C86)+(5/H75*C87))/100)</f>
        <v>0.76578947368421035</v>
      </c>
      <c r="F78" s="194"/>
      <c r="G78" s="193">
        <f ca="1">((((C78/H75)*20)+((C79/H75)*25)+(30/(H75+F75+D75)*C80)+(5/H75*C81)+(5/H75*C82)+(5/H75*C83)+(5/H75*C84)+(0/H75*C85)+(0/H75*C86)+(5/H75*C87))/100)</f>
        <v>0.90526315789473688</v>
      </c>
      <c r="H78" s="199"/>
      <c r="I78" s="13" t="s">
        <v>97</v>
      </c>
      <c r="J78" s="29">
        <f ca="1">H75*50%</f>
        <v>9.5</v>
      </c>
    </row>
    <row r="79" spans="1:19" x14ac:dyDescent="0.3">
      <c r="A79" s="113" t="s">
        <v>48</v>
      </c>
      <c r="B79" s="114"/>
      <c r="C79" s="78">
        <f ca="1">J87</f>
        <v>19</v>
      </c>
      <c r="D79" s="77">
        <f ca="1">((100/H75)*C79)/100</f>
        <v>1</v>
      </c>
      <c r="E79" s="195"/>
      <c r="F79" s="196"/>
      <c r="G79" s="195"/>
      <c r="H79" s="200"/>
      <c r="I79" s="13" t="s">
        <v>98</v>
      </c>
      <c r="J79" s="29">
        <f ca="1">H75</f>
        <v>19</v>
      </c>
      <c r="S79"/>
    </row>
    <row r="80" spans="1:19" ht="15.75" customHeight="1" x14ac:dyDescent="0.3">
      <c r="A80" s="113" t="s">
        <v>126</v>
      </c>
      <c r="B80" s="114"/>
      <c r="C80" s="85">
        <v>23</v>
      </c>
      <c r="D80" s="77">
        <f ca="1">((100/(D75+F75+H75))*C80)/100</f>
        <v>1</v>
      </c>
      <c r="E80" s="195"/>
      <c r="F80" s="196"/>
      <c r="G80" s="195"/>
      <c r="H80" s="200"/>
      <c r="I80" s="13" t="s">
        <v>99</v>
      </c>
      <c r="J80" s="30">
        <f ca="1">(IF(B75&gt;1,(H75/(B75+2)),H75/4))</f>
        <v>4.75</v>
      </c>
      <c r="S80"/>
    </row>
    <row r="81" spans="1:10" ht="15.75" customHeight="1" x14ac:dyDescent="0.3">
      <c r="A81" s="113" t="s">
        <v>133</v>
      </c>
      <c r="B81" s="114" t="s">
        <v>127</v>
      </c>
      <c r="C81" s="85">
        <f>C80-F75-D75</f>
        <v>19</v>
      </c>
      <c r="D81" s="77">
        <f ca="1">((100/H75)*C81)/100</f>
        <v>1</v>
      </c>
      <c r="E81" s="195"/>
      <c r="F81" s="196"/>
      <c r="G81" s="195"/>
      <c r="H81" s="200"/>
      <c r="I81" s="13" t="s">
        <v>100</v>
      </c>
      <c r="J81" s="30">
        <f ca="1">(IF(B75&gt;1,(H75/(B75+2)+J80),H75/4+J80))</f>
        <v>9.5</v>
      </c>
    </row>
    <row r="82" spans="1:10" ht="15.75" customHeight="1" x14ac:dyDescent="0.3">
      <c r="A82" s="113" t="s">
        <v>134</v>
      </c>
      <c r="B82" s="114" t="s">
        <v>127</v>
      </c>
      <c r="C82" s="78">
        <v>15</v>
      </c>
      <c r="D82" s="77">
        <f ca="1">((100/H75)*C82)/100</f>
        <v>0.78947368421052633</v>
      </c>
      <c r="E82" s="195"/>
      <c r="F82" s="196"/>
      <c r="G82" s="195"/>
      <c r="H82" s="200"/>
      <c r="I82" s="13" t="s">
        <v>143</v>
      </c>
      <c r="J82" s="30">
        <f>(IF(B75&gt;1,(H75/(B75+2)+J81),0))</f>
        <v>0</v>
      </c>
    </row>
    <row r="83" spans="1:10" ht="15" customHeight="1" x14ac:dyDescent="0.3">
      <c r="A83" s="113" t="s">
        <v>132</v>
      </c>
      <c r="B83" s="114" t="s">
        <v>129</v>
      </c>
      <c r="C83" s="78">
        <v>15</v>
      </c>
      <c r="D83" s="77">
        <f ca="1">((100/(H75))*C83)/100</f>
        <v>0.78947368421052633</v>
      </c>
      <c r="E83" s="195"/>
      <c r="F83" s="196"/>
      <c r="G83" s="195"/>
      <c r="H83" s="200"/>
      <c r="I83" s="13" t="s">
        <v>140</v>
      </c>
      <c r="J83" s="30">
        <f>(IF(B75&gt;2,(H75/(B75+2)+J82),0))</f>
        <v>0</v>
      </c>
    </row>
    <row r="84" spans="1:10" ht="15.75" customHeight="1" x14ac:dyDescent="0.3">
      <c r="A84" s="113" t="s">
        <v>128</v>
      </c>
      <c r="B84" s="114" t="s">
        <v>128</v>
      </c>
      <c r="C84" s="85">
        <v>10</v>
      </c>
      <c r="D84" s="77">
        <f ca="1">((100/H75)*C84)/100</f>
        <v>0.52631578947368429</v>
      </c>
      <c r="E84" s="195"/>
      <c r="F84" s="196"/>
      <c r="G84" s="195"/>
      <c r="H84" s="200"/>
      <c r="I84" s="13" t="s">
        <v>141</v>
      </c>
      <c r="J84" s="31">
        <f>(IF(B75&gt;3,(H75/(B75+2)+J83),0))</f>
        <v>0</v>
      </c>
    </row>
    <row r="85" spans="1:10" ht="15.75" customHeight="1" x14ac:dyDescent="0.3">
      <c r="A85" s="113" t="s">
        <v>135</v>
      </c>
      <c r="B85" s="114"/>
      <c r="C85" s="85">
        <v>0</v>
      </c>
      <c r="D85" s="77">
        <f ca="1">((100/H75)*C85)/100</f>
        <v>0</v>
      </c>
      <c r="E85" s="195"/>
      <c r="F85" s="196"/>
      <c r="G85" s="195"/>
      <c r="H85" s="200"/>
      <c r="I85" s="13" t="s">
        <v>142</v>
      </c>
      <c r="J85" s="30">
        <f>(IF(B75&gt;4,(H75/(B75+2)+J84),0))</f>
        <v>0</v>
      </c>
    </row>
    <row r="86" spans="1:10" ht="15.75" customHeight="1" x14ac:dyDescent="0.3">
      <c r="A86" s="113" t="s">
        <v>130</v>
      </c>
      <c r="B86" s="114" t="s">
        <v>130</v>
      </c>
      <c r="C86" s="85">
        <v>0</v>
      </c>
      <c r="D86" s="77">
        <f ca="1">((100/(H75))*C86)/100</f>
        <v>0</v>
      </c>
      <c r="E86" s="195"/>
      <c r="F86" s="196"/>
      <c r="G86" s="195"/>
      <c r="H86" s="200"/>
      <c r="I86" s="13" t="s">
        <v>144</v>
      </c>
      <c r="J86" s="30">
        <f ca="1">(IF(B75=1,(H75/(B75+3)+J81),IF(B75=0,(H75/4+J81),IF(B75&gt;1,0))))</f>
        <v>14.25</v>
      </c>
    </row>
    <row r="87" spans="1:10" ht="16.2" thickBot="1" x14ac:dyDescent="0.35">
      <c r="A87" s="202" t="s">
        <v>131</v>
      </c>
      <c r="B87" s="203"/>
      <c r="C87" s="86">
        <v>0</v>
      </c>
      <c r="D87" s="79">
        <f ca="1">((100/(H75))*C87)/100</f>
        <v>0</v>
      </c>
      <c r="E87" s="197"/>
      <c r="F87" s="198"/>
      <c r="G87" s="197"/>
      <c r="H87" s="201"/>
      <c r="I87" s="15" t="s">
        <v>101</v>
      </c>
      <c r="J87" s="32">
        <f ca="1">(IF(B75&gt;1.5,(H75/(B75+2)+J81+MAX(0,J82-J81)+MAX(0,J83-J82)+MAX(0,J84-J83)+MAX(0,J85-J84)+MAX(0,J86-J85)),IF(B75=1,(H75/(B75+3)+J86),IF(B75=0,H75/4+J86))))</f>
        <v>19</v>
      </c>
    </row>
    <row r="88" spans="1:10" ht="15.75" hidden="1" customHeight="1" x14ac:dyDescent="0.3">
      <c r="A88" s="108" t="s">
        <v>137</v>
      </c>
      <c r="B88" s="109"/>
      <c r="C88" s="110" t="e">
        <f>#REF!</f>
        <v>#REF!</v>
      </c>
      <c r="D88" s="111"/>
      <c r="E88" s="111"/>
      <c r="F88" s="111"/>
      <c r="G88" s="111"/>
      <c r="H88" s="112"/>
      <c r="I88" s="49" t="e">
        <f ca="1">IF(D101=100%,"All work Completed. Possession granted to the Building.",IF(D100=100%,"All work Completed, Waiting for OC",I89&amp;""&amp;I90&amp;""&amp;J89&amp;""&amp;J88&amp;" "&amp;J90))</f>
        <v>#REF!</v>
      </c>
      <c r="J88" s="50" t="e">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#REF!</v>
      </c>
    </row>
    <row r="89" spans="1:10" hidden="1" x14ac:dyDescent="0.3">
      <c r="A89" s="16" t="s">
        <v>139</v>
      </c>
      <c r="B89" s="47">
        <f>IF(AND(ISNUMBER(SEARCH("1B",C88))),1,IF(AND(ISNUMBER(SEARCH("2B",C88))),2,IF(AND(ISNUMBER(SEARCH("3B",C88))),3,IF(AND(ISNUMBER(SEARCH("4B",C88))),4,IF(ISNUMBER(SEARCH("5B",C88)),5,0)))))</f>
        <v>0</v>
      </c>
      <c r="C89" s="47" t="s">
        <v>68</v>
      </c>
      <c r="D89" s="47">
        <v>1</v>
      </c>
      <c r="E89" s="47" t="s">
        <v>67</v>
      </c>
      <c r="F89" s="14">
        <v>0</v>
      </c>
      <c r="G89" s="48" t="s">
        <v>76</v>
      </c>
      <c r="H89" s="17" t="e">
        <f ca="1">--TRIM(RIGHT(SUBSTITUTE(LEFT(C88,_xlfn.AGGREGATE(16,6,FIND({0,1,2,3,4,5,6,7,8,9},C88,ROW(INDIRECT("1:"&amp;LEN(C88)))),1))," ",REPT(" ",LEN(C88))),LEN(C88)))</f>
        <v>#REF!</v>
      </c>
      <c r="I89" s="51" t="e">
        <f ca="1">IF(D92=100%,"Excavation","")&amp;IF(D93=100%,", Plinth","")&amp;IF(D94=100%,", RCC Slab","")&amp;IF(D95=100%,", Brickwork","")&amp;IF(D96=100%,", Internal Plaster","")&amp;IF(D97=100%,", External Plaster","")&amp;IF(D98=100%,", Flooring","")&amp;IF(D99=100%,", Painting","")&amp;IF(D100=100%,", Building common Amenities","")</f>
        <v>#REF!</v>
      </c>
      <c r="J89" s="52" t="e">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#REF!</v>
      </c>
    </row>
    <row r="90" spans="1:10" hidden="1" x14ac:dyDescent="0.3">
      <c r="A90" s="206" t="s">
        <v>86</v>
      </c>
      <c r="B90" s="182"/>
      <c r="C90" s="213" t="e">
        <f ca="1">(IF($G$61="NA",I88,"All work Completed. OC Received."))</f>
        <v>#REF!</v>
      </c>
      <c r="D90" s="213"/>
      <c r="E90" s="213"/>
      <c r="F90" s="213"/>
      <c r="G90" s="213"/>
      <c r="H90" s="214"/>
      <c r="I90" s="51" t="e">
        <f ca="1">IF(I89&lt;&gt;""," Completed","")</f>
        <v>#REF!</v>
      </c>
      <c r="J90" s="52" t="e">
        <f ca="1">IF(J88&lt;&gt;"","Completed","")</f>
        <v>#REF!</v>
      </c>
    </row>
    <row r="91" spans="1:10" ht="15.75" hidden="1" customHeight="1" x14ac:dyDescent="0.3">
      <c r="A91" s="143" t="s">
        <v>47</v>
      </c>
      <c r="B91" s="144"/>
      <c r="C91" s="43" t="s">
        <v>136</v>
      </c>
      <c r="D91" s="43" t="s">
        <v>79</v>
      </c>
      <c r="E91" s="144" t="s">
        <v>81</v>
      </c>
      <c r="F91" s="144"/>
      <c r="G91" s="144" t="s">
        <v>80</v>
      </c>
      <c r="H91" s="155"/>
      <c r="I91" s="13" t="s">
        <v>138</v>
      </c>
      <c r="J91" s="28" t="e">
        <f ca="1">H89*25%</f>
        <v>#REF!</v>
      </c>
    </row>
    <row r="92" spans="1:10" hidden="1" x14ac:dyDescent="0.3">
      <c r="A92" s="143" t="s">
        <v>125</v>
      </c>
      <c r="B92" s="144"/>
      <c r="C92" s="59" t="e">
        <f ca="1">J93</f>
        <v>#REF!</v>
      </c>
      <c r="D92" s="19" t="e">
        <f ca="1">((100/H89)*C92)/100</f>
        <v>#REF!</v>
      </c>
      <c r="E92" s="156" t="e">
        <f ca="1">(((C93/H89*10)+(40/(D89+F89+H89)*C94)+(7.5/(H89)*C95)+(7.5/(H89)*C96)+(10/H89*C97)+(10/H89*C98)+(5/H89*C99)+(5/H89*C100)+(5/H89*C101))/100)</f>
        <v>#REF!</v>
      </c>
      <c r="F92" s="157"/>
      <c r="G92" s="156" t="e">
        <f ca="1">((((C92/H89)*20)+((C93/H89)*25)+(30/(H89+F89+D89)*C94)+(5/H89*C95)+(5/H89*C96)+(5/H89*C97)+(5/H89*C98)+(0/H89*C99)+(0/H89*C100)+(5/H89*C101))/100)</f>
        <v>#REF!</v>
      </c>
      <c r="H92" s="188"/>
      <c r="I92" s="13" t="s">
        <v>97</v>
      </c>
      <c r="J92" s="29" t="e">
        <f ca="1">H89*50%</f>
        <v>#REF!</v>
      </c>
    </row>
    <row r="93" spans="1:10" hidden="1" x14ac:dyDescent="0.3">
      <c r="A93" s="143" t="s">
        <v>48</v>
      </c>
      <c r="B93" s="144"/>
      <c r="C93" s="60" t="e">
        <f ca="1">J101</f>
        <v>#REF!</v>
      </c>
      <c r="D93" s="19" t="e">
        <f ca="1">((100/H89)*C93)/100</f>
        <v>#REF!</v>
      </c>
      <c r="E93" s="158"/>
      <c r="F93" s="159"/>
      <c r="G93" s="158"/>
      <c r="H93" s="189"/>
      <c r="I93" s="13" t="s">
        <v>98</v>
      </c>
      <c r="J93" s="29" t="e">
        <f ca="1">H89</f>
        <v>#REF!</v>
      </c>
    </row>
    <row r="94" spans="1:10" ht="15.75" hidden="1" customHeight="1" x14ac:dyDescent="0.3">
      <c r="A94" s="143" t="s">
        <v>126</v>
      </c>
      <c r="B94" s="144"/>
      <c r="C94" s="43">
        <v>0</v>
      </c>
      <c r="D94" s="19" t="e">
        <f ca="1">((100/(D89+F89+H89))*C94)/100</f>
        <v>#REF!</v>
      </c>
      <c r="E94" s="158"/>
      <c r="F94" s="159"/>
      <c r="G94" s="158"/>
      <c r="H94" s="189"/>
      <c r="I94" s="13" t="s">
        <v>99</v>
      </c>
      <c r="J94" s="30" t="e">
        <f ca="1">(IF(B89&gt;1,(H89/(B89+2)),H89/4))</f>
        <v>#REF!</v>
      </c>
    </row>
    <row r="95" spans="1:10" ht="15.75" hidden="1" customHeight="1" x14ac:dyDescent="0.3">
      <c r="A95" s="143" t="s">
        <v>133</v>
      </c>
      <c r="B95" s="144" t="s">
        <v>127</v>
      </c>
      <c r="C95" s="43">
        <v>0</v>
      </c>
      <c r="D95" s="19" t="e">
        <f ca="1">((100/H89)*C95)/100</f>
        <v>#REF!</v>
      </c>
      <c r="E95" s="158"/>
      <c r="F95" s="159"/>
      <c r="G95" s="158"/>
      <c r="H95" s="189"/>
      <c r="I95" s="13" t="s">
        <v>100</v>
      </c>
      <c r="J95" s="30" t="e">
        <f ca="1">(IF(B89&gt;1,(H89/(B89+2)+J94),H89/4+J94))</f>
        <v>#REF!</v>
      </c>
    </row>
    <row r="96" spans="1:10" ht="15.75" hidden="1" customHeight="1" x14ac:dyDescent="0.3">
      <c r="A96" s="143" t="s">
        <v>134</v>
      </c>
      <c r="B96" s="144" t="s">
        <v>127</v>
      </c>
      <c r="C96" s="43">
        <v>0</v>
      </c>
      <c r="D96" s="19" t="e">
        <f ca="1">((100/H89)*C96)/100</f>
        <v>#REF!</v>
      </c>
      <c r="E96" s="158"/>
      <c r="F96" s="159"/>
      <c r="G96" s="158"/>
      <c r="H96" s="189"/>
      <c r="I96" s="13" t="s">
        <v>143</v>
      </c>
      <c r="J96" s="30">
        <f>(IF(B89&gt;1,(H89/(B89+2)+J95),0))</f>
        <v>0</v>
      </c>
    </row>
    <row r="97" spans="1:10" ht="15" hidden="1" customHeight="1" x14ac:dyDescent="0.3">
      <c r="A97" s="143" t="s">
        <v>132</v>
      </c>
      <c r="B97" s="144" t="s">
        <v>129</v>
      </c>
      <c r="C97" s="43">
        <v>0</v>
      </c>
      <c r="D97" s="19" t="e">
        <f ca="1">((100/(H89))*C97)/100</f>
        <v>#REF!</v>
      </c>
      <c r="E97" s="158"/>
      <c r="F97" s="159"/>
      <c r="G97" s="158"/>
      <c r="H97" s="189"/>
      <c r="I97" s="13" t="s">
        <v>140</v>
      </c>
      <c r="J97" s="30">
        <f>(IF(B89&gt;2,(H89/(B89+2)+J96),0))</f>
        <v>0</v>
      </c>
    </row>
    <row r="98" spans="1:10" ht="15.75" hidden="1" customHeight="1" x14ac:dyDescent="0.3">
      <c r="A98" s="143" t="s">
        <v>128</v>
      </c>
      <c r="B98" s="144" t="s">
        <v>128</v>
      </c>
      <c r="C98" s="43">
        <v>0</v>
      </c>
      <c r="D98" s="19" t="e">
        <f ca="1">((100/H89)*C98)/100</f>
        <v>#REF!</v>
      </c>
      <c r="E98" s="158"/>
      <c r="F98" s="159"/>
      <c r="G98" s="158"/>
      <c r="H98" s="189"/>
      <c r="I98" s="13" t="s">
        <v>141</v>
      </c>
      <c r="J98" s="31">
        <f>(IF(B89&gt;3,(H89/(B89+2)+J97),0))</f>
        <v>0</v>
      </c>
    </row>
    <row r="99" spans="1:10" ht="15.75" hidden="1" customHeight="1" x14ac:dyDescent="0.3">
      <c r="A99" s="143" t="s">
        <v>135</v>
      </c>
      <c r="B99" s="144"/>
      <c r="C99" s="43">
        <v>0</v>
      </c>
      <c r="D99" s="19" t="e">
        <f ca="1">((100/H89)*C99)/100</f>
        <v>#REF!</v>
      </c>
      <c r="E99" s="158"/>
      <c r="F99" s="159"/>
      <c r="G99" s="158"/>
      <c r="H99" s="189"/>
      <c r="I99" s="13" t="s">
        <v>142</v>
      </c>
      <c r="J99" s="30">
        <f>(IF(B89&gt;4,(H89/(B89+2)+J98),0))</f>
        <v>0</v>
      </c>
    </row>
    <row r="100" spans="1:10" ht="15.75" hidden="1" customHeight="1" x14ac:dyDescent="0.3">
      <c r="A100" s="143" t="s">
        <v>130</v>
      </c>
      <c r="B100" s="144" t="s">
        <v>130</v>
      </c>
      <c r="C100" s="43">
        <v>0</v>
      </c>
      <c r="D100" s="19" t="e">
        <f ca="1">((100/(H89))*C100)/100</f>
        <v>#REF!</v>
      </c>
      <c r="E100" s="158"/>
      <c r="F100" s="159"/>
      <c r="G100" s="158"/>
      <c r="H100" s="189"/>
      <c r="I100" s="13" t="s">
        <v>144</v>
      </c>
      <c r="J100" s="30" t="e">
        <f ca="1">(IF(B89=1,(H89/(B89+3)+J95),IF(B89=0,(H89/4+J95),IF(B89&gt;1,0))))</f>
        <v>#REF!</v>
      </c>
    </row>
    <row r="101" spans="1:10" ht="16.2" hidden="1" thickBot="1" x14ac:dyDescent="0.35">
      <c r="A101" s="147" t="s">
        <v>131</v>
      </c>
      <c r="B101" s="148"/>
      <c r="C101" s="44">
        <v>0</v>
      </c>
      <c r="D101" s="20" t="e">
        <f ca="1">((100/(H89))*C101)/100</f>
        <v>#REF!</v>
      </c>
      <c r="E101" s="160"/>
      <c r="F101" s="161"/>
      <c r="G101" s="160"/>
      <c r="H101" s="190"/>
      <c r="I101" s="15" t="s">
        <v>101</v>
      </c>
      <c r="J101" s="32" t="e">
        <f ca="1">(IF(B89&gt;1.5,(H89/(B89+2)+J95+MAX(0,J96-J95)+MAX(0,J97-J96)+MAX(0,J98-J97)+MAX(0,J99-J98)+MAX(0,J100-J99)),IF(B89=1,(H89/(B89+3)+J100),IF(B89=0,H89/4+J100))))</f>
        <v>#REF!</v>
      </c>
    </row>
    <row r="102" spans="1:10" ht="15.75" hidden="1" customHeight="1" x14ac:dyDescent="0.3">
      <c r="A102" s="108" t="s">
        <v>137</v>
      </c>
      <c r="B102" s="109"/>
      <c r="C102" s="110" t="e">
        <f>#REF!</f>
        <v>#REF!</v>
      </c>
      <c r="D102" s="111"/>
      <c r="E102" s="111"/>
      <c r="F102" s="111"/>
      <c r="G102" s="111"/>
      <c r="H102" s="112"/>
      <c r="I102" s="49" t="e">
        <f ca="1">IF(D115=100%,"All work Completed. Possession granted to the Building.",IF(D114=100%,"All work Completed, Waiting for OC",I103&amp;""&amp;I104&amp;""&amp;J103&amp;""&amp;J102&amp;" "&amp;J104))</f>
        <v>#REF!</v>
      </c>
      <c r="J102" s="50" t="e">
        <f ca="1">(IF(C108=(D103+F103+H103),"",IF(C108&gt;0,", RCC upto "&amp;C108&amp;" Slab","")))&amp;(IF(C109=H103,"",IF(C109&gt;0,", Brickwork upto "&amp;C109&amp;" Floor","")))&amp;(IF(C110=H103,"",IF(C110&gt;0,", Internal Plaster upto "&amp;C110&amp;" Floor","")))&amp;(IF(C111=H103,"",IF(C111&gt;0,", External Plaster upto "&amp;C111&amp;" Floor","")))&amp;(IF(C112=H103,"",IF(C112&gt;0,", Flooring upto "&amp;C112&amp;" Floor","")))&amp;(IF(C113=H103,"",IF(C113&gt;0,", Painting upto "&amp;C113&amp;" Floor","")))&amp;(IF(C114=H103,"",IF(C114&gt;0,", Finishing upto "&amp;C114&amp;" Floor","")))&amp;(IF(C115=H103,"",IF(C115&gt;0,", Possession upto "&amp;C115&amp;" Floor","")))</f>
        <v>#REF!</v>
      </c>
    </row>
    <row r="103" spans="1:10" hidden="1" x14ac:dyDescent="0.3">
      <c r="A103" s="16" t="s">
        <v>139</v>
      </c>
      <c r="B103" s="47">
        <f>IF(AND(ISNUMBER(SEARCH("1B",C102))),1,IF(AND(ISNUMBER(SEARCH("2B",C102))),2,IF(AND(ISNUMBER(SEARCH("3B",C102))),3,IF(AND(ISNUMBER(SEARCH("4B",C102))),4,IF(ISNUMBER(SEARCH("5B",C102)),5,0)))))</f>
        <v>0</v>
      </c>
      <c r="C103" s="47" t="s">
        <v>68</v>
      </c>
      <c r="D103" s="47">
        <v>1</v>
      </c>
      <c r="E103" s="47" t="s">
        <v>67</v>
      </c>
      <c r="F103" s="14">
        <v>0</v>
      </c>
      <c r="G103" s="48" t="s">
        <v>76</v>
      </c>
      <c r="H103" s="17" t="e">
        <f ca="1">--TRIM(RIGHT(SUBSTITUTE(LEFT(C102,_xlfn.AGGREGATE(16,6,FIND({0,1,2,3,4,5,6,7,8,9},C102,ROW(INDIRECT("1:"&amp;LEN(C102)))),1))," ",REPT(" ",LEN(C102))),LEN(C102)))</f>
        <v>#REF!</v>
      </c>
      <c r="I103" s="51" t="e">
        <f ca="1">IF(D106=100%,"Excavation","")&amp;IF(D107=100%,", Plinth","")&amp;IF(D108=100%,", RCC Slab","")&amp;IF(D109=100%,", Brickwork","")&amp;IF(D110=100%,", Internal Plaster","")&amp;IF(D111=100%,", External Plaster","")&amp;IF(D112=100%,", Flooring","")&amp;IF(D113=100%,", Painting","")&amp;IF(D114=100%,", Building common Amenities","")</f>
        <v>#REF!</v>
      </c>
      <c r="J103" s="52" t="e">
        <f ca="1">(IF(C106=0,"Work not yet Started.",IF(D106=25%,"Piling work in process",IF(D106=50%,"Excavation work in process",IF(D106=100%,"","0")))))&amp;(IF(C107=0%,"",IF(C107=J108,", Footing work is process",IF(C107=J109,", Footing work Completed",IF(C107=J110,", 1st Basement Completed",IF(C107=J111,", 1st &amp; 2nd Basement Completed",IF(C107=J112,", 1st to 3rd Basement Completed",IF(C107=J113,", 1st to 4th Basement Completed",IF(C107=J114,", Plinth work is process",IF(C107=J115,"","0"))))))))))</f>
        <v>#REF!</v>
      </c>
    </row>
    <row r="104" spans="1:10" hidden="1" x14ac:dyDescent="0.3">
      <c r="A104" s="206" t="s">
        <v>86</v>
      </c>
      <c r="B104" s="182"/>
      <c r="C104" s="213" t="e">
        <f ca="1">(IF($G$61="NA",I102,"All work Completed. OC Received."))</f>
        <v>#REF!</v>
      </c>
      <c r="D104" s="213"/>
      <c r="E104" s="213"/>
      <c r="F104" s="213"/>
      <c r="G104" s="213"/>
      <c r="H104" s="214"/>
      <c r="I104" s="51" t="e">
        <f ca="1">IF(I103&lt;&gt;""," Completed","")</f>
        <v>#REF!</v>
      </c>
      <c r="J104" s="52" t="e">
        <f ca="1">IF(J102&lt;&gt;"","Completed","")</f>
        <v>#REF!</v>
      </c>
    </row>
    <row r="105" spans="1:10" ht="15.75" hidden="1" customHeight="1" x14ac:dyDescent="0.3">
      <c r="A105" s="143" t="s">
        <v>47</v>
      </c>
      <c r="B105" s="144"/>
      <c r="C105" s="43" t="s">
        <v>136</v>
      </c>
      <c r="D105" s="43" t="s">
        <v>79</v>
      </c>
      <c r="E105" s="144" t="s">
        <v>81</v>
      </c>
      <c r="F105" s="144"/>
      <c r="G105" s="144" t="s">
        <v>80</v>
      </c>
      <c r="H105" s="155"/>
      <c r="I105" s="13" t="s">
        <v>138</v>
      </c>
      <c r="J105" s="28" t="e">
        <f ca="1">H103*25%</f>
        <v>#REF!</v>
      </c>
    </row>
    <row r="106" spans="1:10" hidden="1" x14ac:dyDescent="0.3">
      <c r="A106" s="143" t="s">
        <v>125</v>
      </c>
      <c r="B106" s="144"/>
      <c r="C106" s="43" t="e">
        <f ca="1">J107</f>
        <v>#REF!</v>
      </c>
      <c r="D106" s="19" t="e">
        <f ca="1">((100/H103)*C106)/100</f>
        <v>#REF!</v>
      </c>
      <c r="E106" s="156" t="e">
        <f ca="1">(((C107/H103*10)+(40/(D103+F103+H103)*C108)+(7.5/(H103)*C109)+(7.5/(H103)*C110)+(10/H103*C111)+(10/H103*C112)+(5/H103*C113)+(5/H103*C114)+(5/H103*C115))/100)</f>
        <v>#REF!</v>
      </c>
      <c r="F106" s="157"/>
      <c r="G106" s="156" t="e">
        <f ca="1">((((C106/H103)*20)+((C107/H103)*25)+(30/(H103+F103+D103)*C108)+(5/H103*C109)+(5/H103*C110)+(5/H103*C111)+(5/H103*C112)+(0/H103*C113)+(0/H103*C114)+(5/H103*C115))/100)</f>
        <v>#REF!</v>
      </c>
      <c r="H106" s="188"/>
      <c r="I106" s="13" t="s">
        <v>97</v>
      </c>
      <c r="J106" s="29" t="e">
        <f ca="1">H103*50%</f>
        <v>#REF!</v>
      </c>
    </row>
    <row r="107" spans="1:10" hidden="1" x14ac:dyDescent="0.3">
      <c r="A107" s="143" t="s">
        <v>48</v>
      </c>
      <c r="B107" s="144"/>
      <c r="C107" s="43" t="e">
        <f ca="1">J115</f>
        <v>#REF!</v>
      </c>
      <c r="D107" s="19" t="e">
        <f ca="1">((100/H103)*C107)/100</f>
        <v>#REF!</v>
      </c>
      <c r="E107" s="158"/>
      <c r="F107" s="159"/>
      <c r="G107" s="158"/>
      <c r="H107" s="189"/>
      <c r="I107" s="13" t="s">
        <v>98</v>
      </c>
      <c r="J107" s="29" t="e">
        <f ca="1">H103</f>
        <v>#REF!</v>
      </c>
    </row>
    <row r="108" spans="1:10" ht="15.75" hidden="1" customHeight="1" x14ac:dyDescent="0.3">
      <c r="A108" s="143" t="s">
        <v>126</v>
      </c>
      <c r="B108" s="144"/>
      <c r="C108" s="43" t="e">
        <f ca="1">D103+H103</f>
        <v>#REF!</v>
      </c>
      <c r="D108" s="19" t="e">
        <f ca="1">((100/(D103+F103+H103))*C108)/100</f>
        <v>#REF!</v>
      </c>
      <c r="E108" s="158"/>
      <c r="F108" s="159"/>
      <c r="G108" s="158"/>
      <c r="H108" s="189"/>
      <c r="I108" s="13" t="s">
        <v>99</v>
      </c>
      <c r="J108" s="30" t="e">
        <f ca="1">(IF(B103&gt;1,(H103/(B103+2)),H103/4))</f>
        <v>#REF!</v>
      </c>
    </row>
    <row r="109" spans="1:10" ht="15.75" hidden="1" customHeight="1" x14ac:dyDescent="0.3">
      <c r="A109" s="143" t="s">
        <v>133</v>
      </c>
      <c r="B109" s="144" t="s">
        <v>127</v>
      </c>
      <c r="C109" s="43">
        <v>0</v>
      </c>
      <c r="D109" s="19" t="e">
        <f ca="1">((100/H103)*C109)/100</f>
        <v>#REF!</v>
      </c>
      <c r="E109" s="158"/>
      <c r="F109" s="159"/>
      <c r="G109" s="158"/>
      <c r="H109" s="189"/>
      <c r="I109" s="13" t="s">
        <v>100</v>
      </c>
      <c r="J109" s="30" t="e">
        <f ca="1">(IF(B103&gt;1,(H103/(B103+2)+J108),H103/4+J108))</f>
        <v>#REF!</v>
      </c>
    </row>
    <row r="110" spans="1:10" ht="15.75" hidden="1" customHeight="1" x14ac:dyDescent="0.3">
      <c r="A110" s="143" t="s">
        <v>134</v>
      </c>
      <c r="B110" s="144" t="s">
        <v>127</v>
      </c>
      <c r="C110" s="43">
        <v>0</v>
      </c>
      <c r="D110" s="19" t="e">
        <f ca="1">((100/H103)*C110)/100</f>
        <v>#REF!</v>
      </c>
      <c r="E110" s="158"/>
      <c r="F110" s="159"/>
      <c r="G110" s="158"/>
      <c r="H110" s="189"/>
      <c r="I110" s="13" t="s">
        <v>143</v>
      </c>
      <c r="J110" s="30">
        <f>(IF(B103&gt;1,(H103/(B103+2)+J109),0))</f>
        <v>0</v>
      </c>
    </row>
    <row r="111" spans="1:10" ht="15" hidden="1" customHeight="1" x14ac:dyDescent="0.3">
      <c r="A111" s="143" t="s">
        <v>132</v>
      </c>
      <c r="B111" s="144" t="s">
        <v>129</v>
      </c>
      <c r="C111" s="43">
        <v>0</v>
      </c>
      <c r="D111" s="19" t="e">
        <f ca="1">((100/(H103))*C111)/100</f>
        <v>#REF!</v>
      </c>
      <c r="E111" s="158"/>
      <c r="F111" s="159"/>
      <c r="G111" s="158"/>
      <c r="H111" s="189"/>
      <c r="I111" s="13" t="s">
        <v>140</v>
      </c>
      <c r="J111" s="30">
        <f>(IF(B103&gt;2,(H103/(B103+2)+J110),0))</f>
        <v>0</v>
      </c>
    </row>
    <row r="112" spans="1:10" ht="15.75" hidden="1" customHeight="1" x14ac:dyDescent="0.3">
      <c r="A112" s="143" t="s">
        <v>128</v>
      </c>
      <c r="B112" s="144" t="s">
        <v>128</v>
      </c>
      <c r="C112" s="43">
        <v>0</v>
      </c>
      <c r="D112" s="19" t="e">
        <f ca="1">((100/H103)*C112)/100</f>
        <v>#REF!</v>
      </c>
      <c r="E112" s="158"/>
      <c r="F112" s="159"/>
      <c r="G112" s="158"/>
      <c r="H112" s="189"/>
      <c r="I112" s="13" t="s">
        <v>141</v>
      </c>
      <c r="J112" s="31">
        <f>(IF(B103&gt;3,(H103/(B103+2)+J111),0))</f>
        <v>0</v>
      </c>
    </row>
    <row r="113" spans="1:22" ht="15.75" hidden="1" customHeight="1" x14ac:dyDescent="0.3">
      <c r="A113" s="143" t="s">
        <v>135</v>
      </c>
      <c r="B113" s="144"/>
      <c r="C113" s="43">
        <v>0</v>
      </c>
      <c r="D113" s="19" t="e">
        <f ca="1">((100/H103)*C113)/100</f>
        <v>#REF!</v>
      </c>
      <c r="E113" s="158"/>
      <c r="F113" s="159"/>
      <c r="G113" s="158"/>
      <c r="H113" s="189"/>
      <c r="I113" s="13" t="s">
        <v>142</v>
      </c>
      <c r="J113" s="30">
        <f>(IF(B103&gt;4,(H103/(B103+2)+J112),0))</f>
        <v>0</v>
      </c>
    </row>
    <row r="114" spans="1:22" ht="15.75" hidden="1" customHeight="1" x14ac:dyDescent="0.3">
      <c r="A114" s="143" t="s">
        <v>130</v>
      </c>
      <c r="B114" s="144" t="s">
        <v>130</v>
      </c>
      <c r="C114" s="43">
        <v>0</v>
      </c>
      <c r="D114" s="19" t="e">
        <f ca="1">((100/(H103))*C114)/100</f>
        <v>#REF!</v>
      </c>
      <c r="E114" s="158"/>
      <c r="F114" s="159"/>
      <c r="G114" s="158"/>
      <c r="H114" s="189"/>
      <c r="I114" s="13" t="s">
        <v>144</v>
      </c>
      <c r="J114" s="30" t="e">
        <f ca="1">(IF(B103=1,(H103/(B103+3)+J109),IF(B103=0,(H103/4+J109),IF(B103&gt;1,0))))</f>
        <v>#REF!</v>
      </c>
    </row>
    <row r="115" spans="1:22" ht="16.2" hidden="1" thickBot="1" x14ac:dyDescent="0.35">
      <c r="A115" s="147" t="s">
        <v>131</v>
      </c>
      <c r="B115" s="148"/>
      <c r="C115" s="44">
        <v>0</v>
      </c>
      <c r="D115" s="20" t="e">
        <f ca="1">((100/(H103))*C115)/100</f>
        <v>#REF!</v>
      </c>
      <c r="E115" s="160"/>
      <c r="F115" s="161"/>
      <c r="G115" s="160"/>
      <c r="H115" s="190"/>
      <c r="I115" s="15" t="s">
        <v>101</v>
      </c>
      <c r="J115" s="32" t="e">
        <f ca="1">(IF(B103&gt;1.5,(H103/(B103+2)+J109+MAX(0,J110-J109)+MAX(0,J111-J110)+MAX(0,J112-J111)+MAX(0,J113-J112)+MAX(0,J114-J113)),IF(B103=1,(H103/(B103+3)+J114),IF(B103=0,H103/4+J114))))</f>
        <v>#REF!</v>
      </c>
    </row>
    <row r="116" spans="1:22" x14ac:dyDescent="0.3">
      <c r="A116" s="227" t="s">
        <v>153</v>
      </c>
      <c r="B116" s="227"/>
      <c r="C116" s="227"/>
      <c r="D116" s="227"/>
      <c r="E116" s="227"/>
      <c r="F116" s="239" t="s">
        <v>157</v>
      </c>
      <c r="G116" s="239"/>
      <c r="H116" s="239"/>
      <c r="I116" s="80"/>
      <c r="J116" s="80" t="s">
        <v>378</v>
      </c>
      <c r="K116" s="80" t="s">
        <v>379</v>
      </c>
      <c r="L116" s="80" t="s">
        <v>381</v>
      </c>
      <c r="M116" s="80" t="s">
        <v>380</v>
      </c>
      <c r="N116" s="80"/>
      <c r="R116" t="s">
        <v>252</v>
      </c>
      <c r="S116" t="s">
        <v>169</v>
      </c>
      <c r="T116" t="s">
        <v>176</v>
      </c>
      <c r="U116" t="s">
        <v>191</v>
      </c>
      <c r="V116" t="s">
        <v>186</v>
      </c>
    </row>
    <row r="117" spans="1:22" x14ac:dyDescent="0.3">
      <c r="A117" s="98" t="s">
        <v>155</v>
      </c>
      <c r="B117" s="98"/>
      <c r="C117" s="98"/>
      <c r="D117" s="98"/>
      <c r="E117" s="98"/>
      <c r="F117" s="95">
        <v>31000</v>
      </c>
      <c r="G117" s="95"/>
      <c r="H117" s="95"/>
      <c r="I117" s="83" t="e">
        <f>AVERAGE(J117:M117)</f>
        <v>#REF!</v>
      </c>
      <c r="J117" s="83" t="e">
        <f>AVERAGE(J176,J187,#REF!)</f>
        <v>#REF!</v>
      </c>
      <c r="K117" s="83">
        <f>45500/1.5</f>
        <v>30333.333333333332</v>
      </c>
      <c r="L117" s="80">
        <f>45000/1.5</f>
        <v>30000</v>
      </c>
      <c r="M117" s="80">
        <v>24000</v>
      </c>
      <c r="N117" s="80"/>
      <c r="R117"/>
      <c r="S117">
        <v>800000</v>
      </c>
      <c r="T117">
        <v>150000</v>
      </c>
      <c r="U117">
        <v>100000</v>
      </c>
      <c r="V117">
        <v>100000</v>
      </c>
    </row>
    <row r="118" spans="1:22" x14ac:dyDescent="0.3">
      <c r="A118" s="98" t="s">
        <v>154</v>
      </c>
      <c r="B118" s="98"/>
      <c r="C118" s="98"/>
      <c r="D118" s="98"/>
      <c r="E118" s="98"/>
      <c r="F118" s="95">
        <v>45000</v>
      </c>
      <c r="G118" s="95"/>
      <c r="H118" s="95"/>
      <c r="I118" s="80"/>
      <c r="J118" s="80"/>
      <c r="K118" s="80"/>
      <c r="L118" s="80"/>
      <c r="M118" s="80"/>
      <c r="N118" s="80"/>
      <c r="R118"/>
      <c r="S118">
        <v>900000</v>
      </c>
      <c r="T118">
        <v>200000</v>
      </c>
      <c r="U118">
        <v>150000</v>
      </c>
      <c r="V118">
        <v>150000</v>
      </c>
    </row>
    <row r="119" spans="1:22" x14ac:dyDescent="0.3">
      <c r="A119" s="98" t="s">
        <v>156</v>
      </c>
      <c r="B119" s="98"/>
      <c r="C119" s="98"/>
      <c r="D119" s="98"/>
      <c r="E119" s="98"/>
      <c r="F119" s="95">
        <v>35000</v>
      </c>
      <c r="G119" s="95"/>
      <c r="H119" s="95"/>
      <c r="I119" s="80"/>
      <c r="J119" s="80"/>
      <c r="K119" s="80"/>
      <c r="L119" s="80"/>
      <c r="M119" s="80"/>
      <c r="N119" s="80"/>
      <c r="R119"/>
      <c r="S119">
        <v>1000000</v>
      </c>
      <c r="T119">
        <v>250000</v>
      </c>
      <c r="U119">
        <v>200000</v>
      </c>
      <c r="V119">
        <v>200000</v>
      </c>
    </row>
    <row r="120" spans="1:22" s="33" customFormat="1" ht="15" hidden="1" customHeight="1" x14ac:dyDescent="0.3">
      <c r="A120" s="98" t="s">
        <v>172</v>
      </c>
      <c r="B120" s="98"/>
      <c r="C120" s="98"/>
      <c r="D120" s="98"/>
      <c r="E120" s="98"/>
      <c r="F120" s="95"/>
      <c r="G120" s="95"/>
      <c r="H120" s="95"/>
      <c r="I120" s="81"/>
      <c r="J120" s="81"/>
      <c r="K120" s="81"/>
      <c r="L120" s="81"/>
      <c r="M120" s="81"/>
      <c r="N120" s="81"/>
      <c r="R120"/>
      <c r="S120">
        <v>1100000</v>
      </c>
      <c r="T120">
        <v>300000</v>
      </c>
      <c r="U120">
        <v>250000</v>
      </c>
      <c r="V120" s="23">
        <v>250000</v>
      </c>
    </row>
    <row r="121" spans="1:22" s="33" customFormat="1" hidden="1" x14ac:dyDescent="0.3">
      <c r="A121" s="98" t="s">
        <v>91</v>
      </c>
      <c r="B121" s="98"/>
      <c r="C121" s="98"/>
      <c r="D121" s="98"/>
      <c r="E121" s="98"/>
      <c r="F121" s="95"/>
      <c r="G121" s="95"/>
      <c r="H121" s="95"/>
      <c r="I121" s="81"/>
      <c r="J121" s="81"/>
      <c r="K121" s="81"/>
      <c r="L121" s="81"/>
      <c r="M121" s="81"/>
      <c r="N121" s="81"/>
      <c r="R121"/>
      <c r="S121">
        <v>1200000</v>
      </c>
      <c r="T121">
        <v>350000</v>
      </c>
      <c r="U121">
        <v>300000</v>
      </c>
      <c r="V121">
        <v>300000</v>
      </c>
    </row>
    <row r="122" spans="1:22" s="33" customFormat="1" hidden="1" x14ac:dyDescent="0.3">
      <c r="A122" s="98" t="s">
        <v>92</v>
      </c>
      <c r="B122" s="98"/>
      <c r="C122" s="98"/>
      <c r="D122" s="98"/>
      <c r="E122" s="98"/>
      <c r="F122" s="95"/>
      <c r="G122" s="95"/>
      <c r="H122" s="95"/>
      <c r="I122" s="81"/>
      <c r="J122" s="81"/>
      <c r="K122" s="81"/>
      <c r="L122" s="81"/>
      <c r="M122" s="81"/>
      <c r="N122" s="81"/>
      <c r="R122"/>
      <c r="S122">
        <v>1300000</v>
      </c>
      <c r="T122">
        <v>400000</v>
      </c>
      <c r="U122">
        <v>350000</v>
      </c>
      <c r="V122" s="23">
        <v>400000</v>
      </c>
    </row>
    <row r="123" spans="1:22" s="33" customFormat="1" hidden="1" x14ac:dyDescent="0.3">
      <c r="A123" s="98" t="s">
        <v>93</v>
      </c>
      <c r="B123" s="98"/>
      <c r="C123" s="98"/>
      <c r="D123" s="98"/>
      <c r="E123" s="98"/>
      <c r="F123" s="95"/>
      <c r="G123" s="95"/>
      <c r="H123" s="95"/>
      <c r="I123" s="81"/>
      <c r="J123" s="81"/>
      <c r="K123" s="81"/>
      <c r="L123" s="81"/>
      <c r="M123" s="81"/>
      <c r="N123" s="81"/>
      <c r="R123"/>
      <c r="S123">
        <v>1400000</v>
      </c>
      <c r="T123">
        <v>500000</v>
      </c>
      <c r="U123">
        <v>400000</v>
      </c>
      <c r="V123"/>
    </row>
    <row r="124" spans="1:22" s="33" customFormat="1" hidden="1" x14ac:dyDescent="0.3">
      <c r="A124" s="98" t="s">
        <v>94</v>
      </c>
      <c r="B124" s="98"/>
      <c r="C124" s="98"/>
      <c r="D124" s="98"/>
      <c r="E124" s="98"/>
      <c r="F124" s="95"/>
      <c r="G124" s="95"/>
      <c r="H124" s="95"/>
      <c r="I124" s="81"/>
      <c r="J124" s="81"/>
      <c r="K124" s="81"/>
      <c r="L124" s="81"/>
      <c r="M124" s="81"/>
      <c r="N124" s="81"/>
      <c r="R124"/>
      <c r="S124">
        <v>1500000</v>
      </c>
      <c r="T124">
        <v>600000</v>
      </c>
      <c r="U124">
        <v>500000</v>
      </c>
      <c r="V124" s="23"/>
    </row>
    <row r="125" spans="1:22" s="33" customFormat="1" hidden="1" x14ac:dyDescent="0.3">
      <c r="A125" s="98" t="s">
        <v>95</v>
      </c>
      <c r="B125" s="98"/>
      <c r="C125" s="98"/>
      <c r="D125" s="98"/>
      <c r="E125" s="98"/>
      <c r="F125" s="95"/>
      <c r="G125" s="95"/>
      <c r="H125" s="95"/>
      <c r="I125" s="81"/>
      <c r="J125" s="81"/>
      <c r="K125" s="81"/>
      <c r="L125" s="81"/>
      <c r="M125" s="81"/>
      <c r="N125" s="81"/>
      <c r="R125"/>
      <c r="S125">
        <v>1600000</v>
      </c>
      <c r="T125">
        <v>700000</v>
      </c>
      <c r="U125">
        <v>600000</v>
      </c>
      <c r="V125"/>
    </row>
    <row r="126" spans="1:22" s="33" customFormat="1" hidden="1" x14ac:dyDescent="0.3">
      <c r="A126" s="98" t="s">
        <v>96</v>
      </c>
      <c r="B126" s="98"/>
      <c r="C126" s="98"/>
      <c r="D126" s="98"/>
      <c r="E126" s="98"/>
      <c r="F126" s="95"/>
      <c r="G126" s="95"/>
      <c r="H126" s="95"/>
      <c r="I126" s="81"/>
      <c r="J126" s="81"/>
      <c r="K126" s="81"/>
      <c r="L126" s="81"/>
      <c r="M126" s="81"/>
      <c r="N126" s="81"/>
      <c r="R126"/>
      <c r="S126">
        <v>1700000</v>
      </c>
      <c r="T126">
        <v>800000</v>
      </c>
      <c r="U126"/>
      <c r="V126" s="23"/>
    </row>
    <row r="127" spans="1:22" x14ac:dyDescent="0.3">
      <c r="A127" s="98" t="s">
        <v>49</v>
      </c>
      <c r="B127" s="98"/>
      <c r="C127" s="98"/>
      <c r="D127" s="98"/>
      <c r="E127" s="98"/>
      <c r="F127" s="95">
        <v>1000000</v>
      </c>
      <c r="G127" s="95"/>
      <c r="H127" s="95"/>
      <c r="I127" s="80"/>
      <c r="J127" s="80"/>
      <c r="K127" s="80"/>
      <c r="L127" s="80"/>
      <c r="M127" s="80"/>
      <c r="N127" s="80"/>
      <c r="R127"/>
      <c r="S127">
        <v>1800000</v>
      </c>
      <c r="T127">
        <v>900000</v>
      </c>
      <c r="U127"/>
    </row>
    <row r="128" spans="1:22" s="34" customFormat="1" x14ac:dyDescent="0.3">
      <c r="A128" s="176" t="s">
        <v>50</v>
      </c>
      <c r="B128" s="176"/>
      <c r="C128" s="176"/>
      <c r="D128" s="176"/>
      <c r="E128" s="176"/>
      <c r="F128" s="95">
        <f>F117*0.8</f>
        <v>24800</v>
      </c>
      <c r="G128" s="95"/>
      <c r="H128" s="95"/>
      <c r="I128" s="82"/>
      <c r="J128" s="82"/>
      <c r="K128" s="82"/>
      <c r="L128" s="82"/>
      <c r="M128" s="82"/>
      <c r="N128" s="82"/>
      <c r="R128" s="21"/>
      <c r="S128" s="21"/>
      <c r="T128">
        <v>1000000</v>
      </c>
      <c r="U128"/>
      <c r="V128" s="21"/>
    </row>
    <row r="129" spans="1:22" s="35" customFormat="1" ht="15.75" customHeight="1" x14ac:dyDescent="0.3">
      <c r="A129" s="175" t="s">
        <v>71</v>
      </c>
      <c r="B129" s="175"/>
      <c r="C129" s="175"/>
      <c r="D129" s="175"/>
      <c r="E129" s="175"/>
      <c r="F129" s="175"/>
      <c r="G129" s="175"/>
      <c r="H129" s="175"/>
      <c r="R129"/>
      <c r="S129" s="21"/>
      <c r="T129"/>
      <c r="U129"/>
      <c r="V129" s="21"/>
    </row>
    <row r="130" spans="1:22" s="35" customFormat="1" ht="15.75" customHeight="1" x14ac:dyDescent="0.3">
      <c r="A130" s="97" t="s">
        <v>51</v>
      </c>
      <c r="B130" s="97"/>
      <c r="C130" s="149" t="s">
        <v>74</v>
      </c>
      <c r="D130" s="149"/>
      <c r="E130" s="104" t="s">
        <v>52</v>
      </c>
      <c r="F130" s="104"/>
      <c r="G130" s="97" t="s">
        <v>53</v>
      </c>
      <c r="H130" s="97"/>
      <c r="R130"/>
      <c r="S130" s="21"/>
      <c r="T130"/>
      <c r="U130" s="21"/>
      <c r="V130" s="21"/>
    </row>
    <row r="131" spans="1:22" s="35" customFormat="1" x14ac:dyDescent="0.3">
      <c r="A131" s="177" t="s">
        <v>360</v>
      </c>
      <c r="B131" s="177"/>
      <c r="C131" s="145">
        <f>COUNT(F153:F162)</f>
        <v>10</v>
      </c>
      <c r="D131" s="146"/>
      <c r="E131" s="145">
        <f>SUM(F153:F162)</f>
        <v>7070.8715999999995</v>
      </c>
      <c r="F131" s="146"/>
      <c r="G131" s="145">
        <f>SUM(H153:H162)</f>
        <v>10959.850979999997</v>
      </c>
      <c r="H131" s="146"/>
      <c r="R131"/>
      <c r="S131" s="21"/>
      <c r="T131"/>
      <c r="U131" s="21"/>
      <c r="V131" s="21"/>
    </row>
    <row r="132" spans="1:22" s="35" customFormat="1" x14ac:dyDescent="0.3">
      <c r="A132" s="170" t="s">
        <v>147</v>
      </c>
      <c r="B132" s="170"/>
      <c r="C132" s="171">
        <f>SUM(C131:C131)</f>
        <v>10</v>
      </c>
      <c r="D132" s="105"/>
      <c r="E132" s="140">
        <f>SUM(E131:E131)</f>
        <v>7070.8715999999995</v>
      </c>
      <c r="F132" s="172"/>
      <c r="G132" s="140">
        <f>SUM(G131:G131)</f>
        <v>10959.850979999997</v>
      </c>
      <c r="H132" s="140"/>
      <c r="R132"/>
      <c r="S132" s="21"/>
      <c r="T132"/>
      <c r="U132" s="21"/>
      <c r="V132" s="21"/>
    </row>
    <row r="133" spans="1:22" s="35" customFormat="1" x14ac:dyDescent="0.3">
      <c r="A133" s="170" t="s">
        <v>374</v>
      </c>
      <c r="B133" s="170"/>
      <c r="C133" s="170"/>
      <c r="D133" s="170"/>
      <c r="E133" s="170"/>
      <c r="F133" s="170"/>
      <c r="G133" s="170"/>
      <c r="H133" s="170"/>
      <c r="T133"/>
    </row>
    <row r="134" spans="1:22" s="35" customFormat="1" ht="15.75" customHeight="1" x14ac:dyDescent="0.3">
      <c r="A134" s="140" t="s">
        <v>51</v>
      </c>
      <c r="B134" s="140"/>
      <c r="C134" s="105" t="s">
        <v>74</v>
      </c>
      <c r="D134" s="105"/>
      <c r="E134" s="172" t="s">
        <v>52</v>
      </c>
      <c r="F134" s="172"/>
      <c r="G134" s="140" t="s">
        <v>53</v>
      </c>
      <c r="H134" s="140"/>
      <c r="T134"/>
    </row>
    <row r="135" spans="1:22" s="35" customFormat="1" x14ac:dyDescent="0.3">
      <c r="A135" s="177" t="s">
        <v>363</v>
      </c>
      <c r="B135" s="177"/>
      <c r="C135" s="145">
        <f>COUNT(F179)+COUNT(F188)*2+COUNT(F192:F193)+COUNT(F195:F196)+COUNT(F200)+COUNT(F203:F204)*3+COUNT(F207:F209)*2+COUNT(F211:F212)+COUNT(F215:F217)*3</f>
        <v>31</v>
      </c>
      <c r="D135" s="145"/>
      <c r="E135" s="145">
        <f>SUM(F179)+SUM(F188)*2+SUM(F192:F193)+SUM(F195:F196)+SUM(F200)+SUM(F203:F204)*3+SUM(F207:F209)*2+SUM(F211:F212)+SUM(F215:F217)*3</f>
        <v>25326.830879999994</v>
      </c>
      <c r="F135" s="145"/>
      <c r="G135" s="145">
        <f>SUM(H179)+SUM(H188)*2+SUM(H192:H193)+SUM(H195:H196)+SUM(H200)+SUM(H203:H204)*3+SUM(H207:H209)*2+SUM(H211:H212)+SUM(H215:H217)*3</f>
        <v>37990.246319999998</v>
      </c>
      <c r="H135" s="145"/>
      <c r="J135" s="35">
        <f>59+48</f>
        <v>107</v>
      </c>
      <c r="T135"/>
    </row>
    <row r="136" spans="1:22" s="35" customFormat="1" x14ac:dyDescent="0.3">
      <c r="A136" s="177" t="s">
        <v>368</v>
      </c>
      <c r="B136" s="177"/>
      <c r="C136" s="145">
        <f>COUNT(F230:F231)+COUNT(F234)+COUNT(F238,F240)+COUNT(F242:F243)+COUNT(F246:F247)*4+COUNT(F250:F252)*2+COUNT(F254)+COUNT(F258:F259)*3</f>
        <v>28</v>
      </c>
      <c r="D136" s="145"/>
      <c r="E136" s="145">
        <f>SUM(F230:F231)+SUM(F234)+SUM(F238,F240)+SUM(F242:F243)+SUM(F246:F247)*4+SUM(F250:F252)*2+SUM(F254)+SUM(F258:F259)*3</f>
        <v>23131.297799999997</v>
      </c>
      <c r="F136" s="145"/>
      <c r="G136" s="145">
        <f>SUM(H230:H231)+SUM(H234)+SUM(H238,H240)+SUM(H242:H243)+SUM(H246:H247)*4+SUM(H250:H252)*2+SUM(H254)+SUM(H258:H259)*3</f>
        <v>34696.946699999993</v>
      </c>
      <c r="H136" s="145"/>
      <c r="T136"/>
    </row>
    <row r="137" spans="1:22" s="35" customFormat="1" x14ac:dyDescent="0.3">
      <c r="A137" s="234" t="s">
        <v>147</v>
      </c>
      <c r="B137" s="234"/>
      <c r="C137" s="150">
        <f>SUM(C135:C136)</f>
        <v>59</v>
      </c>
      <c r="D137" s="151"/>
      <c r="E137" s="169">
        <f>SUM(E135:E136)</f>
        <v>48458.128679999994</v>
      </c>
      <c r="F137" s="235"/>
      <c r="G137" s="169">
        <f>SUM(G135:G136)</f>
        <v>72687.193019999992</v>
      </c>
      <c r="H137" s="169"/>
      <c r="T137"/>
    </row>
    <row r="138" spans="1:22" s="35" customFormat="1" x14ac:dyDescent="0.3">
      <c r="A138" s="170" t="s">
        <v>375</v>
      </c>
      <c r="B138" s="170"/>
      <c r="C138" s="170"/>
      <c r="D138" s="170"/>
      <c r="E138" s="170"/>
      <c r="F138" s="170"/>
      <c r="G138" s="170"/>
      <c r="H138" s="170"/>
      <c r="T138"/>
    </row>
    <row r="139" spans="1:22" s="35" customFormat="1" ht="15.75" customHeight="1" x14ac:dyDescent="0.3">
      <c r="A139" s="140" t="s">
        <v>51</v>
      </c>
      <c r="B139" s="140"/>
      <c r="C139" s="105" t="s">
        <v>74</v>
      </c>
      <c r="D139" s="105"/>
      <c r="E139" s="172" t="s">
        <v>52</v>
      </c>
      <c r="F139" s="172"/>
      <c r="G139" s="140" t="s">
        <v>53</v>
      </c>
      <c r="H139" s="140"/>
      <c r="T139"/>
    </row>
    <row r="140" spans="1:22" s="35" customFormat="1" x14ac:dyDescent="0.3">
      <c r="A140" s="162" t="s">
        <v>363</v>
      </c>
      <c r="B140" s="162"/>
      <c r="C140" s="163">
        <f>COUNT(F175:F177)*3+COUNT(F180:F181)+COUNT(F183:F184)+COUNT(F187,F189)*2+COUNT(F191)+COUNT(F197)+COUNT(F199,F201)+COUNT(F205)*3</f>
        <v>24</v>
      </c>
      <c r="D140" s="163"/>
      <c r="E140" s="163">
        <f>SUM(F175:F177)*3+SUM(F180:F181)+SUM(F183:F184)+SUM(F187,F189)*2+SUM(F191)+SUM(F197)+SUM(F199,F201)+SUM(F205)*3</f>
        <v>18978.438959999999</v>
      </c>
      <c r="F140" s="163"/>
      <c r="G140" s="163">
        <f>SUM(H175:H177)*3+SUM(H180:H181)+SUM(H183:H184)+SUM(H187,H189)*2+SUM(H191)+SUM(H197)+SUM(H199,H201)+SUM(H205)*3</f>
        <v>28467.658439999999</v>
      </c>
      <c r="H140" s="163"/>
      <c r="T140"/>
    </row>
    <row r="141" spans="1:22" s="35" customFormat="1" x14ac:dyDescent="0.3">
      <c r="A141" s="162" t="s">
        <v>368</v>
      </c>
      <c r="B141" s="162"/>
      <c r="C141" s="163">
        <f>COUNT(F222:F224)*4+COUNT(F226:F227)+COUNT(F232)+COUNT(F235:F236)+COUNT(F239)+COUNT(F244)+COUNT(F248)*4+COUNT(F255)</f>
        <v>24</v>
      </c>
      <c r="D141" s="163"/>
      <c r="E141" s="163">
        <f>SUM(F222:F224)*4+SUM(F226:F227)+SUM(F232)+SUM(F235:F236)+SUM(F239)+SUM(F244)+SUM(F248)*4+SUM(F255)</f>
        <v>18978.438959999999</v>
      </c>
      <c r="F141" s="163"/>
      <c r="G141" s="163">
        <f>SUM(H222:H224)*4+SUM(H226:H227)+SUM(H232)+SUM(H235:H236)+SUM(H239)+SUM(H244)+SUM(H248)*4+SUM(H255)</f>
        <v>28467.658439999996</v>
      </c>
      <c r="H141" s="163"/>
      <c r="T141"/>
    </row>
    <row r="142" spans="1:22" s="35" customFormat="1" x14ac:dyDescent="0.3">
      <c r="A142" s="164" t="s">
        <v>147</v>
      </c>
      <c r="B142" s="164"/>
      <c r="C142" s="165">
        <f>SUM(C140:C141)</f>
        <v>48</v>
      </c>
      <c r="D142" s="166"/>
      <c r="E142" s="167">
        <f>SUM(E140:E141)</f>
        <v>37956.877919999999</v>
      </c>
      <c r="F142" s="168"/>
      <c r="G142" s="233">
        <f>SUM(G140:G141)</f>
        <v>56935.316879999998</v>
      </c>
      <c r="H142" s="233"/>
      <c r="T142"/>
    </row>
    <row r="143" spans="1:22" s="35" customFormat="1" x14ac:dyDescent="0.3">
      <c r="A143" s="170" t="s">
        <v>414</v>
      </c>
      <c r="B143" s="170"/>
      <c r="C143" s="170"/>
      <c r="D143" s="170"/>
      <c r="E143" s="170"/>
      <c r="F143" s="170"/>
      <c r="G143" s="170"/>
      <c r="H143" s="170"/>
      <c r="T143"/>
    </row>
    <row r="144" spans="1:22" s="35" customFormat="1" ht="15.75" customHeight="1" x14ac:dyDescent="0.3">
      <c r="A144" s="140" t="s">
        <v>51</v>
      </c>
      <c r="B144" s="140"/>
      <c r="C144" s="105" t="s">
        <v>74</v>
      </c>
      <c r="D144" s="105"/>
      <c r="E144" s="172" t="s">
        <v>52</v>
      </c>
      <c r="F144" s="172"/>
      <c r="G144" s="140" t="s">
        <v>53</v>
      </c>
      <c r="H144" s="140"/>
      <c r="T144"/>
    </row>
    <row r="145" spans="1:20" s="35" customFormat="1" ht="16.2" thickBot="1" x14ac:dyDescent="0.35">
      <c r="A145" s="162" t="s">
        <v>368</v>
      </c>
      <c r="B145" s="162"/>
      <c r="C145" s="163">
        <f>COUNT(F260)*3</f>
        <v>3</v>
      </c>
      <c r="D145" s="163"/>
      <c r="E145" s="163">
        <f>SUM(F260)*3</f>
        <v>2195.5330799999997</v>
      </c>
      <c r="F145" s="163"/>
      <c r="G145" s="163">
        <f>SUM(H260)*3</f>
        <v>3293.2996199999998</v>
      </c>
      <c r="H145" s="163"/>
      <c r="T145"/>
    </row>
    <row r="146" spans="1:20" s="35" customFormat="1" ht="16.2" thickBot="1" x14ac:dyDescent="0.35">
      <c r="A146" s="248" t="s">
        <v>163</v>
      </c>
      <c r="B146" s="249"/>
      <c r="C146" s="250">
        <f>C132+C137+C142+C145</f>
        <v>120</v>
      </c>
      <c r="D146" s="251"/>
      <c r="E146" s="252">
        <f>E132+E137+E142</f>
        <v>93485.878199999992</v>
      </c>
      <c r="F146" s="252"/>
      <c r="G146" s="216">
        <f>G132+G137+G142</f>
        <v>140582.36087999999</v>
      </c>
      <c r="H146" s="217"/>
      <c r="T146"/>
    </row>
    <row r="147" spans="1:20" s="34" customFormat="1" x14ac:dyDescent="0.3">
      <c r="A147" s="245" t="s">
        <v>54</v>
      </c>
      <c r="B147" s="245"/>
      <c r="C147" s="245"/>
      <c r="D147" s="245"/>
      <c r="E147" s="245"/>
      <c r="F147" s="245"/>
      <c r="G147" s="245"/>
      <c r="H147" s="245"/>
      <c r="T147" s="35"/>
    </row>
    <row r="148" spans="1:20" x14ac:dyDescent="0.3">
      <c r="A148" s="96" t="s">
        <v>171</v>
      </c>
      <c r="B148" s="96"/>
      <c r="C148" s="96"/>
      <c r="D148" s="96"/>
      <c r="E148" s="96"/>
      <c r="F148" s="96"/>
      <c r="G148" s="96"/>
      <c r="H148" s="96"/>
      <c r="T148" s="35"/>
    </row>
    <row r="149" spans="1:20" ht="47.25" customHeight="1" x14ac:dyDescent="0.3">
      <c r="A149" s="141" t="s">
        <v>373</v>
      </c>
      <c r="B149" s="141" t="s">
        <v>174</v>
      </c>
      <c r="C149" s="141" t="s">
        <v>55</v>
      </c>
      <c r="D149" s="141" t="s">
        <v>230</v>
      </c>
      <c r="E149" s="211" t="s">
        <v>152</v>
      </c>
      <c r="F149" s="141" t="s">
        <v>56</v>
      </c>
      <c r="G149" s="211" t="s">
        <v>57</v>
      </c>
      <c r="H149" s="74" t="s">
        <v>146</v>
      </c>
      <c r="T149" s="35"/>
    </row>
    <row r="150" spans="1:20" s="37" customFormat="1" x14ac:dyDescent="0.3">
      <c r="A150" s="142"/>
      <c r="B150" s="142"/>
      <c r="C150" s="142"/>
      <c r="D150" s="142"/>
      <c r="E150" s="212"/>
      <c r="F150" s="142"/>
      <c r="G150" s="212"/>
      <c r="H150" s="75">
        <v>0.55000000000000004</v>
      </c>
      <c r="T150" s="35"/>
    </row>
    <row r="151" spans="1:20" s="37" customFormat="1" x14ac:dyDescent="0.3">
      <c r="A151" s="240" t="s">
        <v>387</v>
      </c>
      <c r="B151" s="241"/>
      <c r="C151" s="241"/>
      <c r="D151" s="241"/>
      <c r="E151" s="241"/>
      <c r="F151" s="241"/>
      <c r="G151" s="241"/>
      <c r="H151" s="242"/>
      <c r="J151" s="76">
        <v>10.763999999999999</v>
      </c>
      <c r="T151" s="35"/>
    </row>
    <row r="152" spans="1:20" s="37" customFormat="1" x14ac:dyDescent="0.3">
      <c r="A152" s="208" t="s">
        <v>359</v>
      </c>
      <c r="B152" s="209"/>
      <c r="C152" s="209"/>
      <c r="D152" s="209"/>
      <c r="E152" s="209"/>
      <c r="F152" s="209"/>
      <c r="G152" s="209"/>
      <c r="H152" s="210"/>
      <c r="J152" s="36"/>
      <c r="T152" s="35"/>
    </row>
    <row r="153" spans="1:20" s="37" customFormat="1" ht="49.05" customHeight="1" x14ac:dyDescent="0.3">
      <c r="A153" s="230">
        <v>1</v>
      </c>
      <c r="B153" s="231"/>
      <c r="C153" s="42" t="s">
        <v>388</v>
      </c>
      <c r="D153" s="76">
        <f t="shared" ref="D153:D162" si="0">(52.89)*10.764</f>
        <v>569.30795999999998</v>
      </c>
      <c r="E153" s="76">
        <f t="shared" ref="E153:E158" si="1">(3.84*10)*10.764</f>
        <v>413.33759999999995</v>
      </c>
      <c r="F153" s="42">
        <f>D153+(IF(E153&lt;201,E153,IF(E153&lt;301,E153/2,E153/3)))</f>
        <v>707.08715999999993</v>
      </c>
      <c r="G153" s="42">
        <v>0</v>
      </c>
      <c r="H153" s="42">
        <f>(F153+(IF(G153&lt;101,G153,IF(G153&lt;201,G153/2,IF(G153&lt;=301,G153/3,G153/4)))))*(($H$150)+1)</f>
        <v>1095.9850979999999</v>
      </c>
      <c r="I153" s="36">
        <f>3.84*7.36+1.09*1.35+1.85*1.2</f>
        <v>31.953899999999997</v>
      </c>
      <c r="L153" s="207"/>
      <c r="M153" s="207"/>
      <c r="N153" s="36"/>
      <c r="T153" s="35"/>
    </row>
    <row r="154" spans="1:20" s="37" customFormat="1" ht="46.5" customHeight="1" x14ac:dyDescent="0.3">
      <c r="A154" s="230">
        <f t="shared" ref="A154:A162" si="2">A153+1</f>
        <v>2</v>
      </c>
      <c r="B154" s="231"/>
      <c r="C154" s="42" t="s">
        <v>362</v>
      </c>
      <c r="D154" s="76">
        <f t="shared" si="0"/>
        <v>569.30795999999998</v>
      </c>
      <c r="E154" s="76">
        <f t="shared" si="1"/>
        <v>413.33759999999995</v>
      </c>
      <c r="F154" s="42">
        <f t="shared" ref="F154:F156" si="3">D154+(IF(E154&lt;201,E154,IF(E154&lt;301,E154/2,E154/3)))</f>
        <v>707.08715999999993</v>
      </c>
      <c r="G154" s="42">
        <v>0</v>
      </c>
      <c r="H154" s="42">
        <f t="shared" ref="H154:H156" si="4">(F154+(IF(G154&lt;101,G154,IF(G154&lt;201,G154/2,IF(G154&lt;=301,G154/3,G154/4)))))*(($H$150)+1)</f>
        <v>1095.9850979999999</v>
      </c>
      <c r="I154" s="36"/>
      <c r="L154" s="207"/>
      <c r="M154" s="207"/>
      <c r="N154" s="36"/>
      <c r="T154" s="34"/>
    </row>
    <row r="155" spans="1:20" s="37" customFormat="1" ht="48" customHeight="1" x14ac:dyDescent="0.3">
      <c r="A155" s="230">
        <f t="shared" si="2"/>
        <v>3</v>
      </c>
      <c r="B155" s="231"/>
      <c r="C155" s="42" t="s">
        <v>389</v>
      </c>
      <c r="D155" s="76">
        <f t="shared" si="0"/>
        <v>569.30795999999998</v>
      </c>
      <c r="E155" s="76">
        <f t="shared" si="1"/>
        <v>413.33759999999995</v>
      </c>
      <c r="F155" s="42">
        <f t="shared" si="3"/>
        <v>707.08715999999993</v>
      </c>
      <c r="G155" s="42">
        <v>0</v>
      </c>
      <c r="H155" s="42">
        <f t="shared" si="4"/>
        <v>1095.9850979999999</v>
      </c>
      <c r="I155" s="36"/>
      <c r="L155" s="232">
        <f>65435000/H155</f>
        <v>59704.278935369257</v>
      </c>
      <c r="M155" s="232"/>
      <c r="N155" s="36"/>
      <c r="T155" s="21"/>
    </row>
    <row r="156" spans="1:20" s="37" customFormat="1" ht="67.5" customHeight="1" x14ac:dyDescent="0.3">
      <c r="A156" s="230">
        <f t="shared" si="2"/>
        <v>4</v>
      </c>
      <c r="B156" s="231"/>
      <c r="C156" s="42" t="s">
        <v>390</v>
      </c>
      <c r="D156" s="76">
        <f t="shared" si="0"/>
        <v>569.30795999999998</v>
      </c>
      <c r="E156" s="76">
        <f t="shared" si="1"/>
        <v>413.33759999999995</v>
      </c>
      <c r="F156" s="42">
        <f t="shared" si="3"/>
        <v>707.08715999999993</v>
      </c>
      <c r="G156" s="42">
        <v>0</v>
      </c>
      <c r="H156" s="42">
        <f t="shared" si="4"/>
        <v>1095.9850979999999</v>
      </c>
      <c r="I156" s="36"/>
      <c r="L156" s="207"/>
      <c r="M156" s="207"/>
      <c r="N156" s="36"/>
      <c r="T156" s="21"/>
    </row>
    <row r="157" spans="1:20" s="37" customFormat="1" ht="30.6" customHeight="1" x14ac:dyDescent="0.3">
      <c r="A157" s="230">
        <f t="shared" si="2"/>
        <v>5</v>
      </c>
      <c r="B157" s="231"/>
      <c r="C157" s="42" t="s">
        <v>361</v>
      </c>
      <c r="D157" s="76">
        <f t="shared" si="0"/>
        <v>569.30795999999998</v>
      </c>
      <c r="E157" s="76">
        <f t="shared" si="1"/>
        <v>413.33759999999995</v>
      </c>
      <c r="F157" s="42">
        <f t="shared" ref="F157:F159" si="5">D157+(IF(E157&lt;201,E157,IF(E157&lt;301,E157/2,E157/3)))</f>
        <v>707.08715999999993</v>
      </c>
      <c r="G157" s="42">
        <v>0</v>
      </c>
      <c r="H157" s="42">
        <f t="shared" ref="H157:H159" si="6">(F157+(IF(G157&lt;101,G157,IF(G157&lt;201,G157/2,IF(G157&lt;=301,G157/3,G157/4)))))*(($H$150)+1)</f>
        <v>1095.9850979999999</v>
      </c>
      <c r="I157" s="36"/>
      <c r="L157" s="207"/>
      <c r="M157" s="207"/>
      <c r="N157" s="36"/>
      <c r="T157" s="34"/>
    </row>
    <row r="158" spans="1:20" s="37" customFormat="1" ht="70.5" customHeight="1" x14ac:dyDescent="0.3">
      <c r="A158" s="230">
        <f t="shared" si="2"/>
        <v>6</v>
      </c>
      <c r="B158" s="231"/>
      <c r="C158" s="42" t="s">
        <v>391</v>
      </c>
      <c r="D158" s="76">
        <f t="shared" si="0"/>
        <v>569.30795999999998</v>
      </c>
      <c r="E158" s="76">
        <f t="shared" si="1"/>
        <v>413.33759999999995</v>
      </c>
      <c r="F158" s="42">
        <f t="shared" si="5"/>
        <v>707.08715999999993</v>
      </c>
      <c r="G158" s="42">
        <v>0</v>
      </c>
      <c r="H158" s="42">
        <f t="shared" si="6"/>
        <v>1095.9850979999999</v>
      </c>
      <c r="I158" s="36"/>
      <c r="L158" s="207"/>
      <c r="M158" s="207"/>
      <c r="N158" s="36"/>
      <c r="T158" s="21"/>
    </row>
    <row r="159" spans="1:20" s="37" customFormat="1" ht="46.5" customHeight="1" x14ac:dyDescent="0.3">
      <c r="A159" s="230">
        <f t="shared" si="2"/>
        <v>7</v>
      </c>
      <c r="B159" s="231"/>
      <c r="C159" s="42" t="s">
        <v>392</v>
      </c>
      <c r="D159" s="76">
        <f t="shared" si="0"/>
        <v>569.30795999999998</v>
      </c>
      <c r="E159" s="76">
        <f t="shared" ref="E159:E162" si="7">(3.84*10)*10.764</f>
        <v>413.33759999999995</v>
      </c>
      <c r="F159" s="42">
        <f t="shared" si="5"/>
        <v>707.08715999999993</v>
      </c>
      <c r="G159" s="42">
        <v>0</v>
      </c>
      <c r="H159" s="42">
        <f t="shared" si="6"/>
        <v>1095.9850979999999</v>
      </c>
      <c r="I159" s="36"/>
      <c r="L159" s="207"/>
      <c r="M159" s="207"/>
      <c r="N159" s="36"/>
      <c r="T159" s="21"/>
    </row>
    <row r="160" spans="1:20" s="37" customFormat="1" ht="46.05" customHeight="1" x14ac:dyDescent="0.3">
      <c r="A160" s="230">
        <f t="shared" si="2"/>
        <v>8</v>
      </c>
      <c r="B160" s="231"/>
      <c r="C160" s="42" t="s">
        <v>393</v>
      </c>
      <c r="D160" s="76">
        <f t="shared" si="0"/>
        <v>569.30795999999998</v>
      </c>
      <c r="E160" s="76">
        <f t="shared" si="7"/>
        <v>413.33759999999995</v>
      </c>
      <c r="F160" s="42">
        <f t="shared" ref="F160:F161" si="8">D160+(IF(E160&lt;201,E160,IF(E160&lt;301,E160/2,E160/3)))</f>
        <v>707.08715999999993</v>
      </c>
      <c r="G160" s="42">
        <v>0</v>
      </c>
      <c r="H160" s="42">
        <f t="shared" ref="H160:H161" si="9">(F160+(IF(G160&lt;101,G160,IF(G160&lt;201,G160/2,IF(G160&lt;=301,G160/3,G160/4)))))*(($H$150)+1)</f>
        <v>1095.9850979999999</v>
      </c>
      <c r="I160" s="36"/>
      <c r="L160" s="207"/>
      <c r="M160" s="207"/>
      <c r="N160" s="36"/>
      <c r="T160" s="21"/>
    </row>
    <row r="161" spans="1:20" s="37" customFormat="1" ht="46.5" customHeight="1" x14ac:dyDescent="0.3">
      <c r="A161" s="230">
        <f t="shared" si="2"/>
        <v>9</v>
      </c>
      <c r="B161" s="231"/>
      <c r="C161" s="42" t="s">
        <v>394</v>
      </c>
      <c r="D161" s="76">
        <f t="shared" si="0"/>
        <v>569.30795999999998</v>
      </c>
      <c r="E161" s="76">
        <f t="shared" si="7"/>
        <v>413.33759999999995</v>
      </c>
      <c r="F161" s="42">
        <f t="shared" si="8"/>
        <v>707.08715999999993</v>
      </c>
      <c r="G161" s="42">
        <v>0</v>
      </c>
      <c r="H161" s="42">
        <f t="shared" si="9"/>
        <v>1095.9850979999999</v>
      </c>
      <c r="I161" s="36"/>
      <c r="L161" s="207"/>
      <c r="M161" s="207"/>
      <c r="N161" s="36"/>
      <c r="T161" s="21"/>
    </row>
    <row r="162" spans="1:20" s="37" customFormat="1" ht="51" customHeight="1" x14ac:dyDescent="0.3">
      <c r="A162" s="230">
        <f t="shared" si="2"/>
        <v>10</v>
      </c>
      <c r="B162" s="231"/>
      <c r="C162" s="42" t="s">
        <v>395</v>
      </c>
      <c r="D162" s="76">
        <f t="shared" si="0"/>
        <v>569.30795999999998</v>
      </c>
      <c r="E162" s="76">
        <f t="shared" si="7"/>
        <v>413.33759999999995</v>
      </c>
      <c r="F162" s="42">
        <f t="shared" ref="F162" si="10">D162+(IF(E162&lt;201,E162,IF(E162&lt;301,E162/2,E162/3)))</f>
        <v>707.08715999999993</v>
      </c>
      <c r="G162" s="42">
        <v>0</v>
      </c>
      <c r="H162" s="42">
        <f t="shared" ref="H162" si="11">(F162+(IF(G162&lt;101,G162,IF(G162&lt;201,G162/2,IF(G162&lt;=301,G162/3,G162/4)))))*(($H$150)+1)</f>
        <v>1095.9850979999999</v>
      </c>
      <c r="I162" s="36"/>
      <c r="L162" s="207"/>
      <c r="M162" s="207"/>
      <c r="N162" s="36"/>
      <c r="T162" s="21"/>
    </row>
    <row r="163" spans="1:20" s="37" customFormat="1" hidden="1" x14ac:dyDescent="0.3">
      <c r="A163" s="208" t="s">
        <v>116</v>
      </c>
      <c r="B163" s="209"/>
      <c r="C163" s="209"/>
      <c r="D163" s="209"/>
      <c r="E163" s="209"/>
      <c r="F163" s="209"/>
      <c r="G163" s="209"/>
      <c r="H163" s="210"/>
      <c r="J163" s="36"/>
      <c r="T163" s="35"/>
    </row>
    <row r="164" spans="1:20" s="37" customFormat="1" ht="15.75" hidden="1" customHeight="1" x14ac:dyDescent="0.3">
      <c r="A164" s="99">
        <v>1</v>
      </c>
      <c r="B164" s="100"/>
      <c r="C164" s="73"/>
      <c r="D164" s="73">
        <v>0</v>
      </c>
      <c r="E164" s="73">
        <v>0</v>
      </c>
      <c r="F164" s="73">
        <f>D164+(IF(E164&lt;201,E164,IF(E164&lt;301,E164/2,E164/3)))</f>
        <v>0</v>
      </c>
      <c r="G164" s="73">
        <v>0</v>
      </c>
      <c r="H164" s="73">
        <f>(F164+(IF(G164&lt;101,G164,IF(G164&lt;201,G164/2,IF(G164&lt;=301,G164/3,G164/4)))))*(($H$150)+1)</f>
        <v>0</v>
      </c>
      <c r="I164" s="36"/>
      <c r="L164" s="207"/>
      <c r="M164" s="207"/>
      <c r="N164" s="36"/>
      <c r="T164" s="35"/>
    </row>
    <row r="165" spans="1:20" s="37" customFormat="1" ht="15.75" hidden="1" customHeight="1" x14ac:dyDescent="0.3">
      <c r="A165" s="99">
        <f>A164+1</f>
        <v>2</v>
      </c>
      <c r="B165" s="100"/>
      <c r="C165" s="73"/>
      <c r="D165" s="73"/>
      <c r="E165" s="73">
        <v>0</v>
      </c>
      <c r="F165" s="73">
        <f t="shared" ref="F165:F167" si="12">D165+(IF(E165&lt;201,E165,IF(E165&lt;301,E165/2,E165/3)))</f>
        <v>0</v>
      </c>
      <c r="G165" s="73">
        <v>0</v>
      </c>
      <c r="H165" s="73">
        <f t="shared" ref="H165:H167" si="13">(F165+(IF(G165&lt;101,G165,IF(G165&lt;201,G165/2,IF(G165&lt;=301,G165/3,G165/4)))))*(($H$150)+1)</f>
        <v>0</v>
      </c>
      <c r="I165" s="36"/>
      <c r="L165" s="207"/>
      <c r="M165" s="207"/>
      <c r="N165" s="36"/>
      <c r="T165" s="34"/>
    </row>
    <row r="166" spans="1:20" s="37" customFormat="1" ht="15.75" hidden="1" customHeight="1" x14ac:dyDescent="0.3">
      <c r="A166" s="99">
        <f>A165+1</f>
        <v>3</v>
      </c>
      <c r="B166" s="100"/>
      <c r="C166" s="73"/>
      <c r="D166" s="73"/>
      <c r="E166" s="73">
        <v>0</v>
      </c>
      <c r="F166" s="73">
        <f t="shared" si="12"/>
        <v>0</v>
      </c>
      <c r="G166" s="73">
        <v>0</v>
      </c>
      <c r="H166" s="73">
        <f t="shared" si="13"/>
        <v>0</v>
      </c>
      <c r="I166" s="36"/>
      <c r="L166" s="207"/>
      <c r="M166" s="207"/>
      <c r="N166" s="36"/>
      <c r="T166" s="21"/>
    </row>
    <row r="167" spans="1:20" s="37" customFormat="1" ht="15.75" hidden="1" customHeight="1" x14ac:dyDescent="0.3">
      <c r="A167" s="99">
        <f>A166+1</f>
        <v>4</v>
      </c>
      <c r="B167" s="100"/>
      <c r="C167" s="73"/>
      <c r="D167" s="73"/>
      <c r="E167" s="73">
        <v>0</v>
      </c>
      <c r="F167" s="73">
        <f t="shared" si="12"/>
        <v>0</v>
      </c>
      <c r="G167" s="73">
        <v>0</v>
      </c>
      <c r="H167" s="73">
        <f t="shared" si="13"/>
        <v>0</v>
      </c>
      <c r="I167" s="36"/>
      <c r="L167" s="207"/>
      <c r="M167" s="207"/>
      <c r="N167" s="36"/>
      <c r="T167" s="21"/>
    </row>
    <row r="168" spans="1:20" s="37" customFormat="1" x14ac:dyDescent="0.3">
      <c r="A168" s="99"/>
      <c r="B168" s="244"/>
      <c r="C168" s="244"/>
      <c r="D168" s="244"/>
      <c r="E168" s="244"/>
      <c r="F168" s="244"/>
      <c r="G168" s="244"/>
      <c r="H168" s="100"/>
      <c r="I168" s="36"/>
      <c r="N168" s="36"/>
    </row>
    <row r="169" spans="1:20" ht="47.25" customHeight="1" x14ac:dyDescent="0.3">
      <c r="A169" s="246" t="s">
        <v>372</v>
      </c>
      <c r="B169" s="141" t="s">
        <v>366</v>
      </c>
      <c r="C169" s="141" t="s">
        <v>55</v>
      </c>
      <c r="D169" s="141" t="s">
        <v>230</v>
      </c>
      <c r="E169" s="141" t="s">
        <v>229</v>
      </c>
      <c r="F169" s="141" t="s">
        <v>56</v>
      </c>
      <c r="G169" s="211" t="s">
        <v>57</v>
      </c>
      <c r="H169" s="74" t="s">
        <v>146</v>
      </c>
      <c r="I169" s="36"/>
      <c r="T169" s="37"/>
    </row>
    <row r="170" spans="1:20" s="37" customFormat="1" x14ac:dyDescent="0.3">
      <c r="A170" s="247"/>
      <c r="B170" s="142"/>
      <c r="C170" s="142"/>
      <c r="D170" s="142"/>
      <c r="E170" s="142"/>
      <c r="F170" s="142"/>
      <c r="G170" s="212"/>
      <c r="H170" s="75">
        <v>0.5</v>
      </c>
      <c r="I170" s="36"/>
    </row>
    <row r="171" spans="1:20" s="37" customFormat="1" x14ac:dyDescent="0.3">
      <c r="A171" s="240" t="s">
        <v>363</v>
      </c>
      <c r="B171" s="241"/>
      <c r="C171" s="241"/>
      <c r="D171" s="241"/>
      <c r="E171" s="241"/>
      <c r="F171" s="241"/>
      <c r="G171" s="241"/>
      <c r="H171" s="242"/>
      <c r="J171" s="36"/>
    </row>
    <row r="172" spans="1:20" s="37" customFormat="1" x14ac:dyDescent="0.3">
      <c r="A172" s="152" t="s">
        <v>396</v>
      </c>
      <c r="B172" s="153"/>
      <c r="C172" s="153"/>
      <c r="D172" s="153"/>
      <c r="E172" s="153"/>
      <c r="F172" s="153"/>
      <c r="G172" s="153"/>
      <c r="H172" s="154"/>
      <c r="J172" s="36"/>
    </row>
    <row r="173" spans="1:20" s="37" customFormat="1" x14ac:dyDescent="0.3">
      <c r="A173" s="152" t="s">
        <v>397</v>
      </c>
      <c r="B173" s="153"/>
      <c r="C173" s="153"/>
      <c r="D173" s="153"/>
      <c r="E173" s="153"/>
      <c r="F173" s="153"/>
      <c r="G173" s="153"/>
      <c r="H173" s="154"/>
      <c r="J173" s="36"/>
    </row>
    <row r="174" spans="1:20" s="37" customFormat="1" x14ac:dyDescent="0.3">
      <c r="A174" s="152" t="s">
        <v>415</v>
      </c>
      <c r="B174" s="153"/>
      <c r="C174" s="153"/>
      <c r="D174" s="153"/>
      <c r="E174" s="153"/>
      <c r="F174" s="153"/>
      <c r="G174" s="153"/>
      <c r="H174" s="154"/>
      <c r="J174" s="36"/>
    </row>
    <row r="175" spans="1:20" s="37" customFormat="1" ht="15.75" customHeight="1" x14ac:dyDescent="0.3">
      <c r="A175" s="42">
        <v>1</v>
      </c>
      <c r="B175" s="42" t="s">
        <v>367</v>
      </c>
      <c r="C175" s="42" t="s">
        <v>364</v>
      </c>
      <c r="D175" s="76">
        <f>(83.55)*10.764</f>
        <v>899.33219999999994</v>
      </c>
      <c r="E175" s="42">
        <f>(4.86)*10.764</f>
        <v>52.313040000000001</v>
      </c>
      <c r="F175" s="42">
        <f>D175+E175</f>
        <v>951.64523999999994</v>
      </c>
      <c r="G175" s="42">
        <v>0</v>
      </c>
      <c r="H175" s="42">
        <f>F175*(($H$170)+1)+(IF(G175&lt;101,G175,IF(G175&lt;201,G175/2,IF(G175&lt;=301,G175/3,G175/4))))</f>
        <v>1427.46786</v>
      </c>
      <c r="I175" s="36">
        <f>2.52*1.35+3.34*4.46+2.3*3.06+1.71*2.43+3.94*3.2+3.16*3.95+3.16*3.63+1.37*2.33+2.12*1.38+2.13*1.4+0.9*1.05+0.48*0.9+2.28*0.9</f>
        <v>78.581199999999995</v>
      </c>
      <c r="J175" s="89">
        <f>1.83*1.5+2.3*0.93</f>
        <v>4.8840000000000003</v>
      </c>
      <c r="L175" s="207"/>
      <c r="M175" s="207"/>
      <c r="N175" s="36"/>
    </row>
    <row r="176" spans="1:20" s="37" customFormat="1" ht="15.75" customHeight="1" x14ac:dyDescent="0.3">
      <c r="A176" s="42">
        <f>A175+1</f>
        <v>2</v>
      </c>
      <c r="B176" s="42" t="s">
        <v>367</v>
      </c>
      <c r="C176" s="42" t="s">
        <v>365</v>
      </c>
      <c r="D176" s="76">
        <f>(61.85)*10.764</f>
        <v>665.75339999999994</v>
      </c>
      <c r="E176" s="42">
        <f>(4.54)*10.764</f>
        <v>48.868559999999995</v>
      </c>
      <c r="F176" s="42">
        <f>D176+E176</f>
        <v>714.62195999999994</v>
      </c>
      <c r="G176" s="42">
        <v>0</v>
      </c>
      <c r="H176" s="42">
        <f>F176*(($H$170)+1)+(IF(G176&lt;101,G176,IF(G176&lt;201,G176/2,IF(G176&lt;=301,G176/3,G176/4))))</f>
        <v>1071.9329399999999</v>
      </c>
      <c r="I176" s="36"/>
      <c r="J176" s="36">
        <f>25500000/H176</f>
        <v>23788.80156439637</v>
      </c>
      <c r="L176" s="207"/>
      <c r="M176" s="207"/>
      <c r="N176" s="36"/>
    </row>
    <row r="177" spans="1:14" s="37" customFormat="1" ht="15.75" customHeight="1" x14ac:dyDescent="0.3">
      <c r="A177" s="42">
        <f>A176+1</f>
        <v>3</v>
      </c>
      <c r="B177" s="42" t="s">
        <v>367</v>
      </c>
      <c r="C177" s="42" t="s">
        <v>365</v>
      </c>
      <c r="D177" s="76">
        <f>(58.6)*10.764</f>
        <v>630.7704</v>
      </c>
      <c r="E177" s="42">
        <f>(4.64)*10.764</f>
        <v>49.944959999999995</v>
      </c>
      <c r="F177" s="42">
        <f>D177+E177</f>
        <v>680.71536000000003</v>
      </c>
      <c r="G177" s="42">
        <v>0</v>
      </c>
      <c r="H177" s="42">
        <f>F177*(($H$170)+1)+(IF(G177&lt;101,G177,IF(G177&lt;201,G177/2,IF(G177&lt;=301,G177/3,G177/4))))</f>
        <v>1021.07304</v>
      </c>
      <c r="I177" s="36"/>
      <c r="L177" s="207"/>
      <c r="M177" s="207"/>
      <c r="N177" s="36"/>
    </row>
    <row r="178" spans="1:14" s="37" customFormat="1" x14ac:dyDescent="0.3">
      <c r="A178" s="152" t="s">
        <v>117</v>
      </c>
      <c r="B178" s="153"/>
      <c r="C178" s="153"/>
      <c r="D178" s="153"/>
      <c r="E178" s="153"/>
      <c r="F178" s="153"/>
      <c r="G178" s="153"/>
      <c r="H178" s="154"/>
      <c r="J178" s="36"/>
    </row>
    <row r="179" spans="1:14" s="37" customFormat="1" ht="15.75" customHeight="1" x14ac:dyDescent="0.3">
      <c r="A179" s="42">
        <v>1</v>
      </c>
      <c r="B179" s="84" t="s">
        <v>371</v>
      </c>
      <c r="C179" s="42" t="s">
        <v>364</v>
      </c>
      <c r="D179" s="76">
        <f>(83.55)*10.764</f>
        <v>899.33219999999994</v>
      </c>
      <c r="E179" s="42">
        <f>(4.86)*10.764</f>
        <v>52.313040000000001</v>
      </c>
      <c r="F179" s="42">
        <f>D179+E179</f>
        <v>951.64523999999994</v>
      </c>
      <c r="G179" s="42">
        <v>0</v>
      </c>
      <c r="H179" s="42">
        <f>F179*(($H$170)+1)+(IF(G179&lt;101,G179,IF(G179&lt;201,G179/2,IF(G179&lt;=301,G179/3,G179/4))))</f>
        <v>1427.46786</v>
      </c>
      <c r="I179" s="36">
        <f>2.52*1.35+3.34*4.46+2.3*3.06+1.71*2.43+3.94*3.2+3.16*3.95+3.16*3.63+1.37*2.33+2.12*1.38+2.13*1.4+0.9*1.05+0.48*0.9+2.28*0.9</f>
        <v>78.581199999999995</v>
      </c>
      <c r="J179" s="89">
        <f>1.83*1.5+2.3*0.93</f>
        <v>4.8840000000000003</v>
      </c>
      <c r="L179" s="207"/>
      <c r="M179" s="207"/>
      <c r="N179" s="36"/>
    </row>
    <row r="180" spans="1:14" s="37" customFormat="1" ht="15.75" customHeight="1" x14ac:dyDescent="0.3">
      <c r="A180" s="42">
        <f>A179+1</f>
        <v>2</v>
      </c>
      <c r="B180" s="42" t="s">
        <v>367</v>
      </c>
      <c r="C180" s="42" t="s">
        <v>365</v>
      </c>
      <c r="D180" s="76">
        <f>(61.85)*10.764</f>
        <v>665.75339999999994</v>
      </c>
      <c r="E180" s="42">
        <f>(4.54)*10.764</f>
        <v>48.868559999999995</v>
      </c>
      <c r="F180" s="42">
        <f>D180+E180</f>
        <v>714.62195999999994</v>
      </c>
      <c r="G180" s="42">
        <v>0</v>
      </c>
      <c r="H180" s="42">
        <f>F180*(($H$170)+1)+(IF(G180&lt;101,G180,IF(G180&lt;201,G180/2,IF(G180&lt;=301,G180/3,G180/4))))</f>
        <v>1071.9329399999999</v>
      </c>
      <c r="I180" s="36"/>
      <c r="J180" s="36">
        <f>25500000/H180</f>
        <v>23788.80156439637</v>
      </c>
      <c r="L180" s="207"/>
      <c r="M180" s="207"/>
      <c r="N180" s="36"/>
    </row>
    <row r="181" spans="1:14" s="37" customFormat="1" ht="15.75" customHeight="1" x14ac:dyDescent="0.3">
      <c r="A181" s="42">
        <f>A180+1</f>
        <v>3</v>
      </c>
      <c r="B181" s="42" t="s">
        <v>367</v>
      </c>
      <c r="C181" s="42" t="s">
        <v>365</v>
      </c>
      <c r="D181" s="76">
        <f>(58.6)*10.764</f>
        <v>630.7704</v>
      </c>
      <c r="E181" s="42">
        <f>(4.64)*10.764</f>
        <v>49.944959999999995</v>
      </c>
      <c r="F181" s="42">
        <f>D181+E181</f>
        <v>680.71536000000003</v>
      </c>
      <c r="G181" s="42">
        <v>0</v>
      </c>
      <c r="H181" s="42">
        <f>F181*(($H$170)+1)+(IF(G181&lt;101,G181,IF(G181&lt;201,G181/2,IF(G181&lt;=301,G181/3,G181/4))))</f>
        <v>1021.07304</v>
      </c>
      <c r="I181" s="36"/>
      <c r="L181" s="207"/>
      <c r="M181" s="207"/>
      <c r="N181" s="36"/>
    </row>
    <row r="182" spans="1:14" s="37" customFormat="1" x14ac:dyDescent="0.3">
      <c r="A182" s="152" t="s">
        <v>400</v>
      </c>
      <c r="B182" s="153"/>
      <c r="C182" s="153"/>
      <c r="D182" s="153"/>
      <c r="E182" s="153"/>
      <c r="F182" s="153"/>
      <c r="G182" s="153"/>
      <c r="H182" s="154"/>
      <c r="J182" s="36"/>
    </row>
    <row r="183" spans="1:14" s="37" customFormat="1" ht="15.75" customHeight="1" x14ac:dyDescent="0.3">
      <c r="A183" s="42">
        <v>1</v>
      </c>
      <c r="B183" s="42" t="s">
        <v>367</v>
      </c>
      <c r="C183" s="42" t="s">
        <v>364</v>
      </c>
      <c r="D183" s="76">
        <f>(83.55)*10.764</f>
        <v>899.33219999999994</v>
      </c>
      <c r="E183" s="42">
        <f>(4.86)*10.764</f>
        <v>52.313040000000001</v>
      </c>
      <c r="F183" s="42">
        <f>D183+E183</f>
        <v>951.64523999999994</v>
      </c>
      <c r="G183" s="42">
        <v>0</v>
      </c>
      <c r="H183" s="42">
        <f>F183*(($H$170)+1)+(IF(G183&lt;101,G183,IF(G183&lt;201,G183/2,IF(G183&lt;=301,G183/3,G183/4))))</f>
        <v>1427.46786</v>
      </c>
      <c r="I183" s="36">
        <f>2.52*1.35+3.34*4.46+2.3*3.06+1.71*2.43+3.94*3.2+3.16*3.95+3.16*3.63+1.37*2.33+2.12*1.38+2.13*1.4+0.9*1.05+0.48*0.9+2.28*0.9+2.3*0.92+1.83*1.5</f>
        <v>83.4422</v>
      </c>
      <c r="L183" s="207"/>
      <c r="M183" s="207"/>
      <c r="N183" s="36"/>
    </row>
    <row r="184" spans="1:14" s="37" customFormat="1" ht="15.75" customHeight="1" x14ac:dyDescent="0.3">
      <c r="A184" s="42">
        <f>A183+1</f>
        <v>2</v>
      </c>
      <c r="B184" s="42" t="s">
        <v>367</v>
      </c>
      <c r="C184" s="42" t="s">
        <v>365</v>
      </c>
      <c r="D184" s="76">
        <f>(61.85)*10.764</f>
        <v>665.75339999999994</v>
      </c>
      <c r="E184" s="42">
        <f>(4.54)*10.764</f>
        <v>48.868559999999995</v>
      </c>
      <c r="F184" s="42">
        <f>D184+E184</f>
        <v>714.62195999999994</v>
      </c>
      <c r="G184" s="42">
        <v>0</v>
      </c>
      <c r="H184" s="42">
        <f>F184*(($H$170)+1)+(IF(G184&lt;101,G184,IF(G184&lt;201,G184/2,IF(G184&lt;=301,G184/3,G184/4))))</f>
        <v>1071.9329399999999</v>
      </c>
      <c r="I184" s="36"/>
      <c r="J184" s="36">
        <f>25500000/H184</f>
        <v>23788.80156439637</v>
      </c>
      <c r="L184" s="207"/>
      <c r="M184" s="207"/>
      <c r="N184" s="36"/>
    </row>
    <row r="185" spans="1:14" s="37" customFormat="1" ht="15.75" customHeight="1" x14ac:dyDescent="0.3">
      <c r="A185" s="42">
        <f>A184+1</f>
        <v>3</v>
      </c>
      <c r="B185" s="42" t="s">
        <v>369</v>
      </c>
      <c r="C185" s="230" t="s">
        <v>370</v>
      </c>
      <c r="D185" s="243"/>
      <c r="E185" s="243"/>
      <c r="F185" s="243"/>
      <c r="G185" s="243"/>
      <c r="H185" s="231"/>
      <c r="I185" s="36"/>
      <c r="L185" s="207"/>
      <c r="M185" s="207"/>
      <c r="N185" s="36"/>
    </row>
    <row r="186" spans="1:14" s="37" customFormat="1" x14ac:dyDescent="0.3">
      <c r="A186" s="152" t="s">
        <v>412</v>
      </c>
      <c r="B186" s="153"/>
      <c r="C186" s="153"/>
      <c r="D186" s="153"/>
      <c r="E186" s="153"/>
      <c r="F186" s="153"/>
      <c r="G186" s="153"/>
      <c r="H186" s="154"/>
      <c r="J186" s="36"/>
    </row>
    <row r="187" spans="1:14" s="37" customFormat="1" ht="15.75" customHeight="1" x14ac:dyDescent="0.3">
      <c r="A187" s="42">
        <v>1</v>
      </c>
      <c r="B187" s="42" t="s">
        <v>367</v>
      </c>
      <c r="C187" s="42" t="s">
        <v>364</v>
      </c>
      <c r="D187" s="76">
        <f>(83.55)*10.764</f>
        <v>899.33219999999994</v>
      </c>
      <c r="E187" s="42">
        <f>(4.86)*10.764</f>
        <v>52.313040000000001</v>
      </c>
      <c r="F187" s="42">
        <f>D187+E187</f>
        <v>951.64523999999994</v>
      </c>
      <c r="G187" s="42">
        <v>0</v>
      </c>
      <c r="H187" s="42">
        <f>F187*(($H$170)+1)+(IF(G187&lt;101,G187,IF(G187&lt;201,G187/2,IF(G187&lt;=301,G187/3,G187/4))))</f>
        <v>1427.46786</v>
      </c>
      <c r="I187" s="36"/>
      <c r="J187" s="36"/>
      <c r="L187" s="207"/>
      <c r="M187" s="207"/>
      <c r="N187" s="36"/>
    </row>
    <row r="188" spans="1:14" s="37" customFormat="1" ht="15.75" customHeight="1" x14ac:dyDescent="0.3">
      <c r="A188" s="42">
        <f>A187+1</f>
        <v>2</v>
      </c>
      <c r="B188" s="84" t="s">
        <v>371</v>
      </c>
      <c r="C188" s="42" t="s">
        <v>365</v>
      </c>
      <c r="D188" s="76">
        <f>(61.85)*10.764</f>
        <v>665.75339999999994</v>
      </c>
      <c r="E188" s="42">
        <f>(4.54)*10.764</f>
        <v>48.868559999999995</v>
      </c>
      <c r="F188" s="42">
        <f>D188+E188</f>
        <v>714.62195999999994</v>
      </c>
      <c r="G188" s="42">
        <v>0</v>
      </c>
      <c r="H188" s="42">
        <f>F188*(($H$170)+1)+(IF(G188&lt;101,G188,IF(G188&lt;201,G188/2,IF(G188&lt;=301,G188/3,G188/4))))</f>
        <v>1071.9329399999999</v>
      </c>
      <c r="I188" s="36"/>
      <c r="L188" s="207"/>
      <c r="M188" s="207"/>
      <c r="N188" s="36"/>
    </row>
    <row r="189" spans="1:14" s="37" customFormat="1" ht="15.75" customHeight="1" x14ac:dyDescent="0.3">
      <c r="A189" s="42">
        <f>A188+1</f>
        <v>3</v>
      </c>
      <c r="B189" s="42" t="s">
        <v>367</v>
      </c>
      <c r="C189" s="42" t="s">
        <v>365</v>
      </c>
      <c r="D189" s="76">
        <f>(61.79)*10.764</f>
        <v>665.10755999999992</v>
      </c>
      <c r="E189" s="42">
        <f>(4.54)*10.764</f>
        <v>48.868559999999995</v>
      </c>
      <c r="F189" s="42">
        <f>D189+E189</f>
        <v>713.97611999999992</v>
      </c>
      <c r="G189" s="42">
        <v>0</v>
      </c>
      <c r="H189" s="42">
        <f>F189*(($H$170)+1)+(IF(G189&lt;101,G189,IF(G189&lt;201,G189/2,IF(G189&lt;=301,G189/3,G189/4))))</f>
        <v>1070.9641799999999</v>
      </c>
      <c r="I189" s="36"/>
      <c r="L189" s="207"/>
      <c r="M189" s="207"/>
      <c r="N189" s="36"/>
    </row>
    <row r="190" spans="1:14" s="37" customFormat="1" x14ac:dyDescent="0.3">
      <c r="A190" s="152" t="s">
        <v>405</v>
      </c>
      <c r="B190" s="153"/>
      <c r="C190" s="153"/>
      <c r="D190" s="153"/>
      <c r="E190" s="153"/>
      <c r="F190" s="153"/>
      <c r="G190" s="153"/>
      <c r="H190" s="154"/>
      <c r="J190" s="36"/>
    </row>
    <row r="191" spans="1:14" s="37" customFormat="1" ht="15.75" customHeight="1" x14ac:dyDescent="0.3">
      <c r="A191" s="42">
        <v>1</v>
      </c>
      <c r="B191" s="42" t="s">
        <v>367</v>
      </c>
      <c r="C191" s="42" t="s">
        <v>364</v>
      </c>
      <c r="D191" s="76">
        <f>(83.55)*10.764</f>
        <v>899.33219999999994</v>
      </c>
      <c r="E191" s="42">
        <f>(4.86)*10.764</f>
        <v>52.313040000000001</v>
      </c>
      <c r="F191" s="42">
        <f>D191+E191</f>
        <v>951.64523999999994</v>
      </c>
      <c r="G191" s="42">
        <v>0</v>
      </c>
      <c r="H191" s="42">
        <f>F191*(($H$170)+1)+(IF(G191&lt;101,G191,IF(G191&lt;201,G191/2,IF(G191&lt;=301,G191/3,G191/4))))</f>
        <v>1427.46786</v>
      </c>
      <c r="I191" s="36"/>
      <c r="J191" s="36"/>
      <c r="L191" s="207"/>
      <c r="M191" s="207"/>
      <c r="N191" s="36"/>
    </row>
    <row r="192" spans="1:14" s="37" customFormat="1" ht="15.75" customHeight="1" x14ac:dyDescent="0.3">
      <c r="A192" s="42">
        <f>A191+1</f>
        <v>2</v>
      </c>
      <c r="B192" s="84" t="s">
        <v>371</v>
      </c>
      <c r="C192" s="42" t="s">
        <v>365</v>
      </c>
      <c r="D192" s="76">
        <f>(61.85)*10.764</f>
        <v>665.75339999999994</v>
      </c>
      <c r="E192" s="42">
        <f>(4.54)*10.764</f>
        <v>48.868559999999995</v>
      </c>
      <c r="F192" s="42">
        <f>D192+E192</f>
        <v>714.62195999999994</v>
      </c>
      <c r="G192" s="42">
        <v>0</v>
      </c>
      <c r="H192" s="42">
        <f>F192*(($H$170)+1)+(IF(G192&lt;101,G192,IF(G192&lt;201,G192/2,IF(G192&lt;=301,G192/3,G192/4))))</f>
        <v>1071.9329399999999</v>
      </c>
      <c r="I192" s="36"/>
      <c r="L192" s="207"/>
      <c r="M192" s="207"/>
      <c r="N192" s="36"/>
    </row>
    <row r="193" spans="1:14" s="37" customFormat="1" ht="15.75" customHeight="1" x14ac:dyDescent="0.3">
      <c r="A193" s="42">
        <f>A192+1</f>
        <v>3</v>
      </c>
      <c r="B193" s="84" t="s">
        <v>371</v>
      </c>
      <c r="C193" s="42" t="s">
        <v>365</v>
      </c>
      <c r="D193" s="76">
        <f>(61.79)*10.764</f>
        <v>665.10755999999992</v>
      </c>
      <c r="E193" s="42">
        <f>(4.54)*10.764</f>
        <v>48.868559999999995</v>
      </c>
      <c r="F193" s="42">
        <f>D193+E193</f>
        <v>713.97611999999992</v>
      </c>
      <c r="G193" s="42">
        <v>0</v>
      </c>
      <c r="H193" s="42">
        <f>F193*(($H$170)+1)+(IF(G193&lt;101,G193,IF(G193&lt;201,G193/2,IF(G193&lt;=301,G193/3,G193/4))))</f>
        <v>1070.9641799999999</v>
      </c>
      <c r="I193" s="36"/>
      <c r="L193" s="207"/>
      <c r="M193" s="207"/>
      <c r="N193" s="36"/>
    </row>
    <row r="194" spans="1:14" s="37" customFormat="1" x14ac:dyDescent="0.3">
      <c r="A194" s="152" t="s">
        <v>406</v>
      </c>
      <c r="B194" s="153"/>
      <c r="C194" s="153"/>
      <c r="D194" s="153"/>
      <c r="E194" s="153"/>
      <c r="F194" s="153"/>
      <c r="G194" s="153"/>
      <c r="H194" s="154"/>
      <c r="J194" s="36"/>
    </row>
    <row r="195" spans="1:14" s="37" customFormat="1" ht="15.75" customHeight="1" x14ac:dyDescent="0.3">
      <c r="A195" s="42">
        <v>1</v>
      </c>
      <c r="B195" s="84" t="s">
        <v>371</v>
      </c>
      <c r="C195" s="42" t="s">
        <v>364</v>
      </c>
      <c r="D195" s="76">
        <f>(83.55)*10.764</f>
        <v>899.33219999999994</v>
      </c>
      <c r="E195" s="42">
        <f>(4.86)*10.764</f>
        <v>52.313040000000001</v>
      </c>
      <c r="F195" s="42">
        <f>D195+E195</f>
        <v>951.64523999999994</v>
      </c>
      <c r="G195" s="42">
        <v>0</v>
      </c>
      <c r="H195" s="42">
        <f>F195*(($H$170)+1)+(IF(G195&lt;101,G195,IF(G195&lt;201,G195/2,IF(G195&lt;=301,G195/3,G195/4))))</f>
        <v>1427.46786</v>
      </c>
      <c r="I195" s="36"/>
      <c r="J195" s="36"/>
      <c r="L195" s="207"/>
      <c r="M195" s="207"/>
      <c r="N195" s="36"/>
    </row>
    <row r="196" spans="1:14" s="37" customFormat="1" ht="15.75" customHeight="1" x14ac:dyDescent="0.3">
      <c r="A196" s="42">
        <f>A195+1</f>
        <v>2</v>
      </c>
      <c r="B196" s="84" t="s">
        <v>371</v>
      </c>
      <c r="C196" s="42" t="s">
        <v>365</v>
      </c>
      <c r="D196" s="76">
        <f>(61.85)*10.764</f>
        <v>665.75339999999994</v>
      </c>
      <c r="E196" s="42">
        <f>(4.54)*10.764</f>
        <v>48.868559999999995</v>
      </c>
      <c r="F196" s="42">
        <f>D196+E196</f>
        <v>714.62195999999994</v>
      </c>
      <c r="G196" s="42">
        <v>0</v>
      </c>
      <c r="H196" s="42">
        <f>F196*(($H$170)+1)+(IF(G196&lt;101,G196,IF(G196&lt;201,G196/2,IF(G196&lt;=301,G196/3,G196/4))))</f>
        <v>1071.9329399999999</v>
      </c>
      <c r="I196" s="36"/>
      <c r="L196" s="207"/>
      <c r="M196" s="207"/>
      <c r="N196" s="36"/>
    </row>
    <row r="197" spans="1:14" s="37" customFormat="1" ht="15.75" customHeight="1" x14ac:dyDescent="0.3">
      <c r="A197" s="42">
        <f>A196+1</f>
        <v>3</v>
      </c>
      <c r="B197" s="42" t="s">
        <v>367</v>
      </c>
      <c r="C197" s="42" t="s">
        <v>365</v>
      </c>
      <c r="D197" s="76">
        <f>(61.79)*10.764</f>
        <v>665.10755999999992</v>
      </c>
      <c r="E197" s="42">
        <f>(4.54)*10.764</f>
        <v>48.868559999999995</v>
      </c>
      <c r="F197" s="42">
        <f>D197+E197</f>
        <v>713.97611999999992</v>
      </c>
      <c r="G197" s="42">
        <v>0</v>
      </c>
      <c r="H197" s="42">
        <f>F197*(($H$170)+1)+(IF(G197&lt;101,G197,IF(G197&lt;201,G197/2,IF(G197&lt;=301,G197/3,G197/4))))</f>
        <v>1070.9641799999999</v>
      </c>
      <c r="I197" s="36"/>
      <c r="L197" s="207"/>
      <c r="M197" s="207"/>
      <c r="N197" s="36"/>
    </row>
    <row r="198" spans="1:14" s="37" customFormat="1" x14ac:dyDescent="0.3">
      <c r="A198" s="152" t="s">
        <v>409</v>
      </c>
      <c r="B198" s="153"/>
      <c r="C198" s="153"/>
      <c r="D198" s="153"/>
      <c r="E198" s="153"/>
      <c r="F198" s="153"/>
      <c r="G198" s="153"/>
      <c r="H198" s="154"/>
      <c r="J198" s="36"/>
    </row>
    <row r="199" spans="1:14" s="37" customFormat="1" ht="15.75" customHeight="1" x14ac:dyDescent="0.3">
      <c r="A199" s="42">
        <v>1</v>
      </c>
      <c r="B199" s="42" t="s">
        <v>367</v>
      </c>
      <c r="C199" s="42" t="s">
        <v>364</v>
      </c>
      <c r="D199" s="76">
        <f>(83.55)*10.764</f>
        <v>899.33219999999994</v>
      </c>
      <c r="E199" s="42">
        <f>(4.86)*10.764</f>
        <v>52.313040000000001</v>
      </c>
      <c r="F199" s="42">
        <f>D199+E199</f>
        <v>951.64523999999994</v>
      </c>
      <c r="G199" s="42">
        <v>0</v>
      </c>
      <c r="H199" s="42">
        <f>F199*(($H$170)+1)+(IF(G199&lt;101,G199,IF(G199&lt;201,G199/2,IF(G199&lt;=301,G199/3,G199/4))))</f>
        <v>1427.46786</v>
      </c>
      <c r="I199" s="36"/>
      <c r="J199" s="36"/>
      <c r="L199" s="207"/>
      <c r="M199" s="207"/>
      <c r="N199" s="36"/>
    </row>
    <row r="200" spans="1:14" s="37" customFormat="1" ht="15.75" customHeight="1" x14ac:dyDescent="0.3">
      <c r="A200" s="42">
        <f>A199+1</f>
        <v>2</v>
      </c>
      <c r="B200" s="84" t="s">
        <v>371</v>
      </c>
      <c r="C200" s="42" t="s">
        <v>365</v>
      </c>
      <c r="D200" s="76">
        <f>(61.85)*10.764</f>
        <v>665.75339999999994</v>
      </c>
      <c r="E200" s="42">
        <f>(4.54)*10.764</f>
        <v>48.868559999999995</v>
      </c>
      <c r="F200" s="42">
        <f>D200+E200</f>
        <v>714.62195999999994</v>
      </c>
      <c r="G200" s="42">
        <v>0</v>
      </c>
      <c r="H200" s="42">
        <f>F200*(($H$170)+1)+(IF(G200&lt;101,G200,IF(G200&lt;201,G200/2,IF(G200&lt;=301,G200/3,G200/4))))</f>
        <v>1071.9329399999999</v>
      </c>
      <c r="I200" s="36"/>
      <c r="L200" s="207"/>
      <c r="M200" s="207"/>
      <c r="N200" s="36"/>
    </row>
    <row r="201" spans="1:14" s="37" customFormat="1" ht="15.75" customHeight="1" x14ac:dyDescent="0.3">
      <c r="A201" s="42">
        <f>A200+1</f>
        <v>3</v>
      </c>
      <c r="B201" s="42" t="s">
        <v>367</v>
      </c>
      <c r="C201" s="42" t="s">
        <v>365</v>
      </c>
      <c r="D201" s="76">
        <f>(63.45)*10.764</f>
        <v>682.97579999999994</v>
      </c>
      <c r="E201" s="42">
        <f>(4.54)*10.764</f>
        <v>48.868559999999995</v>
      </c>
      <c r="F201" s="42">
        <f>D201+E201</f>
        <v>731.84435999999994</v>
      </c>
      <c r="G201" s="42">
        <v>0</v>
      </c>
      <c r="H201" s="42">
        <f>F201*(($H$170)+1)+(IF(G201&lt;101,G201,IF(G201&lt;201,G201/2,IF(G201&lt;=301,G201/3,G201/4))))</f>
        <v>1097.7665399999998</v>
      </c>
      <c r="I201" s="36"/>
      <c r="L201" s="207"/>
      <c r="M201" s="207"/>
      <c r="N201" s="36"/>
    </row>
    <row r="202" spans="1:14" s="37" customFormat="1" x14ac:dyDescent="0.3">
      <c r="A202" s="152" t="s">
        <v>410</v>
      </c>
      <c r="B202" s="153"/>
      <c r="C202" s="153"/>
      <c r="D202" s="153"/>
      <c r="E202" s="153"/>
      <c r="F202" s="153"/>
      <c r="G202" s="153"/>
      <c r="H202" s="154"/>
      <c r="J202" s="36"/>
    </row>
    <row r="203" spans="1:14" s="37" customFormat="1" ht="15.75" customHeight="1" x14ac:dyDescent="0.3">
      <c r="A203" s="42">
        <v>1</v>
      </c>
      <c r="B203" s="84" t="s">
        <v>371</v>
      </c>
      <c r="C203" s="42" t="s">
        <v>364</v>
      </c>
      <c r="D203" s="76">
        <f>(83.55)*10.764</f>
        <v>899.33219999999994</v>
      </c>
      <c r="E203" s="42">
        <f>(4.86)*10.764</f>
        <v>52.313040000000001</v>
      </c>
      <c r="F203" s="42">
        <f>D203+E203</f>
        <v>951.64523999999994</v>
      </c>
      <c r="G203" s="42">
        <v>0</v>
      </c>
      <c r="H203" s="42">
        <f>F203*(($H$170)+1)+(IF(G203&lt;101,G203,IF(G203&lt;201,G203/2,IF(G203&lt;=301,G203/3,G203/4))))</f>
        <v>1427.46786</v>
      </c>
      <c r="I203" s="36"/>
      <c r="J203" s="36"/>
      <c r="L203" s="207"/>
      <c r="M203" s="207"/>
      <c r="N203" s="36"/>
    </row>
    <row r="204" spans="1:14" s="37" customFormat="1" ht="15.75" customHeight="1" x14ac:dyDescent="0.3">
      <c r="A204" s="42">
        <f>A203+1</f>
        <v>2</v>
      </c>
      <c r="B204" s="84" t="s">
        <v>371</v>
      </c>
      <c r="C204" s="42" t="s">
        <v>365</v>
      </c>
      <c r="D204" s="76">
        <f>(61.85)*10.764</f>
        <v>665.75339999999994</v>
      </c>
      <c r="E204" s="42">
        <f>(4.54)*10.764</f>
        <v>48.868559999999995</v>
      </c>
      <c r="F204" s="42">
        <f>D204+E204</f>
        <v>714.62195999999994</v>
      </c>
      <c r="G204" s="42">
        <v>0</v>
      </c>
      <c r="H204" s="42">
        <f>F204*(($H$170)+1)+(IF(G204&lt;101,G204,IF(G204&lt;201,G204/2,IF(G204&lt;=301,G204/3,G204/4))))</f>
        <v>1071.9329399999999</v>
      </c>
      <c r="I204" s="36"/>
      <c r="L204" s="207"/>
      <c r="M204" s="207"/>
      <c r="N204" s="36"/>
    </row>
    <row r="205" spans="1:14" s="37" customFormat="1" ht="15.75" customHeight="1" x14ac:dyDescent="0.3">
      <c r="A205" s="42">
        <f>A204+1</f>
        <v>3</v>
      </c>
      <c r="B205" s="42" t="s">
        <v>367</v>
      </c>
      <c r="C205" s="42" t="s">
        <v>365</v>
      </c>
      <c r="D205" s="76">
        <f>(63.45)*10.764</f>
        <v>682.97579999999994</v>
      </c>
      <c r="E205" s="42">
        <f>(4.54)*10.764</f>
        <v>48.868559999999995</v>
      </c>
      <c r="F205" s="42">
        <f>D205+E205</f>
        <v>731.84435999999994</v>
      </c>
      <c r="G205" s="42">
        <v>0</v>
      </c>
      <c r="H205" s="42">
        <f>F205*(($H$170)+1)+(IF(G205&lt;101,G205,IF(G205&lt;201,G205/2,IF(G205&lt;=301,G205/3,G205/4))))</f>
        <v>1097.7665399999998</v>
      </c>
      <c r="I205" s="36"/>
      <c r="L205" s="207"/>
      <c r="M205" s="207"/>
      <c r="N205" s="36"/>
    </row>
    <row r="206" spans="1:14" s="37" customFormat="1" x14ac:dyDescent="0.3">
      <c r="A206" s="152" t="s">
        <v>411</v>
      </c>
      <c r="B206" s="153"/>
      <c r="C206" s="153"/>
      <c r="D206" s="153"/>
      <c r="E206" s="153"/>
      <c r="F206" s="153"/>
      <c r="G206" s="153"/>
      <c r="H206" s="154"/>
      <c r="J206" s="36"/>
    </row>
    <row r="207" spans="1:14" s="37" customFormat="1" ht="15.75" customHeight="1" x14ac:dyDescent="0.3">
      <c r="A207" s="42">
        <v>1</v>
      </c>
      <c r="B207" s="84" t="s">
        <v>371</v>
      </c>
      <c r="C207" s="42" t="s">
        <v>364</v>
      </c>
      <c r="D207" s="76">
        <f>(83.55)*10.764</f>
        <v>899.33219999999994</v>
      </c>
      <c r="E207" s="42">
        <f>(4.86)*10.764</f>
        <v>52.313040000000001</v>
      </c>
      <c r="F207" s="42">
        <f>D207+E207</f>
        <v>951.64523999999994</v>
      </c>
      <c r="G207" s="42">
        <v>0</v>
      </c>
      <c r="H207" s="42">
        <f>F207*(($H$170)+1)+(IF(G207&lt;101,G207,IF(G207&lt;201,G207/2,IF(G207&lt;=301,G207/3,G207/4))))</f>
        <v>1427.46786</v>
      </c>
      <c r="I207" s="36"/>
      <c r="J207" s="36"/>
      <c r="L207" s="207"/>
      <c r="M207" s="207"/>
      <c r="N207" s="36"/>
    </row>
    <row r="208" spans="1:14" s="37" customFormat="1" ht="15.75" customHeight="1" x14ac:dyDescent="0.3">
      <c r="A208" s="42">
        <f>A207+1</f>
        <v>2</v>
      </c>
      <c r="B208" s="84" t="s">
        <v>371</v>
      </c>
      <c r="C208" s="42" t="s">
        <v>365</v>
      </c>
      <c r="D208" s="76">
        <f>(61.85)*10.764</f>
        <v>665.75339999999994</v>
      </c>
      <c r="E208" s="42">
        <f>(4.54)*10.764</f>
        <v>48.868559999999995</v>
      </c>
      <c r="F208" s="42">
        <f>D208+E208</f>
        <v>714.62195999999994</v>
      </c>
      <c r="G208" s="42">
        <v>0</v>
      </c>
      <c r="H208" s="42">
        <f>F208*(($H$170)+1)+(IF(G208&lt;101,G208,IF(G208&lt;201,G208/2,IF(G208&lt;=301,G208/3,G208/4))))</f>
        <v>1071.9329399999999</v>
      </c>
      <c r="I208" s="36"/>
      <c r="L208" s="207"/>
      <c r="M208" s="207"/>
      <c r="N208" s="36"/>
    </row>
    <row r="209" spans="1:14" s="37" customFormat="1" ht="15.75" customHeight="1" x14ac:dyDescent="0.3">
      <c r="A209" s="42">
        <f>A208+1</f>
        <v>3</v>
      </c>
      <c r="B209" s="84" t="s">
        <v>371</v>
      </c>
      <c r="C209" s="42" t="s">
        <v>365</v>
      </c>
      <c r="D209" s="76">
        <f>(63.45)*10.764</f>
        <v>682.97579999999994</v>
      </c>
      <c r="E209" s="42">
        <f>(4.54)*10.764</f>
        <v>48.868559999999995</v>
      </c>
      <c r="F209" s="42">
        <f>D209+E209</f>
        <v>731.84435999999994</v>
      </c>
      <c r="G209" s="42">
        <v>0</v>
      </c>
      <c r="H209" s="42">
        <f>F209*(($H$170)+1)+(IF(G209&lt;101,G209,IF(G209&lt;201,G209/2,IF(G209&lt;=301,G209/3,G209/4))))</f>
        <v>1097.7665399999998</v>
      </c>
      <c r="I209" s="36"/>
      <c r="L209" s="207"/>
      <c r="M209" s="207"/>
      <c r="N209" s="36"/>
    </row>
    <row r="210" spans="1:14" s="37" customFormat="1" x14ac:dyDescent="0.3">
      <c r="A210" s="152" t="s">
        <v>401</v>
      </c>
      <c r="B210" s="153"/>
      <c r="C210" s="153"/>
      <c r="D210" s="153"/>
      <c r="E210" s="153"/>
      <c r="F210" s="153"/>
      <c r="G210" s="153"/>
      <c r="H210" s="154"/>
      <c r="J210" s="36"/>
    </row>
    <row r="211" spans="1:14" s="37" customFormat="1" ht="15.75" customHeight="1" x14ac:dyDescent="0.3">
      <c r="A211" s="42">
        <v>1</v>
      </c>
      <c r="B211" s="84" t="s">
        <v>371</v>
      </c>
      <c r="C211" s="42" t="s">
        <v>364</v>
      </c>
      <c r="D211" s="76">
        <f>(83.55)*10.764</f>
        <v>899.33219999999994</v>
      </c>
      <c r="E211" s="42">
        <f>(4.86)*10.764</f>
        <v>52.313040000000001</v>
      </c>
      <c r="F211" s="42">
        <f>D211+E211</f>
        <v>951.64523999999994</v>
      </c>
      <c r="G211" s="42">
        <v>0</v>
      </c>
      <c r="H211" s="42">
        <f>F211*(($H$170)+1)+(IF(G211&lt;101,G211,IF(G211&lt;201,G211/2,IF(G211&lt;=301,G211/3,G211/4))))</f>
        <v>1427.46786</v>
      </c>
      <c r="I211" s="36"/>
      <c r="J211" s="36"/>
      <c r="L211" s="207"/>
      <c r="M211" s="207"/>
      <c r="N211" s="36"/>
    </row>
    <row r="212" spans="1:14" s="37" customFormat="1" ht="15.75" customHeight="1" x14ac:dyDescent="0.3">
      <c r="A212" s="42">
        <f>A211+1</f>
        <v>2</v>
      </c>
      <c r="B212" s="84" t="s">
        <v>371</v>
      </c>
      <c r="C212" s="42" t="s">
        <v>365</v>
      </c>
      <c r="D212" s="76">
        <f>(61.85)*10.764</f>
        <v>665.75339999999994</v>
      </c>
      <c r="E212" s="42">
        <f>(4.54)*10.764</f>
        <v>48.868559999999995</v>
      </c>
      <c r="F212" s="42">
        <f>D212+E212</f>
        <v>714.62195999999994</v>
      </c>
      <c r="G212" s="42">
        <v>0</v>
      </c>
      <c r="H212" s="42">
        <f>F212*(($H$170)+1)+(IF(G212&lt;101,G212,IF(G212&lt;201,G212/2,IF(G212&lt;=301,G212/3,G212/4))))</f>
        <v>1071.9329399999999</v>
      </c>
      <c r="I212" s="36"/>
      <c r="L212" s="207"/>
      <c r="M212" s="207"/>
      <c r="N212" s="36"/>
    </row>
    <row r="213" spans="1:14" s="37" customFormat="1" ht="15.75" customHeight="1" x14ac:dyDescent="0.3">
      <c r="A213" s="42">
        <f>A212+1</f>
        <v>3</v>
      </c>
      <c r="B213" s="42" t="s">
        <v>369</v>
      </c>
      <c r="C213" s="230" t="s">
        <v>370</v>
      </c>
      <c r="D213" s="243"/>
      <c r="E213" s="243"/>
      <c r="F213" s="243"/>
      <c r="G213" s="243"/>
      <c r="H213" s="231"/>
      <c r="I213" s="36"/>
      <c r="L213" s="207"/>
      <c r="M213" s="207"/>
      <c r="N213" s="36"/>
    </row>
    <row r="214" spans="1:14" s="37" customFormat="1" x14ac:dyDescent="0.3">
      <c r="A214" s="152" t="s">
        <v>402</v>
      </c>
      <c r="B214" s="153"/>
      <c r="C214" s="153"/>
      <c r="D214" s="153"/>
      <c r="E214" s="153"/>
      <c r="F214" s="153"/>
      <c r="G214" s="153"/>
      <c r="H214" s="154"/>
      <c r="J214" s="36"/>
    </row>
    <row r="215" spans="1:14" s="37" customFormat="1" ht="15.75" customHeight="1" x14ac:dyDescent="0.3">
      <c r="A215" s="42">
        <v>1</v>
      </c>
      <c r="B215" s="84" t="s">
        <v>371</v>
      </c>
      <c r="C215" s="42" t="s">
        <v>364</v>
      </c>
      <c r="D215" s="76">
        <f>(92.83)*10.764</f>
        <v>999.2221199999999</v>
      </c>
      <c r="E215" s="42">
        <f>(6.62)*10.764</f>
        <v>71.257679999999993</v>
      </c>
      <c r="F215" s="42">
        <f>D215+E215</f>
        <v>1070.4797999999998</v>
      </c>
      <c r="G215" s="42">
        <v>0</v>
      </c>
      <c r="H215" s="42">
        <f>F215*(($H$170)+1)+(IF(G215&lt;101,G215,IF(G215&lt;201,G215/2,IF(G215&lt;=301,G215/3,G215/4))))</f>
        <v>1605.7196999999996</v>
      </c>
      <c r="I215" s="36"/>
      <c r="J215" s="36"/>
      <c r="L215" s="207"/>
      <c r="M215" s="207"/>
      <c r="N215" s="36"/>
    </row>
    <row r="216" spans="1:14" s="37" customFormat="1" ht="15.75" customHeight="1" x14ac:dyDescent="0.3">
      <c r="A216" s="42">
        <f>A215+1</f>
        <v>2</v>
      </c>
      <c r="B216" s="84" t="s">
        <v>371</v>
      </c>
      <c r="C216" s="42" t="s">
        <v>365</v>
      </c>
      <c r="D216" s="76">
        <f>(64.07)*10.764</f>
        <v>689.64947999999993</v>
      </c>
      <c r="E216" s="42">
        <f>(6.17)*10.764</f>
        <v>66.413879999999992</v>
      </c>
      <c r="F216" s="42">
        <f>D216+E216</f>
        <v>756.06335999999988</v>
      </c>
      <c r="G216" s="42">
        <v>0</v>
      </c>
      <c r="H216" s="42">
        <f>F216*(($H$170)+1)+(IF(G216&lt;101,G216,IF(G216&lt;201,G216/2,IF(G216&lt;=301,G216/3,G216/4))))</f>
        <v>1134.0950399999997</v>
      </c>
      <c r="I216" s="36"/>
      <c r="L216" s="207"/>
      <c r="M216" s="207"/>
      <c r="N216" s="36"/>
    </row>
    <row r="217" spans="1:14" s="37" customFormat="1" ht="15.75" customHeight="1" x14ac:dyDescent="0.3">
      <c r="A217" s="42">
        <f>A216+1</f>
        <v>3</v>
      </c>
      <c r="B217" s="84" t="s">
        <v>371</v>
      </c>
      <c r="C217" s="42" t="s">
        <v>365</v>
      </c>
      <c r="D217" s="76">
        <f>(63.45)*10.764</f>
        <v>682.97579999999994</v>
      </c>
      <c r="E217" s="42">
        <f>(4.54)*10.764</f>
        <v>48.868559999999995</v>
      </c>
      <c r="F217" s="42">
        <f>D217+E217</f>
        <v>731.84435999999994</v>
      </c>
      <c r="G217" s="42">
        <v>0</v>
      </c>
      <c r="H217" s="42">
        <f>F217*(($H$170)+1)+(IF(G217&lt;101,G217,IF(G217&lt;201,G217/2,IF(G217&lt;=301,G217/3,G217/4))))</f>
        <v>1097.7665399999998</v>
      </c>
      <c r="I217" s="36"/>
      <c r="L217" s="207"/>
      <c r="M217" s="207"/>
      <c r="N217" s="36"/>
    </row>
    <row r="218" spans="1:14" s="37" customFormat="1" x14ac:dyDescent="0.3">
      <c r="A218" s="253" t="s">
        <v>368</v>
      </c>
      <c r="B218" s="254"/>
      <c r="C218" s="254"/>
      <c r="D218" s="254"/>
      <c r="E218" s="254"/>
      <c r="F218" s="254"/>
      <c r="G218" s="254"/>
      <c r="H218" s="255"/>
      <c r="J218" s="36"/>
    </row>
    <row r="219" spans="1:14" s="37" customFormat="1" ht="15.6" customHeight="1" x14ac:dyDescent="0.3">
      <c r="A219" s="152" t="s">
        <v>396</v>
      </c>
      <c r="B219" s="153"/>
      <c r="C219" s="153"/>
      <c r="D219" s="153"/>
      <c r="E219" s="153"/>
      <c r="F219" s="153"/>
      <c r="G219" s="153"/>
      <c r="H219" s="154"/>
      <c r="J219" s="36"/>
    </row>
    <row r="220" spans="1:14" s="37" customFormat="1" x14ac:dyDescent="0.3">
      <c r="A220" s="152" t="s">
        <v>398</v>
      </c>
      <c r="B220" s="153"/>
      <c r="C220" s="153"/>
      <c r="D220" s="153"/>
      <c r="E220" s="153"/>
      <c r="F220" s="153"/>
      <c r="G220" s="153"/>
      <c r="H220" s="154"/>
      <c r="J220" s="36"/>
    </row>
    <row r="221" spans="1:14" s="37" customFormat="1" x14ac:dyDescent="0.3">
      <c r="A221" s="152" t="s">
        <v>399</v>
      </c>
      <c r="B221" s="153"/>
      <c r="C221" s="153"/>
      <c r="D221" s="153"/>
      <c r="E221" s="153"/>
      <c r="F221" s="153"/>
      <c r="G221" s="153"/>
      <c r="H221" s="154"/>
      <c r="J221" s="36"/>
    </row>
    <row r="222" spans="1:14" s="37" customFormat="1" ht="15.75" customHeight="1" x14ac:dyDescent="0.3">
      <c r="A222" s="42">
        <v>1</v>
      </c>
      <c r="B222" s="42" t="s">
        <v>367</v>
      </c>
      <c r="C222" s="42" t="s">
        <v>365</v>
      </c>
      <c r="D222" s="76">
        <f>(61.85)*10.764</f>
        <v>665.75339999999994</v>
      </c>
      <c r="E222" s="42">
        <f>(4.54)*10.764</f>
        <v>48.868559999999995</v>
      </c>
      <c r="F222" s="42">
        <f>D222+E222</f>
        <v>714.62195999999994</v>
      </c>
      <c r="G222" s="42">
        <v>0</v>
      </c>
      <c r="H222" s="42">
        <f>F222*(($H$170)+1)+(IF(G222&lt;101,G222,IF(G222&lt;201,G222/2,IF(G222&lt;=301,G222/3,G222/4))))</f>
        <v>1071.9329399999999</v>
      </c>
      <c r="I222" s="36"/>
      <c r="L222" s="207"/>
      <c r="M222" s="207"/>
      <c r="N222" s="36"/>
    </row>
    <row r="223" spans="1:14" s="37" customFormat="1" ht="15.75" customHeight="1" x14ac:dyDescent="0.3">
      <c r="A223" s="42">
        <f>A222+1</f>
        <v>2</v>
      </c>
      <c r="B223" s="42" t="s">
        <v>367</v>
      </c>
      <c r="C223" s="42" t="s">
        <v>364</v>
      </c>
      <c r="D223" s="76">
        <f>(83.55)*10.764</f>
        <v>899.33219999999994</v>
      </c>
      <c r="E223" s="42">
        <f>(4.86)*10.764</f>
        <v>52.313040000000001</v>
      </c>
      <c r="F223" s="42">
        <f>D223+E223</f>
        <v>951.64523999999994</v>
      </c>
      <c r="G223" s="42">
        <v>0</v>
      </c>
      <c r="H223" s="42">
        <f>F223*(($H$170)+1)+(IF(G223&lt;101,G223,IF(G223&lt;201,G223/2,IF(G223&lt;=301,G223/3,G223/4))))</f>
        <v>1427.46786</v>
      </c>
      <c r="I223" s="36"/>
      <c r="L223" s="207"/>
      <c r="M223" s="207"/>
      <c r="N223" s="36"/>
    </row>
    <row r="224" spans="1:14" s="37" customFormat="1" ht="15.75" customHeight="1" x14ac:dyDescent="0.3">
      <c r="A224" s="42">
        <f>A223+1</f>
        <v>3</v>
      </c>
      <c r="B224" s="42" t="s">
        <v>367</v>
      </c>
      <c r="C224" s="42" t="s">
        <v>365</v>
      </c>
      <c r="D224" s="76">
        <f>(58.6)*10.764</f>
        <v>630.7704</v>
      </c>
      <c r="E224" s="42">
        <f>(4.64)*10.764</f>
        <v>49.944959999999995</v>
      </c>
      <c r="F224" s="42">
        <f>D224+E224</f>
        <v>680.71536000000003</v>
      </c>
      <c r="G224" s="42">
        <v>0</v>
      </c>
      <c r="H224" s="42">
        <f>F224*(($H$170)+1)+(IF(G224&lt;101,G224,IF(G224&lt;201,G224/2,IF(G224&lt;=301,G224/3,G224/4))))</f>
        <v>1021.07304</v>
      </c>
      <c r="I224" s="36"/>
      <c r="L224" s="207"/>
      <c r="M224" s="207"/>
      <c r="N224" s="36"/>
    </row>
    <row r="225" spans="1:14" s="37" customFormat="1" x14ac:dyDescent="0.3">
      <c r="A225" s="152" t="s">
        <v>400</v>
      </c>
      <c r="B225" s="153"/>
      <c r="C225" s="153"/>
      <c r="D225" s="153"/>
      <c r="E225" s="153"/>
      <c r="F225" s="153"/>
      <c r="G225" s="153"/>
      <c r="H225" s="154"/>
      <c r="J225" s="36"/>
    </row>
    <row r="226" spans="1:14" s="37" customFormat="1" ht="15.75" customHeight="1" x14ac:dyDescent="0.3">
      <c r="A226" s="42">
        <v>1</v>
      </c>
      <c r="B226" s="42" t="s">
        <v>367</v>
      </c>
      <c r="C226" s="42" t="s">
        <v>365</v>
      </c>
      <c r="D226" s="76">
        <f>(61.85)*10.764</f>
        <v>665.75339999999994</v>
      </c>
      <c r="E226" s="42">
        <f>(4.54)*10.764</f>
        <v>48.868559999999995</v>
      </c>
      <c r="F226" s="42">
        <f>D226+E226</f>
        <v>714.62195999999994</v>
      </c>
      <c r="G226" s="42">
        <v>0</v>
      </c>
      <c r="H226" s="42">
        <f>F226*(($H$170)+1)+(IF(G226&lt;101,G226,IF(G226&lt;201,G226/2,IF(G226&lt;=301,G226/3,G226/4))))</f>
        <v>1071.9329399999999</v>
      </c>
      <c r="I226" s="36"/>
      <c r="L226" s="207"/>
      <c r="M226" s="207"/>
      <c r="N226" s="36"/>
    </row>
    <row r="227" spans="1:14" s="37" customFormat="1" ht="15.75" customHeight="1" x14ac:dyDescent="0.3">
      <c r="A227" s="42">
        <f>A226+1</f>
        <v>2</v>
      </c>
      <c r="B227" s="42" t="s">
        <v>367</v>
      </c>
      <c r="C227" s="42" t="s">
        <v>364</v>
      </c>
      <c r="D227" s="76">
        <f>(83.55)*10.764</f>
        <v>899.33219999999994</v>
      </c>
      <c r="E227" s="42">
        <f>(4.86)*10.764</f>
        <v>52.313040000000001</v>
      </c>
      <c r="F227" s="42">
        <f>D227+E227</f>
        <v>951.64523999999994</v>
      </c>
      <c r="G227" s="42">
        <v>0</v>
      </c>
      <c r="H227" s="42">
        <f>F227*(($H$170)+1)+(IF(G227&lt;101,G227,IF(G227&lt;201,G227/2,IF(G227&lt;=301,G227/3,G227/4))))</f>
        <v>1427.46786</v>
      </c>
      <c r="I227" s="36"/>
      <c r="L227" s="207"/>
      <c r="M227" s="207"/>
      <c r="N227" s="36"/>
    </row>
    <row r="228" spans="1:14" s="37" customFormat="1" ht="15.75" customHeight="1" x14ac:dyDescent="0.3">
      <c r="A228" s="42">
        <f>A227+1</f>
        <v>3</v>
      </c>
      <c r="B228" s="42" t="s">
        <v>369</v>
      </c>
      <c r="C228" s="230" t="s">
        <v>370</v>
      </c>
      <c r="D228" s="243"/>
      <c r="E228" s="243"/>
      <c r="F228" s="243"/>
      <c r="G228" s="243"/>
      <c r="H228" s="231"/>
      <c r="I228" s="36"/>
      <c r="L228" s="207"/>
      <c r="M228" s="207"/>
      <c r="N228" s="36"/>
    </row>
    <row r="229" spans="1:14" s="37" customFormat="1" x14ac:dyDescent="0.3">
      <c r="A229" s="152" t="s">
        <v>407</v>
      </c>
      <c r="B229" s="153"/>
      <c r="C229" s="153"/>
      <c r="D229" s="153"/>
      <c r="E229" s="153"/>
      <c r="F229" s="153"/>
      <c r="G229" s="153"/>
      <c r="H229" s="154"/>
      <c r="J229" s="36"/>
    </row>
    <row r="230" spans="1:14" s="37" customFormat="1" ht="15.75" customHeight="1" x14ac:dyDescent="0.3">
      <c r="A230" s="42">
        <v>1</v>
      </c>
      <c r="B230" s="84" t="s">
        <v>371</v>
      </c>
      <c r="C230" s="42" t="s">
        <v>365</v>
      </c>
      <c r="D230" s="76">
        <f>(61.85)*10.764</f>
        <v>665.75339999999994</v>
      </c>
      <c r="E230" s="42">
        <f>(4.54)*10.764</f>
        <v>48.868559999999995</v>
      </c>
      <c r="F230" s="42">
        <f>D230+E230</f>
        <v>714.62195999999994</v>
      </c>
      <c r="G230" s="42">
        <v>0</v>
      </c>
      <c r="H230" s="42">
        <f>F230*(($H$170)+1)+(IF(G230&lt;101,G230,IF(G230&lt;201,G230/2,IF(G230&lt;=301,G230/3,G230/4))))</f>
        <v>1071.9329399999999</v>
      </c>
      <c r="I230" s="36"/>
      <c r="L230" s="207"/>
      <c r="M230" s="207"/>
      <c r="N230" s="36"/>
    </row>
    <row r="231" spans="1:14" s="37" customFormat="1" ht="15.75" customHeight="1" x14ac:dyDescent="0.3">
      <c r="A231" s="42">
        <f>A230+1</f>
        <v>2</v>
      </c>
      <c r="B231" s="84" t="s">
        <v>371</v>
      </c>
      <c r="C231" s="42" t="s">
        <v>364</v>
      </c>
      <c r="D231" s="76">
        <f>(83.55)*10.764</f>
        <v>899.33219999999994</v>
      </c>
      <c r="E231" s="42">
        <f>(4.86)*10.764</f>
        <v>52.313040000000001</v>
      </c>
      <c r="F231" s="42">
        <f>D231+E231</f>
        <v>951.64523999999994</v>
      </c>
      <c r="G231" s="42">
        <v>0</v>
      </c>
      <c r="H231" s="42">
        <f>F231*(($H$170)+1)+(IF(G231&lt;101,G231,IF(G231&lt;201,G231/2,IF(G231&lt;=301,G231/3,G231/4))))</f>
        <v>1427.46786</v>
      </c>
      <c r="I231" s="36"/>
      <c r="L231" s="207"/>
      <c r="M231" s="207"/>
      <c r="N231" s="36"/>
    </row>
    <row r="232" spans="1:14" s="37" customFormat="1" ht="15.75" customHeight="1" x14ac:dyDescent="0.3">
      <c r="A232" s="42">
        <f>A231+1</f>
        <v>3</v>
      </c>
      <c r="B232" s="42" t="s">
        <v>367</v>
      </c>
      <c r="C232" s="42" t="s">
        <v>365</v>
      </c>
      <c r="D232" s="76">
        <f>(61.79)*10.764</f>
        <v>665.10755999999992</v>
      </c>
      <c r="E232" s="42">
        <f>(4.54)*10.764</f>
        <v>48.868559999999995</v>
      </c>
      <c r="F232" s="42">
        <f>D232+E232</f>
        <v>713.97611999999992</v>
      </c>
      <c r="G232" s="42">
        <v>0</v>
      </c>
      <c r="H232" s="42">
        <f>F232*(($H$170)+1)+(IF(G232&lt;101,G232,IF(G232&lt;201,G232/2,IF(G232&lt;=301,G232/3,G232/4))))</f>
        <v>1070.9641799999999</v>
      </c>
      <c r="I232" s="36"/>
      <c r="L232" s="207"/>
      <c r="M232" s="207"/>
      <c r="N232" s="36"/>
    </row>
    <row r="233" spans="1:14" s="37" customFormat="1" x14ac:dyDescent="0.3">
      <c r="A233" s="152" t="s">
        <v>408</v>
      </c>
      <c r="B233" s="153"/>
      <c r="C233" s="153"/>
      <c r="D233" s="153"/>
      <c r="E233" s="153"/>
      <c r="F233" s="153"/>
      <c r="G233" s="153"/>
      <c r="H233" s="154"/>
      <c r="J233" s="36"/>
    </row>
    <row r="234" spans="1:14" s="37" customFormat="1" ht="15.75" customHeight="1" x14ac:dyDescent="0.3">
      <c r="A234" s="42">
        <v>1</v>
      </c>
      <c r="B234" s="84" t="s">
        <v>371</v>
      </c>
      <c r="C234" s="42" t="s">
        <v>365</v>
      </c>
      <c r="D234" s="76">
        <f>(61.85)*10.764</f>
        <v>665.75339999999994</v>
      </c>
      <c r="E234" s="42">
        <f>(4.54)*10.764</f>
        <v>48.868559999999995</v>
      </c>
      <c r="F234" s="42">
        <f>D234+E234</f>
        <v>714.62195999999994</v>
      </c>
      <c r="G234" s="42">
        <v>0</v>
      </c>
      <c r="H234" s="42">
        <f>F234*(($H$170)+1)+(IF(G234&lt;101,G234,IF(G234&lt;201,G234/2,IF(G234&lt;=301,G234/3,G234/4))))</f>
        <v>1071.9329399999999</v>
      </c>
      <c r="I234" s="36"/>
      <c r="L234" s="207"/>
      <c r="M234" s="207"/>
      <c r="N234" s="36"/>
    </row>
    <row r="235" spans="1:14" s="37" customFormat="1" ht="15.75" customHeight="1" x14ac:dyDescent="0.3">
      <c r="A235" s="42">
        <f>A234+1</f>
        <v>2</v>
      </c>
      <c r="B235" s="42" t="s">
        <v>367</v>
      </c>
      <c r="C235" s="42" t="s">
        <v>364</v>
      </c>
      <c r="D235" s="76">
        <f>(83.55)*10.764</f>
        <v>899.33219999999994</v>
      </c>
      <c r="E235" s="42">
        <f>(4.86)*10.764</f>
        <v>52.313040000000001</v>
      </c>
      <c r="F235" s="42">
        <f>D235+E235</f>
        <v>951.64523999999994</v>
      </c>
      <c r="G235" s="42">
        <v>0</v>
      </c>
      <c r="H235" s="42">
        <f>F235*(($H$170)+1)+(IF(G235&lt;101,G235,IF(G235&lt;201,G235/2,IF(G235&lt;=301,G235/3,G235/4))))</f>
        <v>1427.46786</v>
      </c>
      <c r="I235" s="36"/>
      <c r="L235" s="207"/>
      <c r="M235" s="207"/>
      <c r="N235" s="36"/>
    </row>
    <row r="236" spans="1:14" s="37" customFormat="1" ht="15.75" customHeight="1" x14ac:dyDescent="0.3">
      <c r="A236" s="42">
        <f>A235+1</f>
        <v>3</v>
      </c>
      <c r="B236" s="42" t="s">
        <v>367</v>
      </c>
      <c r="C236" s="42" t="s">
        <v>365</v>
      </c>
      <c r="D236" s="76">
        <f>(61.79)*10.764</f>
        <v>665.10755999999992</v>
      </c>
      <c r="E236" s="42">
        <f>(4.54)*10.764</f>
        <v>48.868559999999995</v>
      </c>
      <c r="F236" s="42">
        <f>D236+E236</f>
        <v>713.97611999999992</v>
      </c>
      <c r="G236" s="42">
        <v>0</v>
      </c>
      <c r="H236" s="42">
        <f>F236*(($H$170)+1)+(IF(G236&lt;101,G236,IF(G236&lt;201,G236/2,IF(G236&lt;=301,G236/3,G236/4))))</f>
        <v>1070.9641799999999</v>
      </c>
      <c r="I236" s="36"/>
      <c r="L236" s="207"/>
      <c r="M236" s="207"/>
      <c r="N236" s="36"/>
    </row>
    <row r="237" spans="1:14" s="37" customFormat="1" x14ac:dyDescent="0.3">
      <c r="A237" s="152" t="s">
        <v>405</v>
      </c>
      <c r="B237" s="153"/>
      <c r="C237" s="153"/>
      <c r="D237" s="153"/>
      <c r="E237" s="153"/>
      <c r="F237" s="153"/>
      <c r="G237" s="153"/>
      <c r="H237" s="154"/>
      <c r="J237" s="36"/>
    </row>
    <row r="238" spans="1:14" s="37" customFormat="1" ht="15.75" customHeight="1" x14ac:dyDescent="0.3">
      <c r="A238" s="42">
        <v>1</v>
      </c>
      <c r="B238" s="84" t="s">
        <v>371</v>
      </c>
      <c r="C238" s="42" t="s">
        <v>365</v>
      </c>
      <c r="D238" s="76">
        <f>(61.85)*10.764</f>
        <v>665.75339999999994</v>
      </c>
      <c r="E238" s="42">
        <f>(4.54)*10.764</f>
        <v>48.868559999999995</v>
      </c>
      <c r="F238" s="42">
        <f>D238+E238</f>
        <v>714.62195999999994</v>
      </c>
      <c r="G238" s="42">
        <v>0</v>
      </c>
      <c r="H238" s="42">
        <f>F238*(($H$170)+1)+(IF(G238&lt;101,G238,IF(G238&lt;201,G238/2,IF(G238&lt;=301,G238/3,G238/4))))</f>
        <v>1071.9329399999999</v>
      </c>
      <c r="I238" s="36"/>
      <c r="L238" s="207"/>
      <c r="M238" s="207"/>
      <c r="N238" s="36"/>
    </row>
    <row r="239" spans="1:14" s="37" customFormat="1" ht="15.75" customHeight="1" x14ac:dyDescent="0.3">
      <c r="A239" s="42">
        <f>A238+1</f>
        <v>2</v>
      </c>
      <c r="B239" s="42" t="s">
        <v>367</v>
      </c>
      <c r="C239" s="42" t="s">
        <v>364</v>
      </c>
      <c r="D239" s="76">
        <f>(83.55)*10.764</f>
        <v>899.33219999999994</v>
      </c>
      <c r="E239" s="42">
        <f>(4.86)*10.764</f>
        <v>52.313040000000001</v>
      </c>
      <c r="F239" s="42">
        <f>D239+E239</f>
        <v>951.64523999999994</v>
      </c>
      <c r="G239" s="42">
        <v>0</v>
      </c>
      <c r="H239" s="42">
        <f>F239*(($H$170)+1)+(IF(G239&lt;101,G239,IF(G239&lt;201,G239/2,IF(G239&lt;=301,G239/3,G239/4))))</f>
        <v>1427.46786</v>
      </c>
      <c r="I239" s="36"/>
      <c r="L239" s="207"/>
      <c r="M239" s="207"/>
      <c r="N239" s="36"/>
    </row>
    <row r="240" spans="1:14" s="37" customFormat="1" ht="15.75" customHeight="1" x14ac:dyDescent="0.3">
      <c r="A240" s="42">
        <f>A239+1</f>
        <v>3</v>
      </c>
      <c r="B240" s="84" t="s">
        <v>371</v>
      </c>
      <c r="C240" s="42" t="s">
        <v>365</v>
      </c>
      <c r="D240" s="76">
        <f>(61.79)*10.764</f>
        <v>665.10755999999992</v>
      </c>
      <c r="E240" s="42">
        <f>(4.54)*10.764</f>
        <v>48.868559999999995</v>
      </c>
      <c r="F240" s="42">
        <f>D240+E240</f>
        <v>713.97611999999992</v>
      </c>
      <c r="G240" s="42">
        <v>0</v>
      </c>
      <c r="H240" s="42">
        <f>F240*(($H$170)+1)+(IF(G240&lt;101,G240,IF(G240&lt;201,G240/2,IF(G240&lt;=301,G240/3,G240/4))))</f>
        <v>1070.9641799999999</v>
      </c>
      <c r="I240" s="36"/>
      <c r="L240" s="207"/>
      <c r="M240" s="207"/>
      <c r="N240" s="36"/>
    </row>
    <row r="241" spans="1:14" s="37" customFormat="1" x14ac:dyDescent="0.3">
      <c r="A241" s="152" t="s">
        <v>406</v>
      </c>
      <c r="B241" s="153"/>
      <c r="C241" s="153"/>
      <c r="D241" s="153"/>
      <c r="E241" s="153"/>
      <c r="F241" s="153"/>
      <c r="G241" s="153"/>
      <c r="H241" s="154"/>
      <c r="J241" s="36"/>
    </row>
    <row r="242" spans="1:14" s="37" customFormat="1" ht="15.75" customHeight="1" x14ac:dyDescent="0.3">
      <c r="A242" s="42">
        <v>1</v>
      </c>
      <c r="B242" s="84" t="s">
        <v>371</v>
      </c>
      <c r="C242" s="42" t="s">
        <v>365</v>
      </c>
      <c r="D242" s="76">
        <f>(61.85)*10.764</f>
        <v>665.75339999999994</v>
      </c>
      <c r="E242" s="42">
        <f>(4.54)*10.764</f>
        <v>48.868559999999995</v>
      </c>
      <c r="F242" s="42">
        <f>D242+E242</f>
        <v>714.62195999999994</v>
      </c>
      <c r="G242" s="42">
        <v>0</v>
      </c>
      <c r="H242" s="42">
        <f>F242*(($H$170)+1)+(IF(G242&lt;101,G242,IF(G242&lt;201,G242/2,IF(G242&lt;=301,G242/3,G242/4))))</f>
        <v>1071.9329399999999</v>
      </c>
      <c r="I242" s="36"/>
      <c r="L242" s="207"/>
      <c r="M242" s="207"/>
      <c r="N242" s="36"/>
    </row>
    <row r="243" spans="1:14" s="37" customFormat="1" ht="15.75" customHeight="1" x14ac:dyDescent="0.3">
      <c r="A243" s="42">
        <f>A242+1</f>
        <v>2</v>
      </c>
      <c r="B243" s="84" t="s">
        <v>371</v>
      </c>
      <c r="C243" s="42" t="s">
        <v>364</v>
      </c>
      <c r="D243" s="76">
        <f>(83.55)*10.764</f>
        <v>899.33219999999994</v>
      </c>
      <c r="E243" s="42">
        <f>(4.86)*10.764</f>
        <v>52.313040000000001</v>
      </c>
      <c r="F243" s="42">
        <f>D243+E243</f>
        <v>951.64523999999994</v>
      </c>
      <c r="G243" s="42">
        <v>0</v>
      </c>
      <c r="H243" s="42">
        <f>F243*(($H$170)+1)+(IF(G243&lt;101,G243,IF(G243&lt;201,G243/2,IF(G243&lt;=301,G243/3,G243/4))))</f>
        <v>1427.46786</v>
      </c>
      <c r="I243" s="36"/>
      <c r="L243" s="207"/>
      <c r="M243" s="207"/>
      <c r="N243" s="36"/>
    </row>
    <row r="244" spans="1:14" s="37" customFormat="1" ht="15.75" customHeight="1" x14ac:dyDescent="0.3">
      <c r="A244" s="42">
        <f>A243+1</f>
        <v>3</v>
      </c>
      <c r="B244" s="42" t="s">
        <v>367</v>
      </c>
      <c r="C244" s="42" t="s">
        <v>365</v>
      </c>
      <c r="D244" s="76">
        <f>(61.79)*10.764</f>
        <v>665.10755999999992</v>
      </c>
      <c r="E244" s="42">
        <f>(4.54)*10.764</f>
        <v>48.868559999999995</v>
      </c>
      <c r="F244" s="42">
        <f>D244+E244</f>
        <v>713.97611999999992</v>
      </c>
      <c r="G244" s="42">
        <v>0</v>
      </c>
      <c r="H244" s="42">
        <f>F244*(($H$170)+1)+(IF(G244&lt;101,G244,IF(G244&lt;201,G244/2,IF(G244&lt;=301,G244/3,G244/4))))</f>
        <v>1070.9641799999999</v>
      </c>
      <c r="I244" s="36"/>
      <c r="L244" s="207"/>
      <c r="M244" s="207"/>
      <c r="N244" s="36"/>
    </row>
    <row r="245" spans="1:14" s="37" customFormat="1" x14ac:dyDescent="0.3">
      <c r="A245" s="152" t="s">
        <v>413</v>
      </c>
      <c r="B245" s="153"/>
      <c r="C245" s="153"/>
      <c r="D245" s="153"/>
      <c r="E245" s="153"/>
      <c r="F245" s="153"/>
      <c r="G245" s="153"/>
      <c r="H245" s="154"/>
      <c r="J245" s="36"/>
    </row>
    <row r="246" spans="1:14" s="37" customFormat="1" ht="15.75" customHeight="1" x14ac:dyDescent="0.3">
      <c r="A246" s="42">
        <v>1</v>
      </c>
      <c r="B246" s="84" t="s">
        <v>371</v>
      </c>
      <c r="C246" s="42" t="s">
        <v>365</v>
      </c>
      <c r="D246" s="76">
        <f>(61.85)*10.764</f>
        <v>665.75339999999994</v>
      </c>
      <c r="E246" s="42">
        <f>(4.54)*10.764</f>
        <v>48.868559999999995</v>
      </c>
      <c r="F246" s="42">
        <f>D246+E246</f>
        <v>714.62195999999994</v>
      </c>
      <c r="G246" s="42">
        <v>0</v>
      </c>
      <c r="H246" s="42">
        <f>F246*(($H$170)+1)+(IF(G246&lt;101,G246,IF(G246&lt;201,G246/2,IF(G246&lt;=301,G246/3,G246/4))))</f>
        <v>1071.9329399999999</v>
      </c>
      <c r="I246" s="36"/>
      <c r="L246" s="207"/>
      <c r="M246" s="207"/>
      <c r="N246" s="36"/>
    </row>
    <row r="247" spans="1:14" s="37" customFormat="1" ht="15.75" customHeight="1" x14ac:dyDescent="0.3">
      <c r="A247" s="42">
        <f>A246+1</f>
        <v>2</v>
      </c>
      <c r="B247" s="84" t="s">
        <v>371</v>
      </c>
      <c r="C247" s="42" t="s">
        <v>364</v>
      </c>
      <c r="D247" s="76">
        <f>(83.55)*10.764</f>
        <v>899.33219999999994</v>
      </c>
      <c r="E247" s="42">
        <f>(4.86)*10.764</f>
        <v>52.313040000000001</v>
      </c>
      <c r="F247" s="42">
        <f>D247+E247</f>
        <v>951.64523999999994</v>
      </c>
      <c r="G247" s="42">
        <v>0</v>
      </c>
      <c r="H247" s="42">
        <f>F247*(($H$170)+1)+(IF(G247&lt;101,G247,IF(G247&lt;201,G247/2,IF(G247&lt;=301,G247/3,G247/4))))</f>
        <v>1427.46786</v>
      </c>
      <c r="I247" s="36"/>
      <c r="L247" s="207"/>
      <c r="M247" s="207"/>
      <c r="N247" s="36"/>
    </row>
    <row r="248" spans="1:14" s="37" customFormat="1" ht="15.75" customHeight="1" x14ac:dyDescent="0.3">
      <c r="A248" s="42">
        <f>A247+1</f>
        <v>3</v>
      </c>
      <c r="B248" s="42" t="s">
        <v>367</v>
      </c>
      <c r="C248" s="42" t="s">
        <v>365</v>
      </c>
      <c r="D248" s="76">
        <f>(63.45)*10.764</f>
        <v>682.97579999999994</v>
      </c>
      <c r="E248" s="42">
        <f>(4.54)*10.764</f>
        <v>48.868559999999995</v>
      </c>
      <c r="F248" s="42">
        <f>D248+E248</f>
        <v>731.84435999999994</v>
      </c>
      <c r="G248" s="42">
        <v>0</v>
      </c>
      <c r="H248" s="42">
        <f>F248*(($H$170)+1)+(IF(G248&lt;101,G248,IF(G248&lt;201,G248/2,IF(G248&lt;=301,G248/3,G248/4))))</f>
        <v>1097.7665399999998</v>
      </c>
      <c r="I248" s="36"/>
      <c r="L248" s="207"/>
      <c r="M248" s="207"/>
      <c r="N248" s="36"/>
    </row>
    <row r="249" spans="1:14" s="37" customFormat="1" x14ac:dyDescent="0.3">
      <c r="A249" s="152" t="s">
        <v>411</v>
      </c>
      <c r="B249" s="153"/>
      <c r="C249" s="153"/>
      <c r="D249" s="153"/>
      <c r="E249" s="153"/>
      <c r="F249" s="153"/>
      <c r="G249" s="153"/>
      <c r="H249" s="154"/>
      <c r="J249" s="36"/>
    </row>
    <row r="250" spans="1:14" s="37" customFormat="1" ht="15.75" customHeight="1" x14ac:dyDescent="0.3">
      <c r="A250" s="42">
        <v>1</v>
      </c>
      <c r="B250" s="84" t="s">
        <v>371</v>
      </c>
      <c r="C250" s="42" t="s">
        <v>365</v>
      </c>
      <c r="D250" s="76">
        <f>(61.85)*10.764</f>
        <v>665.75339999999994</v>
      </c>
      <c r="E250" s="42">
        <f>(4.54)*10.764</f>
        <v>48.868559999999995</v>
      </c>
      <c r="F250" s="42">
        <f>D250+E250</f>
        <v>714.62195999999994</v>
      </c>
      <c r="G250" s="42">
        <v>0</v>
      </c>
      <c r="H250" s="42">
        <f>F250*(($H$170)+1)+(IF(G250&lt;101,G250,IF(G250&lt;201,G250/2,IF(G250&lt;=301,G250/3,G250/4))))</f>
        <v>1071.9329399999999</v>
      </c>
      <c r="I250" s="36"/>
      <c r="L250" s="207"/>
      <c r="M250" s="207"/>
      <c r="N250" s="36"/>
    </row>
    <row r="251" spans="1:14" s="37" customFormat="1" ht="15.75" customHeight="1" x14ac:dyDescent="0.3">
      <c r="A251" s="42">
        <f>A250+1</f>
        <v>2</v>
      </c>
      <c r="B251" s="84" t="s">
        <v>371</v>
      </c>
      <c r="C251" s="42" t="s">
        <v>364</v>
      </c>
      <c r="D251" s="76">
        <f>(83.55)*10.764</f>
        <v>899.33219999999994</v>
      </c>
      <c r="E251" s="42">
        <f>(4.86)*10.764</f>
        <v>52.313040000000001</v>
      </c>
      <c r="F251" s="42">
        <f>D251+E251</f>
        <v>951.64523999999994</v>
      </c>
      <c r="G251" s="42">
        <v>0</v>
      </c>
      <c r="H251" s="42">
        <f>F251*(($H$170)+1)+(IF(G251&lt;101,G251,IF(G251&lt;201,G251/2,IF(G251&lt;=301,G251/3,G251/4))))</f>
        <v>1427.46786</v>
      </c>
      <c r="I251" s="36"/>
      <c r="L251" s="207"/>
      <c r="M251" s="207"/>
      <c r="N251" s="36"/>
    </row>
    <row r="252" spans="1:14" s="37" customFormat="1" ht="15.75" customHeight="1" x14ac:dyDescent="0.3">
      <c r="A252" s="42">
        <f>A251+1</f>
        <v>3</v>
      </c>
      <c r="B252" s="84" t="s">
        <v>371</v>
      </c>
      <c r="C252" s="42" t="s">
        <v>365</v>
      </c>
      <c r="D252" s="76">
        <f>(63.45)*10.764</f>
        <v>682.97579999999994</v>
      </c>
      <c r="E252" s="42">
        <f>(4.54)*10.764</f>
        <v>48.868559999999995</v>
      </c>
      <c r="F252" s="42">
        <f>D252+E252</f>
        <v>731.84435999999994</v>
      </c>
      <c r="G252" s="42">
        <v>0</v>
      </c>
      <c r="H252" s="42">
        <f>F252*(($H$170)+1)+(IF(G252&lt;101,G252,IF(G252&lt;201,G252/2,IF(G252&lt;=301,G252/3,G252/4))))</f>
        <v>1097.7665399999998</v>
      </c>
      <c r="I252" s="36"/>
      <c r="L252" s="207"/>
      <c r="M252" s="207"/>
      <c r="N252" s="36"/>
    </row>
    <row r="253" spans="1:14" s="37" customFormat="1" x14ac:dyDescent="0.3">
      <c r="A253" s="152" t="s">
        <v>401</v>
      </c>
      <c r="B253" s="153"/>
      <c r="C253" s="153"/>
      <c r="D253" s="153"/>
      <c r="E253" s="153"/>
      <c r="F253" s="153"/>
      <c r="G253" s="153"/>
      <c r="H253" s="154"/>
      <c r="J253" s="36"/>
    </row>
    <row r="254" spans="1:14" s="37" customFormat="1" ht="15.75" customHeight="1" x14ac:dyDescent="0.3">
      <c r="A254" s="42">
        <v>1</v>
      </c>
      <c r="B254" s="84" t="s">
        <v>371</v>
      </c>
      <c r="C254" s="42" t="s">
        <v>365</v>
      </c>
      <c r="D254" s="76">
        <f>(61.85)*10.764</f>
        <v>665.75339999999994</v>
      </c>
      <c r="E254" s="42">
        <f>(4.54)*10.764</f>
        <v>48.868559999999995</v>
      </c>
      <c r="F254" s="42">
        <f>D254+E254</f>
        <v>714.62195999999994</v>
      </c>
      <c r="G254" s="42">
        <v>0</v>
      </c>
      <c r="H254" s="42">
        <f>F254*(($H$170)+1)+(IF(G254&lt;101,G254,IF(G254&lt;201,G254/2,IF(G254&lt;=301,G254/3,G254/4))))</f>
        <v>1071.9329399999999</v>
      </c>
      <c r="I254" s="36"/>
      <c r="L254" s="207"/>
      <c r="M254" s="207"/>
      <c r="N254" s="36"/>
    </row>
    <row r="255" spans="1:14" s="37" customFormat="1" ht="15.75" customHeight="1" x14ac:dyDescent="0.3">
      <c r="A255" s="42">
        <f>A254+1</f>
        <v>2</v>
      </c>
      <c r="B255" s="42" t="s">
        <v>367</v>
      </c>
      <c r="C255" s="42" t="s">
        <v>364</v>
      </c>
      <c r="D255" s="76">
        <f>(83.55)*10.764</f>
        <v>899.33219999999994</v>
      </c>
      <c r="E255" s="42">
        <f>(4.86)*10.764</f>
        <v>52.313040000000001</v>
      </c>
      <c r="F255" s="42">
        <f>D255+E255</f>
        <v>951.64523999999994</v>
      </c>
      <c r="G255" s="42">
        <v>0</v>
      </c>
      <c r="H255" s="42">
        <f>F255*(($H$170)+1)+(IF(G255&lt;101,G255,IF(G255&lt;201,G255/2,IF(G255&lt;=301,G255/3,G255/4))))</f>
        <v>1427.46786</v>
      </c>
      <c r="I255" s="36"/>
      <c r="L255" s="207"/>
      <c r="M255" s="207"/>
      <c r="N255" s="36"/>
    </row>
    <row r="256" spans="1:14" s="37" customFormat="1" ht="15.75" customHeight="1" x14ac:dyDescent="0.3">
      <c r="A256" s="42">
        <f>A255+1</f>
        <v>3</v>
      </c>
      <c r="B256" s="42" t="s">
        <v>369</v>
      </c>
      <c r="C256" s="230" t="s">
        <v>370</v>
      </c>
      <c r="D256" s="243"/>
      <c r="E256" s="243"/>
      <c r="F256" s="243"/>
      <c r="G256" s="243"/>
      <c r="H256" s="231"/>
      <c r="I256" s="36"/>
      <c r="L256" s="207"/>
      <c r="M256" s="207"/>
      <c r="N256" s="36"/>
    </row>
    <row r="257" spans="1:20" s="37" customFormat="1" x14ac:dyDescent="0.3">
      <c r="A257" s="152" t="s">
        <v>402</v>
      </c>
      <c r="B257" s="153"/>
      <c r="C257" s="153"/>
      <c r="D257" s="153"/>
      <c r="E257" s="153"/>
      <c r="F257" s="153"/>
      <c r="G257" s="153"/>
      <c r="H257" s="154"/>
      <c r="J257" s="36"/>
    </row>
    <row r="258" spans="1:20" s="37" customFormat="1" ht="15.75" customHeight="1" x14ac:dyDescent="0.3">
      <c r="A258" s="42">
        <v>1</v>
      </c>
      <c r="B258" s="84" t="s">
        <v>371</v>
      </c>
      <c r="C258" s="42" t="s">
        <v>365</v>
      </c>
      <c r="D258" s="76">
        <f>(64.07)*10.764</f>
        <v>689.64947999999993</v>
      </c>
      <c r="E258" s="42">
        <f>(6.17)*10.764</f>
        <v>66.413879999999992</v>
      </c>
      <c r="F258" s="42">
        <f>D258+E258</f>
        <v>756.06335999999988</v>
      </c>
      <c r="G258" s="42">
        <v>0</v>
      </c>
      <c r="H258" s="42">
        <f>F258*(($H$170)+1)+(IF(G258&lt;101,G258,IF(G258&lt;201,G258/2,IF(G258&lt;=301,G258/3,G258/4))))</f>
        <v>1134.0950399999997</v>
      </c>
      <c r="I258" s="36"/>
      <c r="L258" s="207"/>
      <c r="M258" s="207"/>
      <c r="N258" s="36"/>
    </row>
    <row r="259" spans="1:20" s="37" customFormat="1" ht="15.75" customHeight="1" x14ac:dyDescent="0.3">
      <c r="A259" s="42">
        <f>A258+1</f>
        <v>2</v>
      </c>
      <c r="B259" s="84" t="s">
        <v>371</v>
      </c>
      <c r="C259" s="42" t="s">
        <v>364</v>
      </c>
      <c r="D259" s="76">
        <f>(92.83)*10.764</f>
        <v>999.2221199999999</v>
      </c>
      <c r="E259" s="42">
        <f>(6.62)*10.764</f>
        <v>71.257679999999993</v>
      </c>
      <c r="F259" s="42">
        <f>D259+E259</f>
        <v>1070.4797999999998</v>
      </c>
      <c r="G259" s="42">
        <v>0</v>
      </c>
      <c r="H259" s="42">
        <f>F259*(($H$170)+1)+(IF(G259&lt;101,G259,IF(G259&lt;201,G259/2,IF(G259&lt;=301,G259/3,G259/4))))</f>
        <v>1605.7196999999996</v>
      </c>
      <c r="I259" s="36"/>
      <c r="L259" s="207"/>
      <c r="M259" s="207"/>
      <c r="N259" s="36"/>
    </row>
    <row r="260" spans="1:20" s="37" customFormat="1" ht="37.5" customHeight="1" x14ac:dyDescent="0.3">
      <c r="A260" s="42">
        <f>A259+1</f>
        <v>3</v>
      </c>
      <c r="B260" s="42" t="s">
        <v>416</v>
      </c>
      <c r="C260" s="42" t="s">
        <v>365</v>
      </c>
      <c r="D260" s="76">
        <f>(63.45)*10.764</f>
        <v>682.97579999999994</v>
      </c>
      <c r="E260" s="42">
        <f>(4.54)*10.764</f>
        <v>48.868559999999995</v>
      </c>
      <c r="F260" s="42">
        <f>D260+E260</f>
        <v>731.84435999999994</v>
      </c>
      <c r="G260" s="42">
        <v>0</v>
      </c>
      <c r="H260" s="42">
        <f>F260*(($H$170)+1)+(IF(G260&lt;101,G260,IF(G260&lt;201,G260/2,IF(G260&lt;=301,G260/3,G260/4))))</f>
        <v>1097.7665399999998</v>
      </c>
      <c r="I260" s="36"/>
      <c r="L260" s="207"/>
      <c r="M260" s="207"/>
      <c r="N260" s="36"/>
    </row>
    <row r="261" spans="1:20" s="35" customFormat="1" x14ac:dyDescent="0.3">
      <c r="A261" s="259" t="s">
        <v>65</v>
      </c>
      <c r="B261" s="259"/>
      <c r="C261" s="259"/>
      <c r="D261" s="259"/>
      <c r="E261" s="259"/>
      <c r="F261" s="259"/>
      <c r="G261" s="259"/>
      <c r="H261" s="259"/>
      <c r="T261" s="37"/>
    </row>
    <row r="262" spans="1:20" s="35" customFormat="1" x14ac:dyDescent="0.3">
      <c r="A262" s="46" t="s">
        <v>150</v>
      </c>
      <c r="B262" s="256" t="s">
        <v>386</v>
      </c>
      <c r="C262" s="257"/>
      <c r="D262" s="257"/>
      <c r="E262" s="257"/>
      <c r="F262" s="257"/>
      <c r="G262" s="257"/>
      <c r="H262" s="258"/>
      <c r="T262" s="37"/>
    </row>
    <row r="263" spans="1:20" s="35" customFormat="1" x14ac:dyDescent="0.3">
      <c r="A263" s="46" t="s">
        <v>150</v>
      </c>
      <c r="B263" s="256" t="str">
        <f>(IF(H169="Saleable area Loading :","We have considered Saleable area of Flats as per our Calculation.","We considered Saleable area of Flat as per Builder area Sheet."))</f>
        <v>We have considered Saleable area of Flats as per our Calculation.</v>
      </c>
      <c r="C263" s="257"/>
      <c r="D263" s="257"/>
      <c r="E263" s="257"/>
      <c r="F263" s="257"/>
      <c r="G263" s="257"/>
      <c r="H263" s="258"/>
      <c r="T263" s="37"/>
    </row>
    <row r="264" spans="1:20" s="35" customFormat="1" x14ac:dyDescent="0.3">
      <c r="A264" s="46" t="s">
        <v>150</v>
      </c>
      <c r="B264" s="256" t="str">
        <f>(IF(H149="Saleable area Loading :","We have considered Saleable area of Commercial as per our Calculation.","We considered Saleable area of Commercial as per Builder area Sheet."))</f>
        <v>We have considered Saleable area of Commercial as per our Calculation.</v>
      </c>
      <c r="C264" s="257"/>
      <c r="D264" s="257"/>
      <c r="E264" s="257"/>
      <c r="F264" s="257"/>
      <c r="G264" s="257"/>
      <c r="H264" s="258"/>
      <c r="T264" s="37"/>
    </row>
    <row r="265" spans="1:20" s="35" customFormat="1" x14ac:dyDescent="0.3">
      <c r="A265" s="46" t="s">
        <v>150</v>
      </c>
      <c r="B265" s="90" t="s">
        <v>120</v>
      </c>
      <c r="C265" s="91"/>
      <c r="D265" s="91"/>
      <c r="E265" s="91"/>
      <c r="F265" s="91"/>
      <c r="G265" s="91"/>
      <c r="H265" s="92"/>
      <c r="T265" s="37"/>
    </row>
    <row r="266" spans="1:20" s="35" customFormat="1" x14ac:dyDescent="0.3">
      <c r="A266" s="46" t="s">
        <v>150</v>
      </c>
      <c r="B266" s="90" t="s">
        <v>377</v>
      </c>
      <c r="C266" s="91"/>
      <c r="D266" s="91"/>
      <c r="E266" s="91"/>
      <c r="F266" s="91"/>
      <c r="G266" s="91"/>
      <c r="H266" s="92"/>
      <c r="T266" s="37"/>
    </row>
    <row r="267" spans="1:20" s="35" customFormat="1" x14ac:dyDescent="0.3">
      <c r="A267" s="46" t="s">
        <v>150</v>
      </c>
      <c r="B267" s="90" t="s">
        <v>149</v>
      </c>
      <c r="C267" s="91"/>
      <c r="D267" s="91"/>
      <c r="E267" s="91"/>
      <c r="F267" s="91"/>
      <c r="G267" s="91"/>
      <c r="H267" s="92"/>
    </row>
    <row r="268" spans="1:20" s="35" customFormat="1" x14ac:dyDescent="0.3">
      <c r="A268" s="46" t="s">
        <v>150</v>
      </c>
      <c r="B268" s="90" t="s">
        <v>121</v>
      </c>
      <c r="C268" s="91"/>
      <c r="D268" s="91"/>
      <c r="E268" s="91"/>
      <c r="F268" s="91"/>
      <c r="G268" s="91"/>
      <c r="H268" s="92"/>
    </row>
    <row r="269" spans="1:20" s="35" customFormat="1" ht="30" customHeight="1" x14ac:dyDescent="0.3">
      <c r="A269" s="46" t="s">
        <v>150</v>
      </c>
      <c r="B269" s="90" t="s">
        <v>151</v>
      </c>
      <c r="C269" s="91"/>
      <c r="D269" s="91"/>
      <c r="E269" s="91"/>
      <c r="F269" s="91"/>
      <c r="G269" s="91"/>
      <c r="H269" s="92"/>
    </row>
    <row r="270" spans="1:20" s="35" customFormat="1" x14ac:dyDescent="0.3">
      <c r="A270" s="46" t="s">
        <v>150</v>
      </c>
      <c r="B270" s="90" t="s">
        <v>122</v>
      </c>
      <c r="C270" s="91"/>
      <c r="D270" s="91"/>
      <c r="E270" s="91"/>
      <c r="F270" s="91"/>
      <c r="G270" s="91"/>
      <c r="H270" s="92"/>
    </row>
    <row r="271" spans="1:20" s="35" customFormat="1" ht="32.25" hidden="1" customHeight="1" x14ac:dyDescent="0.3">
      <c r="A271" s="46" t="s">
        <v>150</v>
      </c>
      <c r="B271" s="178" t="s">
        <v>175</v>
      </c>
      <c r="C271" s="179"/>
      <c r="D271" s="179"/>
      <c r="E271" s="179"/>
      <c r="F271" s="179"/>
      <c r="G271" s="179"/>
      <c r="H271" s="180"/>
    </row>
    <row r="272" spans="1:20" s="35" customFormat="1" hidden="1" x14ac:dyDescent="0.3">
      <c r="A272" s="46" t="s">
        <v>150</v>
      </c>
      <c r="B272" s="178" t="s">
        <v>231</v>
      </c>
      <c r="C272" s="179"/>
      <c r="D272" s="179"/>
      <c r="E272" s="179"/>
      <c r="F272" s="179"/>
      <c r="G272" s="179"/>
      <c r="H272" s="180"/>
    </row>
    <row r="273" spans="1:20" s="35" customFormat="1" x14ac:dyDescent="0.3">
      <c r="A273" s="46" t="s">
        <v>150</v>
      </c>
      <c r="B273" s="90" t="s">
        <v>383</v>
      </c>
      <c r="C273" s="91"/>
      <c r="D273" s="91"/>
      <c r="E273" s="91"/>
      <c r="F273" s="91"/>
      <c r="G273" s="91"/>
      <c r="H273" s="92"/>
    </row>
    <row r="274" spans="1:20" s="35" customFormat="1" x14ac:dyDescent="0.3">
      <c r="A274" s="46" t="s">
        <v>150</v>
      </c>
      <c r="B274" s="90" t="s">
        <v>423</v>
      </c>
      <c r="C274" s="91"/>
      <c r="D274" s="91"/>
      <c r="E274" s="91"/>
      <c r="F274" s="91"/>
      <c r="G274" s="91"/>
      <c r="H274" s="92"/>
    </row>
    <row r="275" spans="1:20" s="35" customFormat="1" ht="32.549999999999997" customHeight="1" x14ac:dyDescent="0.3">
      <c r="A275" s="46" t="s">
        <v>150</v>
      </c>
      <c r="B275" s="90" t="s">
        <v>417</v>
      </c>
      <c r="C275" s="91"/>
      <c r="D275" s="91"/>
      <c r="E275" s="91"/>
      <c r="F275" s="91"/>
      <c r="G275" s="91"/>
      <c r="H275" s="92"/>
    </row>
    <row r="276" spans="1:20" s="35" customFormat="1" x14ac:dyDescent="0.3">
      <c r="A276" s="46" t="s">
        <v>150</v>
      </c>
      <c r="B276" s="90" t="s">
        <v>426</v>
      </c>
      <c r="C276" s="91"/>
      <c r="D276" s="91"/>
      <c r="E276" s="91"/>
      <c r="F276" s="91"/>
      <c r="G276" s="91"/>
      <c r="H276" s="92"/>
    </row>
    <row r="277" spans="1:20" s="35" customFormat="1" x14ac:dyDescent="0.3">
      <c r="A277" s="46" t="s">
        <v>150</v>
      </c>
      <c r="B277" s="90" t="s">
        <v>421</v>
      </c>
      <c r="C277" s="91"/>
      <c r="D277" s="91"/>
      <c r="E277" s="91"/>
      <c r="F277" s="91"/>
      <c r="G277" s="91"/>
      <c r="H277" s="92"/>
    </row>
    <row r="278" spans="1:20" s="35" customFormat="1" x14ac:dyDescent="0.3">
      <c r="A278" s="46" t="s">
        <v>150</v>
      </c>
      <c r="B278" s="90" t="s">
        <v>422</v>
      </c>
      <c r="C278" s="91"/>
      <c r="D278" s="91"/>
      <c r="E278" s="91"/>
      <c r="F278" s="91"/>
      <c r="G278" s="91"/>
      <c r="H278" s="92"/>
    </row>
    <row r="279" spans="1:20" x14ac:dyDescent="0.3">
      <c r="A279" s="121" t="s">
        <v>58</v>
      </c>
      <c r="B279" s="121"/>
      <c r="C279" s="121"/>
      <c r="D279" s="121"/>
      <c r="E279" s="121"/>
      <c r="F279" s="121"/>
      <c r="G279" s="121"/>
      <c r="H279" s="121"/>
      <c r="T279" s="35"/>
    </row>
    <row r="280" spans="1:20" x14ac:dyDescent="0.3">
      <c r="A280" s="98" t="s">
        <v>59</v>
      </c>
      <c r="B280" s="98"/>
      <c r="C280" s="98"/>
      <c r="D280" s="98"/>
      <c r="E280" s="98"/>
      <c r="F280" s="98"/>
      <c r="G280" s="98"/>
      <c r="H280" s="98"/>
      <c r="T280" s="35"/>
    </row>
    <row r="281" spans="1:20" ht="15.75" customHeight="1" x14ac:dyDescent="0.3">
      <c r="A281" s="139" t="s">
        <v>60</v>
      </c>
      <c r="B281" s="139"/>
      <c r="C281" s="139"/>
      <c r="D281" s="139"/>
      <c r="E281" s="139"/>
      <c r="F281" s="139"/>
      <c r="G281" s="139"/>
      <c r="H281" s="139"/>
      <c r="T281" s="35"/>
    </row>
    <row r="282" spans="1:20" x14ac:dyDescent="0.3">
      <c r="A282" s="98" t="s">
        <v>61</v>
      </c>
      <c r="B282" s="98"/>
      <c r="C282" s="98"/>
      <c r="D282" s="98"/>
      <c r="E282" s="98"/>
      <c r="F282" s="98"/>
      <c r="G282" s="98"/>
      <c r="H282" s="98"/>
      <c r="T282" s="35"/>
    </row>
    <row r="283" spans="1:20" x14ac:dyDescent="0.3">
      <c r="A283" s="98" t="s">
        <v>62</v>
      </c>
      <c r="B283" s="98"/>
      <c r="C283" s="98"/>
      <c r="D283" s="98"/>
      <c r="E283" s="98"/>
      <c r="F283" s="98"/>
      <c r="G283" s="98"/>
      <c r="H283" s="98"/>
      <c r="T283" s="35"/>
    </row>
    <row r="284" spans="1:20" x14ac:dyDescent="0.3">
      <c r="A284" s="98" t="s">
        <v>123</v>
      </c>
      <c r="B284" s="98"/>
      <c r="C284" s="98"/>
      <c r="D284" s="98"/>
      <c r="E284" s="98"/>
      <c r="F284" s="98"/>
      <c r="G284" s="98"/>
      <c r="H284" s="98"/>
      <c r="T284" s="35"/>
    </row>
    <row r="285" spans="1:20" ht="34.049999999999997" customHeight="1" x14ac:dyDescent="0.3">
      <c r="A285" s="106" t="s">
        <v>124</v>
      </c>
      <c r="B285" s="106"/>
      <c r="C285" s="106"/>
      <c r="D285" s="106"/>
      <c r="E285" s="106"/>
      <c r="F285" s="106"/>
      <c r="G285" s="106"/>
      <c r="H285" s="106"/>
    </row>
    <row r="286" spans="1:20" x14ac:dyDescent="0.3">
      <c r="A286" s="174" t="s">
        <v>73</v>
      </c>
      <c r="B286" s="174"/>
      <c r="C286" s="174" t="s">
        <v>425</v>
      </c>
      <c r="D286" s="174"/>
      <c r="E286" s="174" t="s">
        <v>103</v>
      </c>
      <c r="F286" s="174"/>
      <c r="G286" s="174" t="s">
        <v>424</v>
      </c>
      <c r="H286" s="174"/>
    </row>
    <row r="287" spans="1:20" x14ac:dyDescent="0.3">
      <c r="A287" s="173" t="s">
        <v>75</v>
      </c>
      <c r="B287" s="173"/>
      <c r="C287" s="173"/>
      <c r="D287" s="173"/>
      <c r="E287" s="173"/>
      <c r="F287" s="173"/>
      <c r="G287" s="173"/>
      <c r="H287" s="173"/>
    </row>
    <row r="288" spans="1:20" x14ac:dyDescent="0.3">
      <c r="A288" s="173"/>
      <c r="B288" s="173"/>
      <c r="C288" s="173"/>
      <c r="D288" s="173"/>
      <c r="E288" s="173"/>
      <c r="F288" s="173"/>
      <c r="G288" s="173"/>
      <c r="H288" s="173"/>
    </row>
    <row r="289" spans="1:8" x14ac:dyDescent="0.3">
      <c r="A289" s="173"/>
      <c r="B289" s="173"/>
      <c r="C289" s="173"/>
      <c r="D289" s="173"/>
      <c r="E289" s="173"/>
      <c r="F289" s="173"/>
      <c r="G289" s="173"/>
      <c r="H289" s="173"/>
    </row>
    <row r="290" spans="1:8" x14ac:dyDescent="0.3">
      <c r="A290" s="173"/>
      <c r="B290" s="173"/>
      <c r="C290" s="173"/>
      <c r="D290" s="173"/>
      <c r="E290" s="173"/>
      <c r="F290" s="173"/>
      <c r="G290" s="173"/>
      <c r="H290" s="173"/>
    </row>
    <row r="291" spans="1:8" x14ac:dyDescent="0.3">
      <c r="A291" s="38" t="s">
        <v>63</v>
      </c>
      <c r="B291" s="39"/>
      <c r="C291" s="39"/>
      <c r="D291" s="38" t="str">
        <f>E9</f>
        <v>Gurukrupa Dhyanam</v>
      </c>
      <c r="F291" s="39"/>
      <c r="G291" s="39"/>
      <c r="H291" s="39"/>
    </row>
    <row r="292" spans="1:8" x14ac:dyDescent="0.3">
      <c r="A292" s="39"/>
      <c r="B292" s="39"/>
      <c r="C292" s="39"/>
      <c r="D292" s="39"/>
      <c r="E292" s="39"/>
      <c r="F292" s="39"/>
      <c r="G292" s="39"/>
      <c r="H292" s="39"/>
    </row>
    <row r="293" spans="1:8" x14ac:dyDescent="0.3">
      <c r="A293" s="39"/>
      <c r="B293" s="39"/>
      <c r="C293" s="39"/>
      <c r="D293" s="39"/>
      <c r="E293" s="39"/>
      <c r="F293" s="39"/>
      <c r="G293" s="39"/>
      <c r="H293" s="39"/>
    </row>
    <row r="294" spans="1:8" ht="15" customHeight="1" x14ac:dyDescent="0.3"/>
    <row r="333" spans="1:1" x14ac:dyDescent="0.3">
      <c r="A333" s="41" t="s">
        <v>160</v>
      </c>
    </row>
    <row r="375" spans="1:1" x14ac:dyDescent="0.3">
      <c r="A375" s="41" t="s">
        <v>64</v>
      </c>
    </row>
  </sheetData>
  <mergeCells count="473">
    <mergeCell ref="B276:H276"/>
    <mergeCell ref="B274:H274"/>
    <mergeCell ref="B275:H275"/>
    <mergeCell ref="A143:H143"/>
    <mergeCell ref="A144:B144"/>
    <mergeCell ref="C144:D144"/>
    <mergeCell ref="E144:F144"/>
    <mergeCell ref="G144:H144"/>
    <mergeCell ref="A145:B145"/>
    <mergeCell ref="C145:D145"/>
    <mergeCell ref="E145:F145"/>
    <mergeCell ref="G145:H145"/>
    <mergeCell ref="A190:H190"/>
    <mergeCell ref="A253:H253"/>
    <mergeCell ref="A198:H198"/>
    <mergeCell ref="B270:H270"/>
    <mergeCell ref="B268:H268"/>
    <mergeCell ref="B264:H264"/>
    <mergeCell ref="B269:H269"/>
    <mergeCell ref="A202:H202"/>
    <mergeCell ref="L203:M203"/>
    <mergeCell ref="L204:M204"/>
    <mergeCell ref="L205:M205"/>
    <mergeCell ref="A206:H206"/>
    <mergeCell ref="L207:M207"/>
    <mergeCell ref="L208:M208"/>
    <mergeCell ref="L209:M209"/>
    <mergeCell ref="A210:H210"/>
    <mergeCell ref="A241:H241"/>
    <mergeCell ref="L211:M211"/>
    <mergeCell ref="L212:M212"/>
    <mergeCell ref="L213:M213"/>
    <mergeCell ref="C213:H213"/>
    <mergeCell ref="A225:H225"/>
    <mergeCell ref="L243:M243"/>
    <mergeCell ref="L244:M244"/>
    <mergeCell ref="A233:H233"/>
    <mergeCell ref="L234:M234"/>
    <mergeCell ref="L235:M235"/>
    <mergeCell ref="L236:M236"/>
    <mergeCell ref="A237:H237"/>
    <mergeCell ref="L238:M238"/>
    <mergeCell ref="L239:M239"/>
    <mergeCell ref="L240:M240"/>
    <mergeCell ref="B273:H273"/>
    <mergeCell ref="A245:H245"/>
    <mergeCell ref="L246:M246"/>
    <mergeCell ref="L247:M247"/>
    <mergeCell ref="L248:M248"/>
    <mergeCell ref="B272:H272"/>
    <mergeCell ref="L222:M222"/>
    <mergeCell ref="L223:M223"/>
    <mergeCell ref="L224:M224"/>
    <mergeCell ref="A229:H229"/>
    <mergeCell ref="L230:M230"/>
    <mergeCell ref="L231:M231"/>
    <mergeCell ref="L256:M256"/>
    <mergeCell ref="C256:H256"/>
    <mergeCell ref="A257:H257"/>
    <mergeCell ref="L258:M258"/>
    <mergeCell ref="L259:M259"/>
    <mergeCell ref="B262:H262"/>
    <mergeCell ref="B263:H263"/>
    <mergeCell ref="B265:H265"/>
    <mergeCell ref="B266:H266"/>
    <mergeCell ref="A261:H261"/>
    <mergeCell ref="L260:M260"/>
    <mergeCell ref="A249:H249"/>
    <mergeCell ref="A169:A170"/>
    <mergeCell ref="F169:F170"/>
    <mergeCell ref="A164:B164"/>
    <mergeCell ref="A146:B146"/>
    <mergeCell ref="C146:D146"/>
    <mergeCell ref="E146:F146"/>
    <mergeCell ref="L254:M254"/>
    <mergeCell ref="L255:M255"/>
    <mergeCell ref="A214:H214"/>
    <mergeCell ref="L215:M215"/>
    <mergeCell ref="L216:M216"/>
    <mergeCell ref="L217:M217"/>
    <mergeCell ref="L250:M250"/>
    <mergeCell ref="L251:M251"/>
    <mergeCell ref="L252:M252"/>
    <mergeCell ref="C228:H228"/>
    <mergeCell ref="L232:M232"/>
    <mergeCell ref="L226:M226"/>
    <mergeCell ref="L227:M227"/>
    <mergeCell ref="L228:M228"/>
    <mergeCell ref="A218:H218"/>
    <mergeCell ref="A219:H219"/>
    <mergeCell ref="A220:H220"/>
    <mergeCell ref="L242:M242"/>
    <mergeCell ref="L199:M199"/>
    <mergeCell ref="L193:M193"/>
    <mergeCell ref="A161:B161"/>
    <mergeCell ref="L161:M161"/>
    <mergeCell ref="A151:H151"/>
    <mergeCell ref="A162:B162"/>
    <mergeCell ref="L162:M162"/>
    <mergeCell ref="A156:B156"/>
    <mergeCell ref="L156:M156"/>
    <mergeCell ref="A157:B157"/>
    <mergeCell ref="L157:M157"/>
    <mergeCell ref="A158:B158"/>
    <mergeCell ref="L158:M158"/>
    <mergeCell ref="A159:B159"/>
    <mergeCell ref="L159:M159"/>
    <mergeCell ref="A160:B160"/>
    <mergeCell ref="L192:M192"/>
    <mergeCell ref="L196:M196"/>
    <mergeCell ref="L180:M180"/>
    <mergeCell ref="L181:M181"/>
    <mergeCell ref="L160:M160"/>
    <mergeCell ref="A167:B167"/>
    <mergeCell ref="A166:B166"/>
    <mergeCell ref="A168:H168"/>
    <mergeCell ref="L200:M200"/>
    <mergeCell ref="L201:M201"/>
    <mergeCell ref="A174:H174"/>
    <mergeCell ref="L175:M175"/>
    <mergeCell ref="L176:M176"/>
    <mergeCell ref="L177:M177"/>
    <mergeCell ref="A172:H172"/>
    <mergeCell ref="A173:H173"/>
    <mergeCell ref="A171:H171"/>
    <mergeCell ref="L183:M183"/>
    <mergeCell ref="L184:M184"/>
    <mergeCell ref="L185:M185"/>
    <mergeCell ref="L195:M195"/>
    <mergeCell ref="A186:H186"/>
    <mergeCell ref="L187:M187"/>
    <mergeCell ref="L188:M188"/>
    <mergeCell ref="L189:M189"/>
    <mergeCell ref="L191:M191"/>
    <mergeCell ref="A194:H194"/>
    <mergeCell ref="A182:H182"/>
    <mergeCell ref="L197:M197"/>
    <mergeCell ref="C185:H185"/>
    <mergeCell ref="A178:H178"/>
    <mergeCell ref="L179:M179"/>
    <mergeCell ref="A73:C73"/>
    <mergeCell ref="D73:H73"/>
    <mergeCell ref="A71:C71"/>
    <mergeCell ref="D72:H72"/>
    <mergeCell ref="A78:B78"/>
    <mergeCell ref="G77:H77"/>
    <mergeCell ref="F116:H116"/>
    <mergeCell ref="E134:F134"/>
    <mergeCell ref="A126:E126"/>
    <mergeCell ref="A152:H152"/>
    <mergeCell ref="A153:B153"/>
    <mergeCell ref="L153:M153"/>
    <mergeCell ref="A154:B154"/>
    <mergeCell ref="L154:M154"/>
    <mergeCell ref="A155:B155"/>
    <mergeCell ref="L155:M155"/>
    <mergeCell ref="G142:H142"/>
    <mergeCell ref="A121:E121"/>
    <mergeCell ref="A137:B137"/>
    <mergeCell ref="E137:F137"/>
    <mergeCell ref="A147:H147"/>
    <mergeCell ref="C49:H49"/>
    <mergeCell ref="B267:H267"/>
    <mergeCell ref="A107:B107"/>
    <mergeCell ref="A108:B108"/>
    <mergeCell ref="G92:H101"/>
    <mergeCell ref="A93:B93"/>
    <mergeCell ref="A94:B94"/>
    <mergeCell ref="A95:B95"/>
    <mergeCell ref="F118:H118"/>
    <mergeCell ref="A118:E118"/>
    <mergeCell ref="D149:D150"/>
    <mergeCell ref="A120:E120"/>
    <mergeCell ref="A111:B111"/>
    <mergeCell ref="A113:B113"/>
    <mergeCell ref="A114:B114"/>
    <mergeCell ref="A119:E119"/>
    <mergeCell ref="A116:E116"/>
    <mergeCell ref="F120:H120"/>
    <mergeCell ref="G105:H105"/>
    <mergeCell ref="A104:B104"/>
    <mergeCell ref="G149:G150"/>
    <mergeCell ref="A80:B80"/>
    <mergeCell ref="C60:E60"/>
    <mergeCell ref="A136:B136"/>
    <mergeCell ref="A40:B40"/>
    <mergeCell ref="C40:H40"/>
    <mergeCell ref="F149:F150"/>
    <mergeCell ref="C131:D131"/>
    <mergeCell ref="E131:F131"/>
    <mergeCell ref="B149:B150"/>
    <mergeCell ref="A149:A150"/>
    <mergeCell ref="C169:C170"/>
    <mergeCell ref="G169:G170"/>
    <mergeCell ref="G146:H146"/>
    <mergeCell ref="C55:H55"/>
    <mergeCell ref="A77:B77"/>
    <mergeCell ref="A76:B76"/>
    <mergeCell ref="A74:B74"/>
    <mergeCell ref="C74:H74"/>
    <mergeCell ref="A82:B82"/>
    <mergeCell ref="A69:C69"/>
    <mergeCell ref="D69:H69"/>
    <mergeCell ref="C76:H76"/>
    <mergeCell ref="A79:B79"/>
    <mergeCell ref="A81:B81"/>
    <mergeCell ref="E77:F77"/>
    <mergeCell ref="A70:C70"/>
    <mergeCell ref="D70:H70"/>
    <mergeCell ref="C39:H39"/>
    <mergeCell ref="A46:D46"/>
    <mergeCell ref="L167:M167"/>
    <mergeCell ref="L166:M166"/>
    <mergeCell ref="L165:M165"/>
    <mergeCell ref="L164:M164"/>
    <mergeCell ref="A85:B85"/>
    <mergeCell ref="C135:D135"/>
    <mergeCell ref="E135:F135"/>
    <mergeCell ref="G135:H135"/>
    <mergeCell ref="A117:E117"/>
    <mergeCell ref="A102:B102"/>
    <mergeCell ref="C102:H102"/>
    <mergeCell ref="A163:H163"/>
    <mergeCell ref="E149:E150"/>
    <mergeCell ref="A92:B92"/>
    <mergeCell ref="A47:D47"/>
    <mergeCell ref="A48:H48"/>
    <mergeCell ref="D65:H65"/>
    <mergeCell ref="A65:C65"/>
    <mergeCell ref="A84:B84"/>
    <mergeCell ref="C90:H90"/>
    <mergeCell ref="A45:D45"/>
    <mergeCell ref="A49:B49"/>
    <mergeCell ref="A38:H38"/>
    <mergeCell ref="A37:B37"/>
    <mergeCell ref="C37:E37"/>
    <mergeCell ref="G106:H115"/>
    <mergeCell ref="A42:D42"/>
    <mergeCell ref="E42:H42"/>
    <mergeCell ref="A41:H41"/>
    <mergeCell ref="A67:C67"/>
    <mergeCell ref="A68:C68"/>
    <mergeCell ref="D67:H67"/>
    <mergeCell ref="E78:F87"/>
    <mergeCell ref="G78:H87"/>
    <mergeCell ref="A86:B86"/>
    <mergeCell ref="A87:B87"/>
    <mergeCell ref="D68:H68"/>
    <mergeCell ref="A44:D44"/>
    <mergeCell ref="E44:H44"/>
    <mergeCell ref="E45:H45"/>
    <mergeCell ref="E46:H46"/>
    <mergeCell ref="A91:B91"/>
    <mergeCell ref="E47:H47"/>
    <mergeCell ref="C57:H57"/>
    <mergeCell ref="A90:B90"/>
    <mergeCell ref="A39:B39"/>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87:H290"/>
    <mergeCell ref="A286:B286"/>
    <mergeCell ref="E286:F286"/>
    <mergeCell ref="C286:D286"/>
    <mergeCell ref="G286:H286"/>
    <mergeCell ref="A129:H129"/>
    <mergeCell ref="A127:E127"/>
    <mergeCell ref="F127:H127"/>
    <mergeCell ref="A128:E128"/>
    <mergeCell ref="F128:H128"/>
    <mergeCell ref="A135:B135"/>
    <mergeCell ref="A131:B131"/>
    <mergeCell ref="A282:H282"/>
    <mergeCell ref="A133:H133"/>
    <mergeCell ref="A285:H285"/>
    <mergeCell ref="A283:H283"/>
    <mergeCell ref="C136:D136"/>
    <mergeCell ref="E136:F136"/>
    <mergeCell ref="A279:H279"/>
    <mergeCell ref="G134:H134"/>
    <mergeCell ref="C149:C150"/>
    <mergeCell ref="B169:B170"/>
    <mergeCell ref="A280:H280"/>
    <mergeCell ref="B271:H271"/>
    <mergeCell ref="G136:H136"/>
    <mergeCell ref="A141:B141"/>
    <mergeCell ref="C141:D141"/>
    <mergeCell ref="E141:F141"/>
    <mergeCell ref="G141:H141"/>
    <mergeCell ref="A142:B142"/>
    <mergeCell ref="C142:D142"/>
    <mergeCell ref="E142:F142"/>
    <mergeCell ref="F119:H119"/>
    <mergeCell ref="A123:E123"/>
    <mergeCell ref="G137:H137"/>
    <mergeCell ref="A132:B132"/>
    <mergeCell ref="C132:D132"/>
    <mergeCell ref="E132:F132"/>
    <mergeCell ref="G132:H132"/>
    <mergeCell ref="A138:H138"/>
    <mergeCell ref="A139:B139"/>
    <mergeCell ref="C139:D139"/>
    <mergeCell ref="E139:F139"/>
    <mergeCell ref="G139:H139"/>
    <mergeCell ref="A140:B140"/>
    <mergeCell ref="C140:D140"/>
    <mergeCell ref="E140:F140"/>
    <mergeCell ref="G140:H140"/>
    <mergeCell ref="A109:B109"/>
    <mergeCell ref="A110:B110"/>
    <mergeCell ref="E92:F101"/>
    <mergeCell ref="A99:B99"/>
    <mergeCell ref="A100:B100"/>
    <mergeCell ref="E105:F105"/>
    <mergeCell ref="E106:F115"/>
    <mergeCell ref="A105:B105"/>
    <mergeCell ref="F121:H121"/>
    <mergeCell ref="A101:B101"/>
    <mergeCell ref="A106:B106"/>
    <mergeCell ref="C104:H104"/>
    <mergeCell ref="A66:C66"/>
    <mergeCell ref="D66:H66"/>
    <mergeCell ref="C51:E51"/>
    <mergeCell ref="A284:H284"/>
    <mergeCell ref="A281:H281"/>
    <mergeCell ref="A134:B134"/>
    <mergeCell ref="D169:D170"/>
    <mergeCell ref="E169:E170"/>
    <mergeCell ref="A96:B96"/>
    <mergeCell ref="A97:B97"/>
    <mergeCell ref="A98:B98"/>
    <mergeCell ref="A112:B112"/>
    <mergeCell ref="F117:H117"/>
    <mergeCell ref="G131:H131"/>
    <mergeCell ref="A115:B115"/>
    <mergeCell ref="F123:H123"/>
    <mergeCell ref="C130:D130"/>
    <mergeCell ref="C137:D137"/>
    <mergeCell ref="A221:H221"/>
    <mergeCell ref="E91:F91"/>
    <mergeCell ref="G91:H91"/>
    <mergeCell ref="A122:E122"/>
    <mergeCell ref="F122:H122"/>
    <mergeCell ref="A124:E124"/>
    <mergeCell ref="A63:C63"/>
    <mergeCell ref="A64:C64"/>
    <mergeCell ref="D64:H64"/>
    <mergeCell ref="G61:H61"/>
    <mergeCell ref="A54:B55"/>
    <mergeCell ref="C54:E54"/>
    <mergeCell ref="G54:H54"/>
    <mergeCell ref="A56:B57"/>
    <mergeCell ref="C56:E56"/>
    <mergeCell ref="G56:H56"/>
    <mergeCell ref="A58:B59"/>
    <mergeCell ref="C58:E58"/>
    <mergeCell ref="G58:H58"/>
    <mergeCell ref="C59:E59"/>
    <mergeCell ref="G60:H60"/>
    <mergeCell ref="A60:B60"/>
    <mergeCell ref="G59:H59"/>
    <mergeCell ref="C52:E52"/>
    <mergeCell ref="C50:E50"/>
    <mergeCell ref="C53:E53"/>
    <mergeCell ref="G53:H53"/>
    <mergeCell ref="G50:H50"/>
    <mergeCell ref="G52:H52"/>
    <mergeCell ref="A51:B51"/>
    <mergeCell ref="A62:H62"/>
    <mergeCell ref="G51:H51"/>
    <mergeCell ref="A52:B53"/>
    <mergeCell ref="B277:H277"/>
    <mergeCell ref="B278:H278"/>
    <mergeCell ref="I15:P15"/>
    <mergeCell ref="F126:H126"/>
    <mergeCell ref="F124:H124"/>
    <mergeCell ref="A148:H148"/>
    <mergeCell ref="G130:H130"/>
    <mergeCell ref="A125:E125"/>
    <mergeCell ref="A165:B165"/>
    <mergeCell ref="A61:B61"/>
    <mergeCell ref="C61:E61"/>
    <mergeCell ref="D63:H63"/>
    <mergeCell ref="F125:H125"/>
    <mergeCell ref="E130:F130"/>
    <mergeCell ref="A130:B130"/>
    <mergeCell ref="C134:D134"/>
    <mergeCell ref="D71:H71"/>
    <mergeCell ref="A72:C72"/>
    <mergeCell ref="E43:H43"/>
    <mergeCell ref="A43:D43"/>
    <mergeCell ref="A88:B88"/>
    <mergeCell ref="C88:H88"/>
    <mergeCell ref="A83:B83"/>
    <mergeCell ref="A50:B50"/>
  </mergeCells>
  <dataValidations count="17">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49:E150" xr:uid="{00000000-0002-0000-0000-000003000000}">
      <formula1>"Attached Loft area,Attached Otla area,Attached Mezzanine area"</formula1>
    </dataValidation>
    <dataValidation type="list" allowBlank="1" showInputMessage="1" showErrorMessage="1" sqref="G286:H286" xr:uid="{00000000-0002-0000-0000-000004000000}">
      <formula1>"Kunal Kadam,Pranita Mhatre,Shruti Fule,Pooja Kawale,Neha Dhokale,Shruti Tathare, Hitakshi Mhatre, Sachin Sawant"</formula1>
    </dataValidation>
    <dataValidation type="list" allowBlank="1" showInputMessage="1" showErrorMessage="1" sqref="F116:H116" xr:uid="{00000000-0002-0000-0000-000005000000}">
      <formula1>"On Saleable Area,On Builtup Area,On Carpet Area,On Plot Area"</formula1>
    </dataValidation>
    <dataValidation type="list" allowBlank="1" showInputMessage="1" showErrorMessage="1" sqref="F127:H127" xr:uid="{00000000-0002-0000-0000-000006000000}">
      <formula1>OFFSET($S$116,1,MATCH($G20,$S$116:$W$116,0)-1,15,1)</formula1>
    </dataValidation>
    <dataValidation type="list" allowBlank="1" showInputMessage="1" showErrorMessage="1" sqref="B149:B150" xr:uid="{00000000-0002-0000-0000-000007000000}">
      <formula1>"Shop No. (Sale Plan),Sale / Rehab,Sale / Mhada"</formula1>
    </dataValidation>
    <dataValidation type="list" allowBlank="1" showInputMessage="1" showErrorMessage="1" sqref="B169:B170"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69:E170" xr:uid="{00000000-0002-0000-0000-00000B000000}">
      <formula1>"Fungible area,Balcony Area,Chajja Area,Cornice Area,AP Area,WS Area"</formula1>
    </dataValidation>
    <dataValidation type="list" allowBlank="1" showInputMessage="1" showErrorMessage="1" sqref="H150 H170"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list" allowBlank="1" showInputMessage="1" showErrorMessage="1" sqref="H149 H169" xr:uid="{00000000-0002-0000-0000-00000F000000}">
      <formula1>"Saleable area Loading :,Builder Saleable Area"</formula1>
    </dataValidation>
    <dataValidation type="list" allowBlank="1" showInputMessage="1" showErrorMessage="1" sqref="D149:D150 D169:D170" xr:uid="{00000000-0002-0000-0000-000010000000}">
      <formula1>"Carpet area,RERA Carpet area"</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282" max="16383" man="1"/>
    <brk id="290" max="16383" man="1"/>
    <brk id="332" max="16383" man="1"/>
    <brk id="37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topLeftCell="A10" zoomScale="85" zoomScaleNormal="85" workbookViewId="0">
      <selection activeCell="G17" sqref="G17"/>
    </sheetView>
  </sheetViews>
  <sheetFormatPr defaultColWidth="8.77734375" defaultRowHeight="14.4" x14ac:dyDescent="0.3"/>
  <cols>
    <col min="1" max="1" width="8.77734375" style="1"/>
    <col min="2" max="2" width="22.21875" style="1" customWidth="1"/>
    <col min="3" max="3" width="37" style="1" customWidth="1"/>
    <col min="4" max="5" width="11.44140625" style="1" customWidth="1"/>
    <col min="6" max="6" width="14" style="1" customWidth="1"/>
    <col min="7" max="7" width="20" style="1" customWidth="1"/>
    <col min="8" max="8" width="16.44140625" style="1" customWidth="1"/>
    <col min="9" max="16384" width="8.77734375" style="1"/>
  </cols>
  <sheetData>
    <row r="1" spans="1:9" ht="15" customHeight="1" x14ac:dyDescent="0.3"/>
    <row r="2" spans="1:9" ht="15" customHeight="1" x14ac:dyDescent="0.3">
      <c r="A2" s="2"/>
      <c r="B2" s="2"/>
      <c r="C2" s="2"/>
      <c r="D2" s="2"/>
      <c r="E2" s="2"/>
      <c r="F2" s="2"/>
      <c r="G2" s="2"/>
      <c r="H2" s="2"/>
    </row>
    <row r="3" spans="1:9" ht="15.75" customHeight="1" x14ac:dyDescent="0.3">
      <c r="A3" s="2"/>
      <c r="B3" s="260" t="s">
        <v>104</v>
      </c>
      <c r="C3" s="260"/>
      <c r="D3" s="260"/>
      <c r="E3" s="260"/>
      <c r="F3" s="260"/>
      <c r="G3" s="260"/>
      <c r="H3" s="260"/>
    </row>
    <row r="4" spans="1:9" x14ac:dyDescent="0.3">
      <c r="A4" s="2"/>
      <c r="B4" s="3" t="s">
        <v>105</v>
      </c>
      <c r="C4" s="3" t="s">
        <v>106</v>
      </c>
      <c r="D4" s="3" t="s">
        <v>66</v>
      </c>
      <c r="E4" s="3" t="s">
        <v>107</v>
      </c>
      <c r="F4" s="3" t="s">
        <v>113</v>
      </c>
      <c r="G4" s="3" t="s">
        <v>114</v>
      </c>
      <c r="H4" s="3" t="s">
        <v>108</v>
      </c>
    </row>
    <row r="5" spans="1:9" ht="15" customHeight="1" x14ac:dyDescent="0.3">
      <c r="A5" s="2"/>
      <c r="B5" s="5" t="s">
        <v>109</v>
      </c>
      <c r="C5" s="6"/>
      <c r="D5" s="5"/>
      <c r="E5" s="5"/>
      <c r="F5" s="7">
        <f>E5*1.6</f>
        <v>0</v>
      </c>
      <c r="G5" s="7" t="e">
        <f>H5/F5</f>
        <v>#DIV/0!</v>
      </c>
      <c r="H5" s="8"/>
    </row>
    <row r="6" spans="1:9" x14ac:dyDescent="0.3">
      <c r="A6" s="2"/>
      <c r="B6" s="5" t="s">
        <v>109</v>
      </c>
      <c r="C6" s="9"/>
      <c r="D6" s="5"/>
      <c r="E6" s="5"/>
      <c r="F6" s="7">
        <f t="shared" ref="F6:F11" si="0">E6*1.6</f>
        <v>0</v>
      </c>
      <c r="G6" s="7" t="e">
        <f t="shared" ref="G6:G11" si="1">H6/F6</f>
        <v>#DIV/0!</v>
      </c>
      <c r="H6" s="8"/>
    </row>
    <row r="7" spans="1:9" ht="15" customHeight="1" x14ac:dyDescent="0.3">
      <c r="A7" s="2"/>
      <c r="B7" s="5" t="s">
        <v>109</v>
      </c>
      <c r="C7" s="6"/>
      <c r="D7" s="5"/>
      <c r="E7" s="5"/>
      <c r="F7" s="7">
        <f t="shared" si="0"/>
        <v>0</v>
      </c>
      <c r="G7" s="7" t="e">
        <f t="shared" si="1"/>
        <v>#DIV/0!</v>
      </c>
      <c r="H7" s="8"/>
    </row>
    <row r="8" spans="1:9" x14ac:dyDescent="0.3">
      <c r="A8" s="2"/>
      <c r="B8" s="5" t="s">
        <v>109</v>
      </c>
      <c r="C8" s="9"/>
      <c r="D8" s="5"/>
      <c r="E8" s="5"/>
      <c r="F8" s="7">
        <f t="shared" si="0"/>
        <v>0</v>
      </c>
      <c r="G8" s="7" t="e">
        <f t="shared" si="1"/>
        <v>#DIV/0!</v>
      </c>
      <c r="H8" s="8"/>
    </row>
    <row r="9" spans="1:9" ht="15" customHeight="1" x14ac:dyDescent="0.3">
      <c r="A9" s="2"/>
      <c r="B9" s="5" t="s">
        <v>109</v>
      </c>
      <c r="C9" s="9"/>
      <c r="D9" s="5"/>
      <c r="E9" s="5"/>
      <c r="F9" s="7">
        <f t="shared" si="0"/>
        <v>0</v>
      </c>
      <c r="G9" s="7" t="e">
        <f t="shared" si="1"/>
        <v>#DIV/0!</v>
      </c>
      <c r="H9" s="8"/>
    </row>
    <row r="10" spans="1:9" ht="15" customHeight="1" x14ac:dyDescent="0.3">
      <c r="A10" s="2"/>
      <c r="B10" s="5" t="s">
        <v>110</v>
      </c>
      <c r="C10" s="6"/>
      <c r="D10" s="5"/>
      <c r="E10" s="5"/>
      <c r="F10" s="7">
        <f t="shared" si="0"/>
        <v>0</v>
      </c>
      <c r="G10" s="7" t="e">
        <f t="shared" si="1"/>
        <v>#DIV/0!</v>
      </c>
      <c r="H10" s="8"/>
    </row>
    <row r="11" spans="1:9" ht="15" customHeight="1" x14ac:dyDescent="0.3">
      <c r="A11" s="2"/>
      <c r="B11" s="5" t="s">
        <v>110</v>
      </c>
      <c r="C11" s="6"/>
      <c r="D11" s="5"/>
      <c r="E11" s="5"/>
      <c r="F11" s="7">
        <f t="shared" si="0"/>
        <v>0</v>
      </c>
      <c r="G11" s="7" t="e">
        <f t="shared" si="1"/>
        <v>#DIV/0!</v>
      </c>
      <c r="H11" s="8"/>
    </row>
    <row r="12" spans="1:9" ht="15" customHeight="1" x14ac:dyDescent="0.3">
      <c r="A12" s="2"/>
      <c r="B12" s="10" t="s">
        <v>111</v>
      </c>
      <c r="C12" s="5"/>
      <c r="D12" s="5"/>
      <c r="E12" s="5"/>
      <c r="F12" s="5"/>
      <c r="G12" s="11" t="e">
        <f>AVERAGE(G5:G11)</f>
        <v>#DIV/0!</v>
      </c>
      <c r="H12" s="5"/>
    </row>
    <row r="13" spans="1:9" ht="15" customHeight="1" x14ac:dyDescent="0.3">
      <c r="B13" s="10" t="s">
        <v>112</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77734375" bestFit="1" customWidth="1"/>
    <col min="5" max="5" width="10.44140625" bestFit="1" customWidth="1"/>
    <col min="6" max="6" width="12.44140625" bestFit="1" customWidth="1"/>
    <col min="7" max="7" width="18.21875" customWidth="1"/>
    <col min="8" max="8" width="10.5546875" bestFit="1" customWidth="1"/>
  </cols>
  <sheetData>
    <row r="3" spans="2:11" x14ac:dyDescent="0.3">
      <c r="J3">
        <v>1</v>
      </c>
      <c r="K3">
        <v>2</v>
      </c>
    </row>
    <row r="4" spans="2:11" x14ac:dyDescent="0.3">
      <c r="B4" s="53"/>
      <c r="C4" s="53" t="s">
        <v>11</v>
      </c>
      <c r="D4" s="54" t="s">
        <v>176</v>
      </c>
      <c r="E4" s="54" t="s">
        <v>186</v>
      </c>
      <c r="F4" s="54" t="s">
        <v>169</v>
      </c>
      <c r="G4" s="54" t="s">
        <v>191</v>
      </c>
      <c r="H4" s="54" t="s">
        <v>209</v>
      </c>
      <c r="J4" t="s">
        <v>191</v>
      </c>
      <c r="K4" t="s">
        <v>207</v>
      </c>
    </row>
    <row r="5" spans="2:11" x14ac:dyDescent="0.3">
      <c r="B5" s="53"/>
      <c r="C5" s="53"/>
      <c r="D5" s="54" t="s">
        <v>177</v>
      </c>
      <c r="E5" s="54" t="s">
        <v>184</v>
      </c>
      <c r="F5" s="54" t="s">
        <v>206</v>
      </c>
      <c r="G5" s="54" t="s">
        <v>192</v>
      </c>
      <c r="H5" s="54" t="s">
        <v>210</v>
      </c>
    </row>
    <row r="6" spans="2:11" x14ac:dyDescent="0.3">
      <c r="B6" s="53"/>
      <c r="C6" s="53"/>
      <c r="D6" s="54" t="s">
        <v>178</v>
      </c>
      <c r="E6" s="54" t="s">
        <v>185</v>
      </c>
      <c r="F6" s="54" t="s">
        <v>207</v>
      </c>
      <c r="G6" s="54" t="s">
        <v>193</v>
      </c>
      <c r="H6" s="54" t="s">
        <v>223</v>
      </c>
    </row>
    <row r="7" spans="2:11" x14ac:dyDescent="0.3">
      <c r="B7" s="53"/>
      <c r="C7" s="53"/>
      <c r="D7" s="54" t="s">
        <v>179</v>
      </c>
      <c r="E7" s="54" t="s">
        <v>187</v>
      </c>
      <c r="F7" s="54" t="s">
        <v>208</v>
      </c>
      <c r="G7" s="54" t="s">
        <v>194</v>
      </c>
      <c r="H7" s="54" t="s">
        <v>211</v>
      </c>
    </row>
    <row r="8" spans="2:11" x14ac:dyDescent="0.3">
      <c r="B8" s="53"/>
      <c r="C8" s="53"/>
      <c r="D8" s="54" t="s">
        <v>180</v>
      </c>
      <c r="E8" s="54" t="s">
        <v>188</v>
      </c>
      <c r="F8" s="54"/>
      <c r="G8" s="54" t="s">
        <v>195</v>
      </c>
      <c r="H8" s="54" t="s">
        <v>212</v>
      </c>
    </row>
    <row r="9" spans="2:11" x14ac:dyDescent="0.3">
      <c r="B9" s="53"/>
      <c r="C9" s="53"/>
      <c r="D9" s="54" t="s">
        <v>181</v>
      </c>
      <c r="E9" s="54" t="s">
        <v>186</v>
      </c>
      <c r="F9" s="54"/>
      <c r="G9" s="54" t="s">
        <v>196</v>
      </c>
      <c r="H9" s="54" t="s">
        <v>213</v>
      </c>
    </row>
    <row r="10" spans="2:11" x14ac:dyDescent="0.3">
      <c r="B10" s="53"/>
      <c r="C10" s="53"/>
      <c r="D10" s="54" t="s">
        <v>182</v>
      </c>
      <c r="E10" s="54" t="s">
        <v>189</v>
      </c>
      <c r="F10" s="54"/>
      <c r="G10" s="54" t="s">
        <v>197</v>
      </c>
      <c r="H10" s="54" t="s">
        <v>214</v>
      </c>
    </row>
    <row r="11" spans="2:11" x14ac:dyDescent="0.3">
      <c r="B11" s="53"/>
      <c r="C11" s="53"/>
      <c r="D11" s="54" t="s">
        <v>183</v>
      </c>
      <c r="E11" s="54" t="s">
        <v>190</v>
      </c>
      <c r="F11" s="54"/>
      <c r="G11" s="54" t="s">
        <v>198</v>
      </c>
      <c r="H11" s="54" t="s">
        <v>215</v>
      </c>
    </row>
    <row r="12" spans="2:11" x14ac:dyDescent="0.3">
      <c r="B12" s="53"/>
      <c r="C12" s="53"/>
      <c r="D12" s="54"/>
      <c r="E12" s="54"/>
      <c r="F12" s="54"/>
      <c r="G12" s="54" t="s">
        <v>199</v>
      </c>
      <c r="H12" s="54" t="s">
        <v>216</v>
      </c>
    </row>
    <row r="13" spans="2:11" x14ac:dyDescent="0.3">
      <c r="B13" s="53"/>
      <c r="C13" s="53"/>
      <c r="D13" s="54"/>
      <c r="E13" s="54"/>
      <c r="F13" s="54"/>
      <c r="G13" s="54" t="s">
        <v>200</v>
      </c>
      <c r="H13" s="54" t="s">
        <v>217</v>
      </c>
    </row>
    <row r="14" spans="2:11" x14ac:dyDescent="0.3">
      <c r="B14" s="53"/>
      <c r="C14" s="53"/>
      <c r="D14" s="54"/>
      <c r="E14" s="54"/>
      <c r="F14" s="54"/>
      <c r="G14" s="54" t="s">
        <v>201</v>
      </c>
      <c r="H14" s="54" t="s">
        <v>218</v>
      </c>
    </row>
    <row r="15" spans="2:11" x14ac:dyDescent="0.3">
      <c r="B15" s="53"/>
      <c r="C15" s="53"/>
      <c r="D15" s="54"/>
      <c r="E15" s="54"/>
      <c r="F15" s="54"/>
      <c r="G15" s="54" t="s">
        <v>202</v>
      </c>
      <c r="H15" s="54" t="s">
        <v>219</v>
      </c>
    </row>
    <row r="16" spans="2:11" x14ac:dyDescent="0.3">
      <c r="B16" s="53"/>
      <c r="C16" s="53"/>
      <c r="D16" s="54"/>
      <c r="E16" s="54"/>
      <c r="F16" s="54"/>
      <c r="G16" s="54" t="s">
        <v>203</v>
      </c>
      <c r="H16" s="54" t="s">
        <v>220</v>
      </c>
    </row>
    <row r="17" spans="2:8" x14ac:dyDescent="0.3">
      <c r="B17" s="53"/>
      <c r="C17" s="53"/>
      <c r="D17" s="54"/>
      <c r="E17" s="54"/>
      <c r="F17" s="54"/>
      <c r="G17" s="54" t="s">
        <v>204</v>
      </c>
      <c r="H17" s="54" t="s">
        <v>221</v>
      </c>
    </row>
    <row r="18" spans="2:8" x14ac:dyDescent="0.3">
      <c r="B18" s="53"/>
      <c r="C18" s="53"/>
      <c r="D18" s="54"/>
      <c r="E18" s="54"/>
      <c r="F18" s="54"/>
      <c r="G18" s="54" t="s">
        <v>205</v>
      </c>
      <c r="H18" s="54" t="s">
        <v>222</v>
      </c>
    </row>
    <row r="24" spans="2:8" x14ac:dyDescent="0.3">
      <c r="C24" t="s">
        <v>166</v>
      </c>
    </row>
    <row r="25" spans="2:8" x14ac:dyDescent="0.3">
      <c r="C25" t="s">
        <v>224</v>
      </c>
    </row>
    <row r="26" spans="2:8" x14ac:dyDescent="0.3">
      <c r="C26" t="s">
        <v>225</v>
      </c>
    </row>
    <row r="27" spans="2:8" x14ac:dyDescent="0.3">
      <c r="C27" t="s">
        <v>226</v>
      </c>
    </row>
    <row r="28" spans="2:8" x14ac:dyDescent="0.3">
      <c r="C28" t="s">
        <v>227</v>
      </c>
    </row>
    <row r="29" spans="2:8" x14ac:dyDescent="0.3">
      <c r="C29" t="s">
        <v>228</v>
      </c>
    </row>
    <row r="30" spans="2:8" x14ac:dyDescent="0.3">
      <c r="C30" t="s">
        <v>166</v>
      </c>
    </row>
    <row r="33" spans="3:11" x14ac:dyDescent="0.3">
      <c r="J33">
        <v>1</v>
      </c>
      <c r="K33">
        <v>2</v>
      </c>
    </row>
    <row r="34" spans="3:11" x14ac:dyDescent="0.3">
      <c r="C34" s="55" t="s">
        <v>235</v>
      </c>
      <c r="D34" s="54" t="s">
        <v>233</v>
      </c>
      <c r="E34" s="54" t="s">
        <v>238</v>
      </c>
      <c r="F34" s="54" t="s">
        <v>236</v>
      </c>
      <c r="G34" s="54" t="s">
        <v>237</v>
      </c>
      <c r="H34" s="54" t="s">
        <v>239</v>
      </c>
      <c r="J34" t="s">
        <v>191</v>
      </c>
      <c r="K34" t="s">
        <v>207</v>
      </c>
    </row>
    <row r="35" spans="3:11" x14ac:dyDescent="0.3">
      <c r="C35" s="53" t="s">
        <v>234</v>
      </c>
      <c r="D35" s="54" t="s">
        <v>167</v>
      </c>
      <c r="E35" s="54" t="s">
        <v>243</v>
      </c>
      <c r="F35" s="54" t="s">
        <v>245</v>
      </c>
      <c r="G35" s="54" t="s">
        <v>247</v>
      </c>
      <c r="H35" s="54"/>
    </row>
    <row r="36" spans="3:11" x14ac:dyDescent="0.3">
      <c r="C36" s="53"/>
      <c r="D36" s="54" t="s">
        <v>240</v>
      </c>
      <c r="E36" s="54" t="s">
        <v>244</v>
      </c>
      <c r="F36" s="54" t="s">
        <v>246</v>
      </c>
      <c r="G36" s="54" t="s">
        <v>248</v>
      </c>
      <c r="H36" s="54"/>
    </row>
    <row r="37" spans="3:11" x14ac:dyDescent="0.3">
      <c r="C37" s="53"/>
      <c r="D37" s="54" t="s">
        <v>241</v>
      </c>
      <c r="E37" s="54"/>
      <c r="F37" s="54"/>
      <c r="G37" s="54" t="s">
        <v>249</v>
      </c>
      <c r="H37" s="54"/>
    </row>
    <row r="38" spans="3:11" x14ac:dyDescent="0.3">
      <c r="C38" s="53"/>
      <c r="D38" s="54" t="s">
        <v>242</v>
      </c>
      <c r="E38" s="54"/>
      <c r="F38" s="54"/>
      <c r="G38" s="54" t="s">
        <v>249</v>
      </c>
      <c r="H38" s="54"/>
    </row>
    <row r="39" spans="3:11" x14ac:dyDescent="0.3">
      <c r="C39" s="53"/>
      <c r="D39" s="54"/>
      <c r="E39" s="54"/>
      <c r="F39" s="54"/>
      <c r="G39" s="54" t="s">
        <v>250</v>
      </c>
      <c r="H39" s="54"/>
    </row>
    <row r="40" spans="3:11" x14ac:dyDescent="0.3">
      <c r="C40" s="53"/>
      <c r="D40" s="54"/>
      <c r="E40" s="54"/>
      <c r="F40" s="54"/>
      <c r="G40" s="54" t="s">
        <v>251</v>
      </c>
      <c r="H40" s="54"/>
    </row>
    <row r="41" spans="3:11" x14ac:dyDescent="0.3">
      <c r="C41" s="53"/>
      <c r="D41" s="54"/>
      <c r="E41" s="54"/>
      <c r="F41" s="54"/>
      <c r="G41" s="54"/>
      <c r="H41" s="54"/>
    </row>
    <row r="43" spans="3:11" x14ac:dyDescent="0.3">
      <c r="C43" t="s">
        <v>252</v>
      </c>
    </row>
    <row r="44" spans="3:11" x14ac:dyDescent="0.3">
      <c r="C44" t="s">
        <v>169</v>
      </c>
      <c r="D44" t="s">
        <v>253</v>
      </c>
    </row>
    <row r="45" spans="3:11" x14ac:dyDescent="0.3">
      <c r="D45" t="s">
        <v>254</v>
      </c>
    </row>
    <row r="46" spans="3:11" x14ac:dyDescent="0.3">
      <c r="D46" t="s">
        <v>255</v>
      </c>
    </row>
    <row r="47" spans="3:11" x14ac:dyDescent="0.3">
      <c r="D47" t="s">
        <v>256</v>
      </c>
    </row>
    <row r="48" spans="3:11" x14ac:dyDescent="0.3">
      <c r="D48" t="s">
        <v>257</v>
      </c>
    </row>
    <row r="49" spans="3:4" x14ac:dyDescent="0.3">
      <c r="C49" t="s">
        <v>176</v>
      </c>
      <c r="D49" t="s">
        <v>258</v>
      </c>
    </row>
    <row r="50" spans="3:4" x14ac:dyDescent="0.3">
      <c r="D50" t="s">
        <v>259</v>
      </c>
    </row>
    <row r="51" spans="3:4" x14ac:dyDescent="0.3">
      <c r="D51" t="s">
        <v>260</v>
      </c>
    </row>
    <row r="52" spans="3:4" x14ac:dyDescent="0.3">
      <c r="D52" t="s">
        <v>263</v>
      </c>
    </row>
    <row r="53" spans="3:4" x14ac:dyDescent="0.3">
      <c r="D53" t="s">
        <v>261</v>
      </c>
    </row>
    <row r="54" spans="3:4" x14ac:dyDescent="0.3">
      <c r="D54" t="s">
        <v>262</v>
      </c>
    </row>
    <row r="55" spans="3:4" x14ac:dyDescent="0.3">
      <c r="D55" t="s">
        <v>264</v>
      </c>
    </row>
    <row r="56" spans="3:4" x14ac:dyDescent="0.3">
      <c r="D56" t="s">
        <v>265</v>
      </c>
    </row>
    <row r="57" spans="3:4" x14ac:dyDescent="0.3">
      <c r="D57" t="s">
        <v>266</v>
      </c>
    </row>
    <row r="58" spans="3:4" x14ac:dyDescent="0.3">
      <c r="D58" t="s">
        <v>268</v>
      </c>
    </row>
    <row r="59" spans="3:4" x14ac:dyDescent="0.3">
      <c r="D59" t="s">
        <v>277</v>
      </c>
    </row>
    <row r="60" spans="3:4" x14ac:dyDescent="0.3">
      <c r="C60" t="s">
        <v>191</v>
      </c>
      <c r="D60" t="s">
        <v>269</v>
      </c>
    </row>
    <row r="61" spans="3:4" x14ac:dyDescent="0.3">
      <c r="D61" t="s">
        <v>267</v>
      </c>
    </row>
    <row r="62" spans="3:4" x14ac:dyDescent="0.3">
      <c r="D62" t="s">
        <v>257</v>
      </c>
    </row>
    <row r="63" spans="3:4" x14ac:dyDescent="0.3">
      <c r="D63" t="s">
        <v>270</v>
      </c>
    </row>
    <row r="64" spans="3:4" x14ac:dyDescent="0.3">
      <c r="D64" t="s">
        <v>271</v>
      </c>
    </row>
    <row r="65" spans="3:4" x14ac:dyDescent="0.3">
      <c r="D65" t="s">
        <v>272</v>
      </c>
    </row>
    <row r="66" spans="3:4" x14ac:dyDescent="0.3">
      <c r="D66" t="s">
        <v>273</v>
      </c>
    </row>
    <row r="67" spans="3:4" x14ac:dyDescent="0.3">
      <c r="C67" t="s">
        <v>186</v>
      </c>
      <c r="D67" t="s">
        <v>274</v>
      </c>
    </row>
    <row r="68" spans="3:4" x14ac:dyDescent="0.3">
      <c r="D68" t="s">
        <v>275</v>
      </c>
    </row>
    <row r="69" spans="3:4" x14ac:dyDescent="0.3">
      <c r="D69" t="s">
        <v>276</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6"/>
  <sheetViews>
    <sheetView topLeftCell="A19" workbookViewId="0">
      <selection activeCell="E24" sqref="E24"/>
    </sheetView>
  </sheetViews>
  <sheetFormatPr defaultRowHeight="14.4" x14ac:dyDescent="0.3"/>
  <cols>
    <col min="2" max="2" width="3" bestFit="1" customWidth="1"/>
    <col min="3" max="3" width="130" customWidth="1"/>
  </cols>
  <sheetData>
    <row r="2" spans="2:3" ht="15" customHeight="1" x14ac:dyDescent="0.3">
      <c r="B2" s="56">
        <v>1</v>
      </c>
      <c r="C2" s="58" t="s">
        <v>283</v>
      </c>
    </row>
    <row r="3" spans="2:3" x14ac:dyDescent="0.3">
      <c r="B3" s="56">
        <v>2</v>
      </c>
      <c r="C3" s="57" t="s">
        <v>284</v>
      </c>
    </row>
    <row r="4" spans="2:3" x14ac:dyDescent="0.3">
      <c r="B4" s="56">
        <v>3</v>
      </c>
      <c r="C4" s="56" t="s">
        <v>285</v>
      </c>
    </row>
    <row r="5" spans="2:3" x14ac:dyDescent="0.3">
      <c r="B5" s="56">
        <v>4</v>
      </c>
      <c r="C5" s="57" t="s">
        <v>286</v>
      </c>
    </row>
    <row r="6" spans="2:3" x14ac:dyDescent="0.3">
      <c r="B6" s="56">
        <v>5</v>
      </c>
      <c r="C6" s="56" t="s">
        <v>287</v>
      </c>
    </row>
    <row r="7" spans="2:3" ht="28.8" x14ac:dyDescent="0.3">
      <c r="B7" s="56">
        <v>6</v>
      </c>
      <c r="C7" s="57" t="s">
        <v>288</v>
      </c>
    </row>
    <row r="8" spans="2:3" ht="72" x14ac:dyDescent="0.3">
      <c r="B8" s="56">
        <v>7</v>
      </c>
      <c r="C8" s="57" t="s">
        <v>289</v>
      </c>
    </row>
    <row r="9" spans="2:3" x14ac:dyDescent="0.3">
      <c r="B9" s="56">
        <v>8</v>
      </c>
      <c r="C9" s="56" t="s">
        <v>290</v>
      </c>
    </row>
    <row r="10" spans="2:3" x14ac:dyDescent="0.3">
      <c r="B10" s="56">
        <v>9</v>
      </c>
      <c r="C10" s="56" t="s">
        <v>291</v>
      </c>
    </row>
    <row r="11" spans="2:3" x14ac:dyDescent="0.3">
      <c r="B11" s="56">
        <v>10</v>
      </c>
      <c r="C11" s="56" t="s">
        <v>292</v>
      </c>
    </row>
    <row r="12" spans="2:3" x14ac:dyDescent="0.3">
      <c r="B12" s="56">
        <v>11</v>
      </c>
      <c r="C12" s="56" t="s">
        <v>293</v>
      </c>
    </row>
    <row r="13" spans="2:3" x14ac:dyDescent="0.3">
      <c r="B13" s="56">
        <v>12</v>
      </c>
      <c r="C13" s="56" t="s">
        <v>294</v>
      </c>
    </row>
    <row r="14" spans="2:3" x14ac:dyDescent="0.3">
      <c r="B14" s="56">
        <v>13</v>
      </c>
      <c r="C14" s="56" t="s">
        <v>295</v>
      </c>
    </row>
    <row r="15" spans="2:3" x14ac:dyDescent="0.3">
      <c r="B15" s="56">
        <v>14</v>
      </c>
      <c r="C15" s="56" t="s">
        <v>285</v>
      </c>
    </row>
    <row r="16" spans="2:3" x14ac:dyDescent="0.3">
      <c r="B16" s="56">
        <v>15</v>
      </c>
      <c r="C16" s="56" t="s">
        <v>297</v>
      </c>
    </row>
    <row r="17" spans="2:3" ht="31.5" customHeight="1" x14ac:dyDescent="0.3">
      <c r="B17" s="61">
        <v>16</v>
      </c>
      <c r="C17" s="63" t="s">
        <v>298</v>
      </c>
    </row>
    <row r="18" spans="2:3" x14ac:dyDescent="0.3">
      <c r="B18" s="62">
        <v>17</v>
      </c>
      <c r="C18" s="63" t="s">
        <v>299</v>
      </c>
    </row>
    <row r="19" spans="2:3" x14ac:dyDescent="0.3">
      <c r="B19" s="61">
        <v>18</v>
      </c>
      <c r="C19" s="56" t="s">
        <v>300</v>
      </c>
    </row>
    <row r="20" spans="2:3" x14ac:dyDescent="0.3">
      <c r="B20" s="62">
        <v>19</v>
      </c>
      <c r="C20" s="56" t="s">
        <v>301</v>
      </c>
    </row>
    <row r="21" spans="2:3" x14ac:dyDescent="0.3">
      <c r="B21" s="56">
        <v>20</v>
      </c>
      <c r="C21" s="56" t="s">
        <v>302</v>
      </c>
    </row>
    <row r="22" spans="2:3" x14ac:dyDescent="0.3">
      <c r="B22" s="62">
        <v>21</v>
      </c>
      <c r="C22" s="56" t="s">
        <v>300</v>
      </c>
    </row>
    <row r="23" spans="2:3" s="71" customFormat="1" ht="29.25" customHeight="1" x14ac:dyDescent="0.3">
      <c r="B23" s="70">
        <v>22</v>
      </c>
      <c r="C23" s="58" t="s">
        <v>329</v>
      </c>
    </row>
    <row r="24" spans="2:3" s="71" customFormat="1" ht="30.75" customHeight="1" x14ac:dyDescent="0.3">
      <c r="B24" s="72">
        <v>23</v>
      </c>
      <c r="C24" s="58" t="s">
        <v>330</v>
      </c>
    </row>
    <row r="25" spans="2:3" x14ac:dyDescent="0.3">
      <c r="B25" s="56">
        <v>24</v>
      </c>
      <c r="C25" s="56"/>
    </row>
    <row r="26" spans="2:3" x14ac:dyDescent="0.3">
      <c r="B26" s="62">
        <v>25</v>
      </c>
      <c r="C26" s="56"/>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activeCell="G36" sqref="G36"/>
    </sheetView>
  </sheetViews>
  <sheetFormatPr defaultColWidth="9.21875" defaultRowHeight="14.4" x14ac:dyDescent="0.3"/>
  <cols>
    <col min="1" max="1" width="9.21875" style="53"/>
    <col min="2" max="2" width="12.21875" style="53" customWidth="1"/>
    <col min="3" max="16384" width="9.21875" style="53"/>
  </cols>
  <sheetData>
    <row r="2" spans="1:12" x14ac:dyDescent="0.3">
      <c r="B2" s="64" t="s">
        <v>303</v>
      </c>
      <c r="C2" s="261"/>
      <c r="D2" s="261"/>
    </row>
    <row r="3" spans="1:12" x14ac:dyDescent="0.3">
      <c r="D3" s="65"/>
      <c r="E3" s="65"/>
      <c r="F3" s="65"/>
      <c r="G3" s="65"/>
      <c r="H3" s="65"/>
      <c r="I3" s="65"/>
    </row>
    <row r="4" spans="1:12" x14ac:dyDescent="0.3">
      <c r="A4" s="64" t="s">
        <v>66</v>
      </c>
      <c r="B4" s="66" t="s">
        <v>304</v>
      </c>
      <c r="C4" s="262" t="s">
        <v>305</v>
      </c>
      <c r="D4" s="262"/>
      <c r="E4" s="262"/>
      <c r="F4" s="66"/>
      <c r="G4" s="263" t="s">
        <v>306</v>
      </c>
      <c r="H4" s="263"/>
      <c r="I4" s="263"/>
      <c r="J4" s="264" t="s">
        <v>307</v>
      </c>
      <c r="K4" s="264"/>
      <c r="L4" s="264"/>
    </row>
    <row r="5" spans="1:12" x14ac:dyDescent="0.3">
      <c r="A5" s="64"/>
      <c r="B5" s="66"/>
      <c r="C5" s="66" t="s">
        <v>308</v>
      </c>
      <c r="D5" s="66" t="s">
        <v>309</v>
      </c>
      <c r="E5" s="66" t="s">
        <v>310</v>
      </c>
      <c r="F5" s="66"/>
      <c r="G5" s="66" t="s">
        <v>308</v>
      </c>
      <c r="H5" s="66" t="s">
        <v>309</v>
      </c>
      <c r="I5" s="66" t="s">
        <v>310</v>
      </c>
      <c r="J5" s="66" t="s">
        <v>308</v>
      </c>
      <c r="K5" s="66" t="s">
        <v>309</v>
      </c>
      <c r="L5" s="66" t="s">
        <v>310</v>
      </c>
    </row>
    <row r="6" spans="1:12" x14ac:dyDescent="0.3">
      <c r="B6" s="54" t="s">
        <v>311</v>
      </c>
      <c r="C6" s="54"/>
      <c r="D6" s="54"/>
      <c r="E6" s="54">
        <f>C6*D6</f>
        <v>0</v>
      </c>
      <c r="F6" s="54" t="s">
        <v>328</v>
      </c>
      <c r="G6" s="54"/>
      <c r="H6" s="54"/>
      <c r="I6" s="54">
        <f>G6*H6</f>
        <v>0</v>
      </c>
      <c r="J6" s="54"/>
      <c r="K6" s="54"/>
      <c r="L6" s="54">
        <f>J6*K6</f>
        <v>0</v>
      </c>
    </row>
    <row r="7" spans="1:12" x14ac:dyDescent="0.3">
      <c r="B7" s="54"/>
      <c r="C7" s="54"/>
      <c r="D7" s="54"/>
      <c r="E7" s="54">
        <f t="shared" ref="E7:E41" si="0">C7*D7</f>
        <v>0</v>
      </c>
      <c r="F7" s="54" t="s">
        <v>328</v>
      </c>
      <c r="G7" s="54"/>
      <c r="H7" s="54"/>
      <c r="I7" s="54">
        <f t="shared" ref="I7:I35" si="1">G7*H7</f>
        <v>0</v>
      </c>
      <c r="J7" s="54"/>
      <c r="K7" s="54"/>
      <c r="L7" s="54">
        <f t="shared" ref="L7:L35" si="2">J7*K7</f>
        <v>0</v>
      </c>
    </row>
    <row r="8" spans="1:12" x14ac:dyDescent="0.3">
      <c r="B8" s="54"/>
      <c r="C8" s="54"/>
      <c r="D8" s="54"/>
      <c r="E8" s="54">
        <f t="shared" si="0"/>
        <v>0</v>
      </c>
      <c r="F8" s="54"/>
      <c r="G8" s="54"/>
      <c r="H8" s="54"/>
      <c r="I8" s="54">
        <f t="shared" si="1"/>
        <v>0</v>
      </c>
      <c r="J8" s="54"/>
      <c r="K8" s="54"/>
      <c r="L8" s="54">
        <f t="shared" si="2"/>
        <v>0</v>
      </c>
    </row>
    <row r="9" spans="1:12" x14ac:dyDescent="0.3">
      <c r="B9" s="54"/>
      <c r="C9" s="54"/>
      <c r="D9" s="54"/>
      <c r="E9" s="54">
        <f t="shared" si="0"/>
        <v>0</v>
      </c>
      <c r="F9" s="54" t="s">
        <v>312</v>
      </c>
      <c r="G9" s="54"/>
      <c r="H9" s="54"/>
      <c r="I9" s="54">
        <f t="shared" si="1"/>
        <v>0</v>
      </c>
      <c r="J9" s="54"/>
      <c r="K9" s="54"/>
      <c r="L9" s="54">
        <f t="shared" si="2"/>
        <v>0</v>
      </c>
    </row>
    <row r="10" spans="1:12" x14ac:dyDescent="0.3">
      <c r="B10" s="54" t="s">
        <v>313</v>
      </c>
      <c r="C10" s="54"/>
      <c r="D10" s="54"/>
      <c r="E10" s="54">
        <f t="shared" si="0"/>
        <v>0</v>
      </c>
      <c r="F10" s="54" t="s">
        <v>312</v>
      </c>
      <c r="G10" s="54"/>
      <c r="H10" s="54"/>
      <c r="I10" s="54">
        <f t="shared" si="1"/>
        <v>0</v>
      </c>
      <c r="J10" s="54"/>
      <c r="K10" s="54"/>
      <c r="L10" s="54">
        <f t="shared" si="2"/>
        <v>0</v>
      </c>
    </row>
    <row r="11" spans="1:12" x14ac:dyDescent="0.3">
      <c r="B11" s="54"/>
      <c r="C11" s="54"/>
      <c r="D11" s="54"/>
      <c r="E11" s="54">
        <f t="shared" si="0"/>
        <v>0</v>
      </c>
      <c r="F11" s="54" t="s">
        <v>314</v>
      </c>
      <c r="G11" s="54"/>
      <c r="H11" s="54"/>
      <c r="I11" s="54">
        <f t="shared" si="1"/>
        <v>0</v>
      </c>
      <c r="J11" s="54"/>
      <c r="K11" s="54"/>
      <c r="L11" s="54">
        <f t="shared" si="2"/>
        <v>0</v>
      </c>
    </row>
    <row r="12" spans="1:12" x14ac:dyDescent="0.3">
      <c r="B12" s="54"/>
      <c r="C12" s="54"/>
      <c r="D12" s="54"/>
      <c r="E12" s="54">
        <f t="shared" si="0"/>
        <v>0</v>
      </c>
      <c r="F12" s="54"/>
      <c r="G12" s="54"/>
      <c r="H12" s="54"/>
      <c r="I12" s="54">
        <f t="shared" si="1"/>
        <v>0</v>
      </c>
      <c r="J12" s="54"/>
      <c r="K12" s="54"/>
      <c r="L12" s="54">
        <f t="shared" si="2"/>
        <v>0</v>
      </c>
    </row>
    <row r="13" spans="1:12" x14ac:dyDescent="0.3">
      <c r="B13" s="54"/>
      <c r="C13" s="54"/>
      <c r="D13" s="54"/>
      <c r="E13" s="54">
        <f t="shared" si="0"/>
        <v>0</v>
      </c>
      <c r="F13" s="54"/>
      <c r="G13" s="54"/>
      <c r="H13" s="54"/>
      <c r="I13" s="54">
        <f t="shared" si="1"/>
        <v>0</v>
      </c>
      <c r="J13" s="54"/>
      <c r="K13" s="54"/>
      <c r="L13" s="54">
        <f t="shared" si="2"/>
        <v>0</v>
      </c>
    </row>
    <row r="14" spans="1:12" x14ac:dyDescent="0.3">
      <c r="B14" s="54" t="s">
        <v>315</v>
      </c>
      <c r="C14" s="54"/>
      <c r="D14" s="54"/>
      <c r="E14" s="54">
        <f t="shared" si="0"/>
        <v>0</v>
      </c>
      <c r="F14" s="54" t="s">
        <v>312</v>
      </c>
      <c r="G14" s="54"/>
      <c r="H14" s="54"/>
      <c r="I14" s="54">
        <f t="shared" si="1"/>
        <v>0</v>
      </c>
      <c r="J14" s="54"/>
      <c r="K14" s="54"/>
      <c r="L14" s="54">
        <f t="shared" si="2"/>
        <v>0</v>
      </c>
    </row>
    <row r="15" spans="1:12" x14ac:dyDescent="0.3">
      <c r="B15" s="54"/>
      <c r="C15" s="54"/>
      <c r="D15" s="54"/>
      <c r="E15" s="54">
        <f t="shared" si="0"/>
        <v>0</v>
      </c>
      <c r="F15" s="54" t="s">
        <v>314</v>
      </c>
      <c r="G15" s="54"/>
      <c r="H15" s="54"/>
      <c r="I15" s="54">
        <f t="shared" si="1"/>
        <v>0</v>
      </c>
      <c r="J15" s="54"/>
      <c r="K15" s="54"/>
      <c r="L15" s="54">
        <f t="shared" si="2"/>
        <v>0</v>
      </c>
    </row>
    <row r="16" spans="1:12" x14ac:dyDescent="0.3">
      <c r="B16" s="54"/>
      <c r="C16" s="54"/>
      <c r="D16" s="54"/>
      <c r="E16" s="54">
        <f t="shared" si="0"/>
        <v>0</v>
      </c>
      <c r="F16" s="54"/>
      <c r="G16" s="54"/>
      <c r="H16" s="54"/>
      <c r="I16" s="54">
        <f t="shared" si="1"/>
        <v>0</v>
      </c>
      <c r="J16" s="54"/>
      <c r="K16" s="54"/>
      <c r="L16" s="54">
        <f t="shared" si="2"/>
        <v>0</v>
      </c>
    </row>
    <row r="17" spans="2:12" x14ac:dyDescent="0.3">
      <c r="B17" s="54"/>
      <c r="C17" s="54"/>
      <c r="D17" s="54"/>
      <c r="E17" s="54">
        <f t="shared" si="0"/>
        <v>0</v>
      </c>
      <c r="F17" s="54"/>
      <c r="G17" s="54"/>
      <c r="H17" s="54"/>
      <c r="I17" s="54">
        <f t="shared" si="1"/>
        <v>0</v>
      </c>
      <c r="J17" s="54"/>
      <c r="K17" s="54"/>
      <c r="L17" s="54">
        <f t="shared" si="2"/>
        <v>0</v>
      </c>
    </row>
    <row r="18" spans="2:12" x14ac:dyDescent="0.3">
      <c r="B18" s="54" t="s">
        <v>316</v>
      </c>
      <c r="C18" s="54"/>
      <c r="D18" s="54"/>
      <c r="E18" s="54">
        <f t="shared" si="0"/>
        <v>0</v>
      </c>
      <c r="F18" s="54" t="s">
        <v>312</v>
      </c>
      <c r="G18" s="54"/>
      <c r="H18" s="54"/>
      <c r="I18" s="54">
        <f t="shared" si="1"/>
        <v>0</v>
      </c>
      <c r="J18" s="54"/>
      <c r="K18" s="54"/>
      <c r="L18" s="54">
        <f t="shared" si="2"/>
        <v>0</v>
      </c>
    </row>
    <row r="19" spans="2:12" x14ac:dyDescent="0.3">
      <c r="B19" s="54"/>
      <c r="C19" s="54"/>
      <c r="D19" s="54"/>
      <c r="E19" s="54">
        <f t="shared" si="0"/>
        <v>0</v>
      </c>
      <c r="F19" s="54" t="s">
        <v>314</v>
      </c>
      <c r="G19" s="54"/>
      <c r="H19" s="54"/>
      <c r="I19" s="54">
        <f t="shared" si="1"/>
        <v>0</v>
      </c>
      <c r="J19" s="54"/>
      <c r="K19" s="54"/>
      <c r="L19" s="54">
        <f t="shared" si="2"/>
        <v>0</v>
      </c>
    </row>
    <row r="20" spans="2:12" x14ac:dyDescent="0.3">
      <c r="B20" s="54"/>
      <c r="C20" s="54"/>
      <c r="D20" s="54"/>
      <c r="E20" s="54">
        <f t="shared" si="0"/>
        <v>0</v>
      </c>
      <c r="F20" s="54"/>
      <c r="G20" s="54"/>
      <c r="H20" s="54"/>
      <c r="I20" s="54">
        <f t="shared" si="1"/>
        <v>0</v>
      </c>
      <c r="J20" s="54"/>
      <c r="K20" s="54"/>
      <c r="L20" s="54">
        <f t="shared" si="2"/>
        <v>0</v>
      </c>
    </row>
    <row r="21" spans="2:12" x14ac:dyDescent="0.3">
      <c r="B21" s="54" t="s">
        <v>317</v>
      </c>
      <c r="C21" s="54"/>
      <c r="D21" s="54"/>
      <c r="E21" s="54">
        <f t="shared" si="0"/>
        <v>0</v>
      </c>
      <c r="F21" s="54" t="s">
        <v>312</v>
      </c>
      <c r="G21" s="54"/>
      <c r="H21" s="54"/>
      <c r="I21" s="54">
        <f t="shared" si="1"/>
        <v>0</v>
      </c>
      <c r="J21" s="54"/>
      <c r="K21" s="54"/>
      <c r="L21" s="54">
        <f t="shared" si="2"/>
        <v>0</v>
      </c>
    </row>
    <row r="22" spans="2:12" x14ac:dyDescent="0.3">
      <c r="B22" s="54"/>
      <c r="C22" s="54"/>
      <c r="D22" s="54"/>
      <c r="E22" s="54">
        <f t="shared" si="0"/>
        <v>0</v>
      </c>
      <c r="F22" s="54" t="s">
        <v>314</v>
      </c>
      <c r="G22" s="54"/>
      <c r="H22" s="54"/>
      <c r="I22" s="54">
        <f t="shared" si="1"/>
        <v>0</v>
      </c>
      <c r="J22" s="54"/>
      <c r="K22" s="54"/>
      <c r="L22" s="54">
        <f t="shared" si="2"/>
        <v>0</v>
      </c>
    </row>
    <row r="23" spans="2:12" x14ac:dyDescent="0.3">
      <c r="B23" s="54"/>
      <c r="C23" s="54"/>
      <c r="D23" s="54"/>
      <c r="E23" s="54">
        <f t="shared" si="0"/>
        <v>0</v>
      </c>
      <c r="F23" s="54"/>
      <c r="G23" s="54"/>
      <c r="H23" s="54"/>
      <c r="I23" s="54">
        <f t="shared" si="1"/>
        <v>0</v>
      </c>
      <c r="J23" s="54"/>
      <c r="K23" s="54"/>
      <c r="L23" s="54">
        <f t="shared" si="2"/>
        <v>0</v>
      </c>
    </row>
    <row r="24" spans="2:12" x14ac:dyDescent="0.3">
      <c r="B24" s="54" t="s">
        <v>318</v>
      </c>
      <c r="C24" s="54"/>
      <c r="D24" s="54"/>
      <c r="E24" s="54">
        <f t="shared" si="0"/>
        <v>0</v>
      </c>
      <c r="F24" s="54" t="s">
        <v>319</v>
      </c>
      <c r="G24" s="54"/>
      <c r="H24" s="54"/>
      <c r="I24" s="54">
        <f t="shared" si="1"/>
        <v>0</v>
      </c>
      <c r="J24" s="54"/>
      <c r="K24" s="54"/>
      <c r="L24" s="54">
        <f t="shared" si="2"/>
        <v>0</v>
      </c>
    </row>
    <row r="25" spans="2:12" x14ac:dyDescent="0.3">
      <c r="B25" s="54"/>
      <c r="C25" s="54"/>
      <c r="D25" s="54"/>
      <c r="E25" s="54">
        <f t="shared" ref="E25:E27" si="3">C25*D25</f>
        <v>0</v>
      </c>
      <c r="F25" s="54" t="s">
        <v>319</v>
      </c>
      <c r="G25" s="54"/>
      <c r="H25" s="54"/>
      <c r="I25" s="54">
        <f t="shared" ref="I25:I27" si="4">G25*H25</f>
        <v>0</v>
      </c>
      <c r="J25" s="54"/>
      <c r="K25" s="54"/>
      <c r="L25" s="54">
        <f t="shared" ref="L25:L27" si="5">J25*K25</f>
        <v>0</v>
      </c>
    </row>
    <row r="26" spans="2:12" x14ac:dyDescent="0.3">
      <c r="B26" s="54"/>
      <c r="C26" s="54"/>
      <c r="D26" s="54"/>
      <c r="E26" s="54">
        <f t="shared" si="3"/>
        <v>0</v>
      </c>
      <c r="F26" s="54" t="s">
        <v>319</v>
      </c>
      <c r="G26" s="54"/>
      <c r="H26" s="54"/>
      <c r="I26" s="54">
        <f t="shared" si="4"/>
        <v>0</v>
      </c>
      <c r="J26" s="54"/>
      <c r="K26" s="54"/>
      <c r="L26" s="54">
        <f t="shared" si="5"/>
        <v>0</v>
      </c>
    </row>
    <row r="27" spans="2:12" x14ac:dyDescent="0.3">
      <c r="B27" s="54"/>
      <c r="C27" s="54"/>
      <c r="D27" s="54"/>
      <c r="E27" s="54">
        <f t="shared" si="3"/>
        <v>0</v>
      </c>
      <c r="F27" s="54" t="s">
        <v>319</v>
      </c>
      <c r="G27" s="54"/>
      <c r="H27" s="54"/>
      <c r="I27" s="54">
        <f t="shared" si="4"/>
        <v>0</v>
      </c>
      <c r="J27" s="54"/>
      <c r="K27" s="54"/>
      <c r="L27" s="54">
        <f t="shared" si="5"/>
        <v>0</v>
      </c>
    </row>
    <row r="28" spans="2:12" x14ac:dyDescent="0.3">
      <c r="B28" s="54" t="s">
        <v>320</v>
      </c>
      <c r="C28" s="54"/>
      <c r="D28" s="54"/>
      <c r="E28" s="54">
        <f t="shared" si="0"/>
        <v>0</v>
      </c>
      <c r="F28" s="54" t="s">
        <v>319</v>
      </c>
      <c r="G28" s="54"/>
      <c r="H28" s="54"/>
      <c r="I28" s="54">
        <f t="shared" si="1"/>
        <v>0</v>
      </c>
      <c r="J28" s="54"/>
      <c r="K28" s="54"/>
      <c r="L28" s="54">
        <f t="shared" si="2"/>
        <v>0</v>
      </c>
    </row>
    <row r="29" spans="2:12" x14ac:dyDescent="0.3">
      <c r="B29" s="54" t="s">
        <v>321</v>
      </c>
      <c r="C29" s="54"/>
      <c r="D29" s="54"/>
      <c r="E29" s="54">
        <f t="shared" si="0"/>
        <v>0</v>
      </c>
      <c r="F29" s="54" t="s">
        <v>319</v>
      </c>
      <c r="G29" s="54"/>
      <c r="H29" s="54"/>
      <c r="I29" s="54">
        <f t="shared" si="1"/>
        <v>0</v>
      </c>
      <c r="J29" s="54"/>
      <c r="K29" s="54"/>
      <c r="L29" s="54">
        <f t="shared" si="2"/>
        <v>0</v>
      </c>
    </row>
    <row r="30" spans="2:12" x14ac:dyDescent="0.3">
      <c r="B30" s="54" t="s">
        <v>325</v>
      </c>
      <c r="C30" s="54"/>
      <c r="D30" s="54"/>
      <c r="E30" s="54">
        <f t="shared" si="0"/>
        <v>0</v>
      </c>
      <c r="F30" s="54"/>
      <c r="G30" s="54"/>
      <c r="H30" s="54"/>
      <c r="I30" s="54">
        <f t="shared" si="1"/>
        <v>0</v>
      </c>
      <c r="J30" s="54"/>
      <c r="K30" s="54"/>
      <c r="L30" s="54">
        <f t="shared" si="2"/>
        <v>0</v>
      </c>
    </row>
    <row r="31" spans="2:12" x14ac:dyDescent="0.3">
      <c r="B31" s="54"/>
      <c r="C31" s="54"/>
      <c r="D31" s="54"/>
      <c r="E31" s="54">
        <f t="shared" ref="E31:E32" si="6">C31*D31</f>
        <v>0</v>
      </c>
      <c r="F31" s="54"/>
      <c r="G31" s="54"/>
      <c r="H31" s="54"/>
      <c r="I31" s="54">
        <f t="shared" ref="I31:I32" si="7">G31*H31</f>
        <v>0</v>
      </c>
      <c r="J31" s="54"/>
      <c r="K31" s="54"/>
      <c r="L31" s="54">
        <f t="shared" ref="L31:L32" si="8">J31*K31</f>
        <v>0</v>
      </c>
    </row>
    <row r="32" spans="2:12" x14ac:dyDescent="0.3">
      <c r="B32" s="54"/>
      <c r="C32" s="54"/>
      <c r="D32" s="54"/>
      <c r="E32" s="54">
        <f t="shared" si="6"/>
        <v>0</v>
      </c>
      <c r="F32" s="54"/>
      <c r="G32" s="54"/>
      <c r="H32" s="54"/>
      <c r="I32" s="54">
        <f t="shared" si="7"/>
        <v>0</v>
      </c>
      <c r="J32" s="54"/>
      <c r="K32" s="54"/>
      <c r="L32" s="54">
        <f t="shared" si="8"/>
        <v>0</v>
      </c>
    </row>
    <row r="33" spans="2:12" x14ac:dyDescent="0.3">
      <c r="B33" s="54" t="s">
        <v>322</v>
      </c>
      <c r="C33" s="54"/>
      <c r="D33" s="54"/>
      <c r="E33" s="54">
        <f t="shared" si="0"/>
        <v>0</v>
      </c>
      <c r="F33" s="54"/>
      <c r="G33" s="54"/>
      <c r="H33" s="54"/>
      <c r="I33" s="54">
        <f t="shared" si="1"/>
        <v>0</v>
      </c>
      <c r="J33" s="54"/>
      <c r="K33" s="54"/>
      <c r="L33" s="54">
        <f t="shared" si="2"/>
        <v>0</v>
      </c>
    </row>
    <row r="34" spans="2:12" x14ac:dyDescent="0.3">
      <c r="B34" s="54" t="s">
        <v>326</v>
      </c>
      <c r="C34" s="54"/>
      <c r="D34" s="54"/>
      <c r="E34" s="54">
        <f t="shared" si="0"/>
        <v>0</v>
      </c>
      <c r="F34" s="54"/>
      <c r="G34" s="54"/>
      <c r="H34" s="54"/>
      <c r="I34" s="54">
        <f t="shared" si="1"/>
        <v>0</v>
      </c>
      <c r="J34" s="54"/>
      <c r="K34" s="54"/>
      <c r="L34" s="54">
        <f t="shared" si="2"/>
        <v>0</v>
      </c>
    </row>
    <row r="35" spans="2:12" x14ac:dyDescent="0.3">
      <c r="B35" s="54" t="s">
        <v>323</v>
      </c>
      <c r="C35" s="54"/>
      <c r="D35" s="54"/>
      <c r="E35" s="54">
        <f t="shared" si="0"/>
        <v>0</v>
      </c>
      <c r="F35" s="54"/>
      <c r="G35" s="54"/>
      <c r="H35" s="54"/>
      <c r="I35" s="54">
        <f t="shared" si="1"/>
        <v>0</v>
      </c>
      <c r="J35" s="54"/>
      <c r="K35" s="54"/>
      <c r="L35" s="54">
        <f t="shared" si="2"/>
        <v>0</v>
      </c>
    </row>
    <row r="36" spans="2:12" x14ac:dyDescent="0.3">
      <c r="B36" s="54" t="s">
        <v>324</v>
      </c>
      <c r="C36" s="54"/>
      <c r="D36" s="54"/>
      <c r="E36" s="54">
        <f t="shared" si="0"/>
        <v>0</v>
      </c>
      <c r="F36" s="54"/>
      <c r="G36" s="54"/>
      <c r="H36" s="54"/>
      <c r="I36" s="54">
        <f>G36*H36</f>
        <v>0</v>
      </c>
      <c r="J36" s="54"/>
      <c r="K36" s="54"/>
      <c r="L36" s="54">
        <f>J36*K36</f>
        <v>0</v>
      </c>
    </row>
    <row r="37" spans="2:12" x14ac:dyDescent="0.3">
      <c r="B37" s="54"/>
      <c r="C37" s="54"/>
      <c r="D37" s="54"/>
      <c r="E37" s="54">
        <f t="shared" ref="E37:E38" si="9">C37*D37</f>
        <v>0</v>
      </c>
      <c r="F37" s="54"/>
      <c r="G37" s="54"/>
      <c r="H37" s="54"/>
      <c r="I37" s="54">
        <f t="shared" ref="I37:I38" si="10">G37*H37</f>
        <v>0</v>
      </c>
      <c r="J37" s="54"/>
      <c r="K37" s="54"/>
      <c r="L37" s="54">
        <f t="shared" ref="L37:L38" si="11">J37*K37</f>
        <v>0</v>
      </c>
    </row>
    <row r="38" spans="2:12" x14ac:dyDescent="0.3">
      <c r="B38" s="54" t="s">
        <v>327</v>
      </c>
      <c r="C38" s="54"/>
      <c r="D38" s="54"/>
      <c r="E38" s="54">
        <f t="shared" si="9"/>
        <v>0</v>
      </c>
      <c r="F38" s="54"/>
      <c r="G38" s="54"/>
      <c r="H38" s="54"/>
      <c r="I38" s="54">
        <f t="shared" si="10"/>
        <v>0</v>
      </c>
      <c r="J38" s="54"/>
      <c r="K38" s="54"/>
      <c r="L38" s="54">
        <f t="shared" si="11"/>
        <v>0</v>
      </c>
    </row>
    <row r="39" spans="2:12" x14ac:dyDescent="0.3">
      <c r="B39" s="54"/>
      <c r="C39" s="54"/>
      <c r="D39" s="54"/>
      <c r="E39" s="54">
        <f t="shared" si="0"/>
        <v>0</v>
      </c>
      <c r="F39" s="54"/>
      <c r="G39" s="54"/>
      <c r="H39" s="54"/>
      <c r="I39" s="54">
        <f>G39*H39</f>
        <v>0</v>
      </c>
      <c r="J39" s="54"/>
      <c r="K39" s="54"/>
      <c r="L39" s="54">
        <f>J39*K39</f>
        <v>0</v>
      </c>
    </row>
    <row r="40" spans="2:12" x14ac:dyDescent="0.3">
      <c r="B40" s="54"/>
      <c r="C40" s="54"/>
      <c r="D40" s="54"/>
      <c r="E40" s="54">
        <f t="shared" si="0"/>
        <v>0</v>
      </c>
      <c r="F40" s="54"/>
      <c r="G40" s="54"/>
      <c r="H40" s="54"/>
      <c r="I40" s="54">
        <f>G40*H40</f>
        <v>0</v>
      </c>
      <c r="J40" s="54"/>
      <c r="K40" s="54"/>
      <c r="L40" s="54">
        <f>J40*K40</f>
        <v>0</v>
      </c>
    </row>
    <row r="41" spans="2:12" x14ac:dyDescent="0.3">
      <c r="B41" s="54"/>
      <c r="C41" s="54"/>
      <c r="D41" s="54"/>
      <c r="E41" s="54">
        <f t="shared" si="0"/>
        <v>0</v>
      </c>
      <c r="F41" s="54"/>
      <c r="G41" s="54"/>
      <c r="H41" s="54"/>
      <c r="I41" s="54">
        <f>G41*H41</f>
        <v>0</v>
      </c>
      <c r="J41" s="54"/>
      <c r="K41" s="54"/>
      <c r="L41" s="54">
        <f>J41*K41</f>
        <v>0</v>
      </c>
    </row>
    <row r="42" spans="2:12" x14ac:dyDescent="0.3">
      <c r="B42" s="54" t="s">
        <v>147</v>
      </c>
      <c r="C42" s="54"/>
      <c r="D42" s="54">
        <f>E42*10.764</f>
        <v>0</v>
      </c>
      <c r="E42" s="69">
        <f>SUM(E6:E41)</f>
        <v>0</v>
      </c>
      <c r="F42" s="54"/>
      <c r="G42" s="54"/>
      <c r="H42" s="54">
        <f>I42*10.764</f>
        <v>0</v>
      </c>
      <c r="I42" s="68">
        <f>SUM(I6:I41)</f>
        <v>0</v>
      </c>
      <c r="J42" s="54"/>
      <c r="K42" s="54">
        <f>L42*10.764</f>
        <v>0</v>
      </c>
      <c r="L42" s="67">
        <f>SUM(L6:L41)</f>
        <v>0</v>
      </c>
    </row>
    <row r="44" spans="2:12" x14ac:dyDescent="0.3">
      <c r="D44" s="53">
        <f>D42+H42</f>
        <v>0</v>
      </c>
      <c r="E44" s="53">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2025-07-18T08:03:56Z</cp:lastPrinted>
  <dcterms:created xsi:type="dcterms:W3CDTF">2019-07-16T09:29:46Z</dcterms:created>
  <dcterms:modified xsi:type="dcterms:W3CDTF">2025-07-18T08:09:32Z</dcterms:modified>
</cp:coreProperties>
</file>